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drawings/drawing3.xml" ContentType="application/vnd.openxmlformats-officedocument.drawing+xml"/>
  <Override PartName="/xl/charts/chart5.xml" ContentType="application/vnd.openxmlformats-officedocument.drawingml.chart+xml"/>
  <Override PartName="/xl/drawings/drawing4.xml" ContentType="application/vnd.openxmlformats-officedocument.drawing+xml"/>
  <Override PartName="/xl/charts/chart6.xml" ContentType="application/vnd.openxmlformats-officedocument.drawingml.chart+xml"/>
  <Override PartName="/xl/drawings/drawing5.xml" ContentType="application/vnd.openxmlformats-officedocument.drawing+xml"/>
  <Override PartName="/xl/charts/chart7.xml" ContentType="application/vnd.openxmlformats-officedocument.drawingml.chart+xml"/>
  <Override PartName="/xl/drawings/drawing6.xml" ContentType="application/vnd.openxmlformats-officedocument.drawing+xml"/>
  <Override PartName="/xl/charts/chart8.xml" ContentType="application/vnd.openxmlformats-officedocument.drawingml.chart+xml"/>
  <Override PartName="/xl/drawings/drawing7.xml" ContentType="application/vnd.openxmlformats-officedocument.drawing+xml"/>
  <Override PartName="/xl/charts/chart9.xml" ContentType="application/vnd.openxmlformats-officedocument.drawingml.chart+xml"/>
  <Override PartName="/xl/drawings/drawing8.xml" ContentType="application/vnd.openxmlformats-officedocument.drawing+xml"/>
  <Override PartName="/xl/charts/chart10.xml" ContentType="application/vnd.openxmlformats-officedocument.drawingml.chart+xml"/>
  <Override PartName="/xl/drawings/drawing9.xml" ContentType="application/vnd.openxmlformats-officedocument.drawing+xml"/>
  <Override PartName="/xl/charts/chart11.xml" ContentType="application/vnd.openxmlformats-officedocument.drawingml.chart+xml"/>
  <Override PartName="/xl/drawings/drawing10.xml" ContentType="application/vnd.openxmlformats-officedocument.drawing+xml"/>
  <Override PartName="/xl/comments1.xml" ContentType="application/vnd.openxmlformats-officedocument.spreadsheetml.comments+xml"/>
  <Override PartName="/xl/charts/chart12.xml" ContentType="application/vnd.openxmlformats-officedocument.drawingml.chart+xml"/>
  <Override PartName="/xl/charts/chart13.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ayt56674\Documents\__data\AnnualReport\2021fy\"/>
    </mc:Choice>
  </mc:AlternateContent>
  <bookViews>
    <workbookView xWindow="0" yWindow="0" windowWidth="19200" windowHeight="11460" tabRatio="798"/>
  </bookViews>
  <sheets>
    <sheet name="TitlePage" sheetId="1" r:id="rId1"/>
    <sheet name="TOC" sheetId="2" r:id="rId2"/>
    <sheet name="RevExp" sheetId="3" r:id="rId3"/>
    <sheet name="ByAcct" sheetId="4" r:id="rId4"/>
    <sheet name="1.1" sheetId="5" r:id="rId5"/>
    <sheet name="1.2" sheetId="6" r:id="rId6"/>
    <sheet name="1.3" sheetId="7" r:id="rId7"/>
    <sheet name="1.4" sheetId="8" r:id="rId8"/>
    <sheet name="1.5" sheetId="9" r:id="rId9"/>
    <sheet name="1.6" sheetId="10" r:id="rId10"/>
    <sheet name="1.7" sheetId="11" r:id="rId11"/>
    <sheet name="1.8-1.9" sheetId="12" r:id="rId12"/>
    <sheet name="1.10" sheetId="13" r:id="rId13"/>
    <sheet name="2.1" sheetId="14" r:id="rId14"/>
    <sheet name="2.2" sheetId="15" r:id="rId15"/>
    <sheet name="3.1" sheetId="16" r:id="rId16"/>
    <sheet name="4.1" sheetId="17" r:id="rId17"/>
    <sheet name="4.2" sheetId="18" r:id="rId18"/>
    <sheet name="4.3" sheetId="19" r:id="rId19"/>
    <sheet name="5.1" sheetId="21" r:id="rId20"/>
    <sheet name="5.2" sheetId="22" r:id="rId21"/>
    <sheet name="5.3-5.4" sheetId="23" r:id="rId22"/>
    <sheet name="5.5" sheetId="24" r:id="rId23"/>
    <sheet name="5.6" sheetId="25" r:id="rId24"/>
    <sheet name="5.7" sheetId="32" r:id="rId25"/>
    <sheet name="6.1" sheetId="44" r:id="rId26"/>
    <sheet name="6.2" sheetId="45" r:id="rId27"/>
    <sheet name="6.3" sheetId="46" r:id="rId28"/>
    <sheet name="6.4" sheetId="47" r:id="rId29"/>
    <sheet name="7.1" sheetId="30" r:id="rId30"/>
    <sheet name="Directory" sheetId="31" r:id="rId31"/>
  </sheets>
  <externalReferences>
    <externalReference r:id="rId32"/>
    <externalReference r:id="rId33"/>
    <externalReference r:id="rId34"/>
    <externalReference r:id="rId35"/>
    <externalReference r:id="rId36"/>
    <externalReference r:id="rId37"/>
  </externalReferences>
  <definedNames>
    <definedName name="_1___123Graph_ACHART_2" hidden="1">'[1]Table 3.4'!$B$14:$C$14</definedName>
    <definedName name="_1__123Graph_ACHART_1" hidden="1">[2]Table2.1..2.2!$B$13:$B$17</definedName>
    <definedName name="_10__123Graph_ACHART_2" localSheetId="10" hidden="1">'[3]Table 3.4'!$B$14:$C$14</definedName>
    <definedName name="_11__123Graph_ACHART_2" localSheetId="11" hidden="1">'[3]Table 3.4'!$B$14:$C$14</definedName>
    <definedName name="_11__123Graph_BCHART_2" hidden="1">'[1]Table 3.4'!$B$22:$C$22</definedName>
    <definedName name="_12__123Graph_ACHART_2" localSheetId="13" hidden="1">'[4]Table 3.4'!$B$14:$C$14</definedName>
    <definedName name="_13__123Graph_ACHART_2" localSheetId="16" hidden="1">'[4]Table 3.4'!$B$14:$C$14</definedName>
    <definedName name="_14__123Graph_ACHART_2" localSheetId="9" hidden="1">'[3]Table 3.4'!$B$14:$C$14</definedName>
    <definedName name="_15__123Graph_ACHART_2" hidden="1">'[1]Table 3.4'!$B$14:$C$14</definedName>
    <definedName name="_16__123Graph_BCHART_2" localSheetId="8" hidden="1">'[3]Table 3.4'!$B$22:$C$22</definedName>
    <definedName name="_16__123Graph_XCHART_1" hidden="1">[5]Table2.1..2.2!$A$13:$A$17</definedName>
    <definedName name="_17__123Graph_BCHART_2" localSheetId="10" hidden="1">'[3]Table 3.4'!$B$22:$C$22</definedName>
    <definedName name="_18__123Graph_BCHART_2" localSheetId="11" hidden="1">'[3]Table 3.4'!$B$22:$C$22</definedName>
    <definedName name="_19__123Graph_BCHART_2" localSheetId="13" hidden="1">'[4]Table 3.4'!$B$22:$C$22</definedName>
    <definedName name="_2___123Graph_BCHART_2" hidden="1">'[1]Table 3.4'!$B$22:$C$22</definedName>
    <definedName name="_20__123Graph_BCHART_2" localSheetId="16" hidden="1">'[4]Table 3.4'!$B$22:$C$22</definedName>
    <definedName name="_21__123Graph_BCHART_2" localSheetId="9" hidden="1">'[3]Table 3.4'!$B$22:$C$22</definedName>
    <definedName name="_22__123Graph_BCHART_2" hidden="1">'[1]Table 3.4'!$B$22:$C$22</definedName>
    <definedName name="_23__123Graph_XCHART_1" localSheetId="8" hidden="1">[2]Table2.1..2.2!$A$13:$A$17</definedName>
    <definedName name="_24__123Graph_XCHART_1" localSheetId="10" hidden="1">[2]Table2.1..2.2!$A$13:$A$17</definedName>
    <definedName name="_25__123Graph_XCHART_1" localSheetId="11" hidden="1">[2]Table2.1..2.2!$A$13:$A$17</definedName>
    <definedName name="_26__123Graph_XCHART_1" localSheetId="16" hidden="1">[6]Table2.1..2.2!$A$13:$A$17</definedName>
    <definedName name="_27__123Graph_XCHART_1" localSheetId="9" hidden="1">[2]Table2.1..2.2!$A$13:$A$17</definedName>
    <definedName name="_28__123Graph_XCHART_1" hidden="1">[5]Table2.1..2.2!$A$13:$A$17</definedName>
    <definedName name="_3___123Graph_XCHART_1" hidden="1">[5]Table2.1..2.2!$A$13:$A$17</definedName>
    <definedName name="_4__123Graph_ACHART_1" localSheetId="13" hidden="1">[6]Table2.1..2.2!$B$13:$B$17</definedName>
    <definedName name="_5__123Graph_ACHART_1" localSheetId="17" hidden="1">[2]Table2.1..2.2!$B$13:$B$17</definedName>
    <definedName name="_6__123Graph_ACHART_1" localSheetId="18" hidden="1">[2]Table2.1..2.2!$B$13:$B$17</definedName>
    <definedName name="_6__123Graph_ACHART_2" hidden="1">'[1]Table 3.4'!$B$14:$C$14</definedName>
    <definedName name="_7__123Graph_ACHART_1" localSheetId="21" hidden="1">[2]Table2.1..2.2!$B$13:$B$17</definedName>
    <definedName name="_8__123Graph_ACHART_1" hidden="1">[6]Table2.1..2.2!$B$13:$B$17</definedName>
    <definedName name="_9__123Graph_ACHART_2" localSheetId="8" hidden="1">'[3]Table 3.4'!$B$14:$C$14</definedName>
    <definedName name="_xlnm._FilterDatabase" localSheetId="15" hidden="1">'3.1'!$A$5:$E$5</definedName>
    <definedName name="chart???" localSheetId="8" hidden="1">[2]Table2.1..2.2!$A$13:$A$17</definedName>
    <definedName name="chart???" localSheetId="9" hidden="1">[2]Table2.1..2.2!$A$13:$A$17</definedName>
    <definedName name="chart???" localSheetId="10" hidden="1">[2]Table2.1..2.2!$A$13:$A$17</definedName>
    <definedName name="chart???" localSheetId="11" hidden="1">[2]Table2.1..2.2!$A$13:$A$17</definedName>
    <definedName name="chart???" localSheetId="13" hidden="1">[6]Table2.1..2.2!$A$13:$A$17</definedName>
    <definedName name="chart???" localSheetId="16" hidden="1">[6]Table2.1..2.2!$A$13:$A$17</definedName>
    <definedName name="chart???" hidden="1">[5]Table2.1..2.2!$A$13:$A$17</definedName>
    <definedName name="collection_chart" localSheetId="8" hidden="1">[2]Table2.1..2.2!$A$13:$A$17</definedName>
    <definedName name="collection_chart" localSheetId="9" hidden="1">[2]Table2.1..2.2!$A$13:$A$17</definedName>
    <definedName name="collection_chart" localSheetId="10" hidden="1">[2]Table2.1..2.2!$A$13:$A$17</definedName>
    <definedName name="collection_chart" localSheetId="11" hidden="1">[2]Table2.1..2.2!$A$13:$A$17</definedName>
    <definedName name="collection_chart" localSheetId="13" hidden="1">[6]Table2.1..2.2!$A$13:$A$17</definedName>
    <definedName name="collection_chart" localSheetId="16" hidden="1">[6]Table2.1..2.2!$A$13:$A$17</definedName>
    <definedName name="collection_chart" hidden="1">[5]Table2.1..2.2!$A$13:$A$17</definedName>
    <definedName name="collections_chart" localSheetId="8" hidden="1">[2]Table2.1..2.2!$A$13:$A$17</definedName>
    <definedName name="collections_chart" localSheetId="9" hidden="1">[2]Table2.1..2.2!$A$13:$A$17</definedName>
    <definedName name="collections_chart" localSheetId="10" hidden="1">[2]Table2.1..2.2!$A$13:$A$17</definedName>
    <definedName name="collections_chart" localSheetId="11" hidden="1">[2]Table2.1..2.2!$A$13:$A$17</definedName>
    <definedName name="collections_chart" localSheetId="13" hidden="1">[6]Table2.1..2.2!$A$13:$A$17</definedName>
    <definedName name="collections_chart" localSheetId="16" hidden="1">[6]Table2.1..2.2!$A$13:$A$17</definedName>
    <definedName name="collections_chart" hidden="1">[5]Table2.1..2.2!$A$13:$A$17</definedName>
    <definedName name="fivesix" localSheetId="23" hidden="1">[2]Table2.1..2.2!$B$13:$B$17</definedName>
    <definedName name="OLE_LINK1" localSheetId="15">'3.1'!$A$5</definedName>
    <definedName name="_xlnm.Print_Area" localSheetId="4">'1.1'!$A$1:$E$26</definedName>
    <definedName name="_xlnm.Print_Area" localSheetId="12">'1.10'!$A$1:$L$52</definedName>
    <definedName name="_xlnm.Print_Area" localSheetId="5">'1.2'!$A$1:$K$43</definedName>
    <definedName name="_xlnm.Print_Area" localSheetId="6">'1.3'!$A$1:$H$33</definedName>
    <definedName name="_xlnm.Print_Area" localSheetId="7">'1.4'!$A$1:$J$33</definedName>
    <definedName name="_xlnm.Print_Area" localSheetId="8">'1.5'!$A$1:$M$175</definedName>
    <definedName name="_xlnm.Print_Area" localSheetId="9">'1.6'!$A$1:$L$173</definedName>
    <definedName name="_xlnm.Print_Area" localSheetId="10">'1.7'!$A$1:$G$170</definedName>
    <definedName name="_xlnm.Print_Area" localSheetId="11">'1.8-1.9'!$A$1:$M$44</definedName>
    <definedName name="_xlnm.Print_Area" localSheetId="13">'2.1'!$A$1:$L$21</definedName>
    <definedName name="_xlnm.Print_Area" localSheetId="14">'2.2'!$A$1:$L$30</definedName>
    <definedName name="_xlnm.Print_Area" localSheetId="15">'3.1'!$A$1:$G$50</definedName>
    <definedName name="_xlnm.Print_Area" localSheetId="16">'4.1'!$A$1:$P$61</definedName>
    <definedName name="_xlnm.Print_Area" localSheetId="17">'4.2'!$A$1:$H$39</definedName>
    <definedName name="_xlnm.Print_Area" localSheetId="18">'4.3'!$A$1:$N$63</definedName>
    <definedName name="_xlnm.Print_Area" localSheetId="19">'5.1'!$A$1:$H$26</definedName>
    <definedName name="_xlnm.Print_Area" localSheetId="20">'5.2'!$A$1:$I$53</definedName>
    <definedName name="_xlnm.Print_Area" localSheetId="21">'5.3-5.4'!$A$1:$G$48</definedName>
    <definedName name="_xlnm.Print_Area" localSheetId="22">'5.5'!$A$1:$G$160</definedName>
    <definedName name="_xlnm.Print_Area" localSheetId="23">'5.6'!$A$1:$L$107</definedName>
    <definedName name="_xlnm.Print_Area" localSheetId="24">'5.7'!$A$1:$K$39</definedName>
    <definedName name="_xlnm.Print_Area" localSheetId="25">'6.1'!$A$1:$H$31</definedName>
    <definedName name="_xlnm.Print_Area" localSheetId="26">'6.2'!$A$1:$H$205</definedName>
    <definedName name="_xlnm.Print_Area" localSheetId="27">'6.3'!$A$1:$H$210</definedName>
    <definedName name="_xlnm.Print_Area" localSheetId="28">'6.4'!$A$1:$P$213</definedName>
    <definedName name="_xlnm.Print_Area" localSheetId="29">'7.1'!$A$1:$F$25</definedName>
    <definedName name="_xlnm.Print_Area" localSheetId="3">ByAcct!$A$1:$P$50</definedName>
    <definedName name="_xlnm.Print_Area" localSheetId="30">Directory!$A$1:$L$18</definedName>
    <definedName name="_xlnm.Print_Area" localSheetId="2">RevExp!$A$1:$R$50</definedName>
    <definedName name="_xlnm.Print_Area" localSheetId="0">TitlePage!$A$1:$H$20</definedName>
    <definedName name="_xlnm.Print_Area" localSheetId="1">TOC!$A$1:$E$49</definedName>
    <definedName name="_xlnm.Print_Area">#REF!</definedName>
    <definedName name="_xlnm.Print_Titles" localSheetId="15">'3.1'!$5:$5</definedName>
    <definedName name="_xlnm.Print_Titles">#N/A</definedName>
    <definedName name="Z_E6BBE5A7_0B25_4EE8_BA45_5EA5DBAF3AD4_.wvu.FilterData" localSheetId="15" hidden="1">'3.1'!$A$5:$E$5</definedName>
    <definedName name="Z_E6BBE5A7_0B25_4EE8_BA45_5EA5DBAF3AD4_.wvu.PrintArea" localSheetId="4" hidden="1">'1.1'!$A$1:$F$48</definedName>
    <definedName name="Z_E6BBE5A7_0B25_4EE8_BA45_5EA5DBAF3AD4_.wvu.PrintArea" localSheetId="12" hidden="1">'1.10'!$A$1:$L$51</definedName>
    <definedName name="Z_E6BBE5A7_0B25_4EE8_BA45_5EA5DBAF3AD4_.wvu.PrintArea" localSheetId="5" hidden="1">'1.2'!$A$1:$K$44</definedName>
    <definedName name="Z_E6BBE5A7_0B25_4EE8_BA45_5EA5DBAF3AD4_.wvu.PrintArea" localSheetId="6" hidden="1">'1.3'!$A$1:$G$32</definedName>
    <definedName name="Z_E6BBE5A7_0B25_4EE8_BA45_5EA5DBAF3AD4_.wvu.PrintArea" localSheetId="7" hidden="1">'1.4'!#REF!</definedName>
    <definedName name="Z_E6BBE5A7_0B25_4EE8_BA45_5EA5DBAF3AD4_.wvu.PrintArea" localSheetId="8" hidden="1">'1.5'!$A$1:$M$174</definedName>
    <definedName name="Z_E6BBE5A7_0B25_4EE8_BA45_5EA5DBAF3AD4_.wvu.PrintArea" localSheetId="9" hidden="1">'1.6'!$A$1:$L$172</definedName>
    <definedName name="Z_E6BBE5A7_0B25_4EE8_BA45_5EA5DBAF3AD4_.wvu.PrintArea" localSheetId="10" hidden="1">'1.7'!$A$1:$G$169</definedName>
    <definedName name="Z_E6BBE5A7_0B25_4EE8_BA45_5EA5DBAF3AD4_.wvu.PrintArea" localSheetId="11" hidden="1">'1.8-1.9'!$A$1:$M$43</definedName>
    <definedName name="Z_E6BBE5A7_0B25_4EE8_BA45_5EA5DBAF3AD4_.wvu.PrintArea" localSheetId="13" hidden="1">'2.1'!$A$1:$D$38</definedName>
    <definedName name="Z_E6BBE5A7_0B25_4EE8_BA45_5EA5DBAF3AD4_.wvu.PrintArea" localSheetId="14" hidden="1">'2.2'!$A$1:$L$31</definedName>
    <definedName name="Z_E6BBE5A7_0B25_4EE8_BA45_5EA5DBAF3AD4_.wvu.PrintArea" localSheetId="15" hidden="1">'3.1'!$A$1:$F$53</definedName>
    <definedName name="Z_E6BBE5A7_0B25_4EE8_BA45_5EA5DBAF3AD4_.wvu.PrintArea" localSheetId="16" hidden="1">'4.1'!$A$1:$P$53</definedName>
    <definedName name="Z_E6BBE5A7_0B25_4EE8_BA45_5EA5DBAF3AD4_.wvu.PrintArea" localSheetId="17" hidden="1">'4.2'!$A$1:$G$39</definedName>
    <definedName name="Z_E6BBE5A7_0B25_4EE8_BA45_5EA5DBAF3AD4_.wvu.PrintArea" localSheetId="18" hidden="1">'4.3'!$A$1:$N$63</definedName>
    <definedName name="Z_E6BBE5A7_0B25_4EE8_BA45_5EA5DBAF3AD4_.wvu.PrintArea" localSheetId="21" hidden="1">'5.3-5.4'!$A$1:$F$44</definedName>
    <definedName name="Z_E6BBE5A7_0B25_4EE8_BA45_5EA5DBAF3AD4_.wvu.PrintArea" localSheetId="22" hidden="1">'5.5'!$A$1:$G$157</definedName>
    <definedName name="Z_E6BBE5A7_0B25_4EE8_BA45_5EA5DBAF3AD4_.wvu.PrintArea" localSheetId="23" hidden="1">'5.6'!$A$1:$L$107</definedName>
    <definedName name="Z_E6BBE5A7_0B25_4EE8_BA45_5EA5DBAF3AD4_.wvu.PrintArea" localSheetId="29" hidden="1">'7.1'!$A$1:$D$24</definedName>
    <definedName name="Z_E6BBE5A7_0B25_4EE8_BA45_5EA5DBAF3AD4_.wvu.PrintArea" localSheetId="3" hidden="1">ByAcct!$A$1:$P$48</definedName>
    <definedName name="Z_E6BBE5A7_0B25_4EE8_BA45_5EA5DBAF3AD4_.wvu.PrintArea" localSheetId="30" hidden="1">Directory!$A$1:$J$18</definedName>
    <definedName name="Z_E6BBE5A7_0B25_4EE8_BA45_5EA5DBAF3AD4_.wvu.PrintArea" localSheetId="2" hidden="1">RevExp!$A$1:$R$50</definedName>
    <definedName name="Z_E6BBE5A7_0B25_4EE8_BA45_5EA5DBAF3AD4_.wvu.PrintArea" localSheetId="0" hidden="1">TitlePage!$A$1:$H$20</definedName>
    <definedName name="Z_E6BBE5A7_0B25_4EE8_BA45_5EA5DBAF3AD4_.wvu.PrintArea" localSheetId="1" hidden="1">TOC!$A$1:$E$50</definedName>
    <definedName name="Z_E6BBE5A7_0B25_4EE8_BA45_5EA5DBAF3AD4_.wvu.PrintTitles" localSheetId="15" hidden="1">'3.1'!$5:$5</definedName>
  </definedNames>
  <calcPr calcId="162913" iterate="1" iterateCount="1000" calcOnSave="0"/>
  <customWorkbookViews>
    <customWorkbookView name="vgh89228 - Personal View" guid="{E6BBE5A7-0B25-4EE8-BA45-5EA5DBAF3AD4}" mergeInterval="0" personalView="1" maximized="1" xWindow="1" yWindow="1" windowWidth="1280" windowHeight="720" tabRatio="735" activeSheetId="7"/>
  </customWorkbookViews>
</workbook>
</file>

<file path=xl/calcChain.xml><?xml version="1.0" encoding="utf-8"?>
<calcChain xmlns="http://schemas.openxmlformats.org/spreadsheetml/2006/main">
  <c r="C16" i="17" l="1"/>
  <c r="I15" i="17" l="1"/>
  <c r="H15" i="17"/>
  <c r="B13" i="17" l="1"/>
  <c r="B12" i="17"/>
  <c r="G15" i="17" l="1"/>
  <c r="F15" i="17" l="1"/>
  <c r="E15" i="17"/>
  <c r="D15" i="17"/>
  <c r="J15" i="17"/>
  <c r="C15" i="17"/>
  <c r="F16" i="17"/>
  <c r="G16" i="17"/>
  <c r="H16" i="17"/>
  <c r="H17" i="17" s="1"/>
  <c r="I16" i="17"/>
  <c r="J16" i="17"/>
  <c r="F17" i="17"/>
  <c r="G17" i="17"/>
  <c r="I17" i="17"/>
  <c r="J17" i="17"/>
  <c r="L16" i="17"/>
  <c r="K16" i="17"/>
  <c r="K17" i="17" s="1"/>
  <c r="I28" i="4" l="1"/>
  <c r="D20" i="12" l="1"/>
  <c r="G20" i="12"/>
  <c r="J20" i="12"/>
  <c r="L20" i="12"/>
  <c r="M20" i="12"/>
  <c r="I20" i="12"/>
  <c r="F20" i="12"/>
  <c r="C20" i="12"/>
  <c r="F140" i="47" l="1"/>
  <c r="E134" i="46"/>
  <c r="E135" i="46"/>
  <c r="E136" i="46"/>
  <c r="E137" i="46"/>
  <c r="E138" i="46"/>
  <c r="E9" i="17" l="1"/>
  <c r="D9" i="17"/>
  <c r="D12" i="17" l="1"/>
  <c r="D13" i="17"/>
  <c r="D14" i="17"/>
  <c r="D17" i="17" s="1"/>
  <c r="E10" i="17"/>
  <c r="E11" i="17"/>
  <c r="E12" i="17"/>
  <c r="E13" i="17"/>
  <c r="A170" i="11" l="1"/>
  <c r="A173" i="10"/>
  <c r="B47" i="3" l="1"/>
  <c r="C47" i="3"/>
  <c r="D47" i="3"/>
  <c r="E47" i="3"/>
  <c r="F47" i="3"/>
  <c r="G47" i="3"/>
  <c r="H47" i="3"/>
  <c r="H19" i="44" l="1"/>
  <c r="H18" i="44"/>
  <c r="H17" i="44"/>
  <c r="H16" i="44"/>
  <c r="H11" i="44"/>
  <c r="H10" i="44"/>
  <c r="H9" i="44"/>
  <c r="H8" i="44"/>
  <c r="C140" i="47" l="1"/>
  <c r="D140" i="47"/>
  <c r="E140" i="47"/>
  <c r="G140" i="47"/>
  <c r="H140" i="47"/>
  <c r="I140" i="47"/>
  <c r="J140" i="47"/>
  <c r="K140" i="47"/>
  <c r="L140" i="47"/>
  <c r="M140" i="47"/>
  <c r="N140" i="47"/>
  <c r="O140" i="47"/>
  <c r="B140" i="47"/>
  <c r="C198" i="47"/>
  <c r="D198" i="47"/>
  <c r="E198" i="47"/>
  <c r="F198" i="47"/>
  <c r="G198" i="47"/>
  <c r="H198" i="47"/>
  <c r="I198" i="47"/>
  <c r="J198" i="47"/>
  <c r="K198" i="47"/>
  <c r="L198" i="47"/>
  <c r="M198" i="47"/>
  <c r="N198" i="47"/>
  <c r="O198" i="47"/>
  <c r="P198" i="47"/>
  <c r="B198" i="47"/>
  <c r="F191" i="45" l="1"/>
  <c r="E191" i="45"/>
  <c r="F190" i="45"/>
  <c r="E190" i="45"/>
  <c r="F189" i="45"/>
  <c r="E189" i="45"/>
  <c r="F188" i="45"/>
  <c r="E188" i="45"/>
  <c r="B194" i="46" s="1"/>
  <c r="F187" i="45"/>
  <c r="E187" i="45"/>
  <c r="F186" i="45"/>
  <c r="E186" i="45"/>
  <c r="F185" i="45"/>
  <c r="E185" i="45"/>
  <c r="F184" i="45"/>
  <c r="E184" i="45"/>
  <c r="F183" i="45"/>
  <c r="E183" i="45"/>
  <c r="F182" i="45"/>
  <c r="E182" i="45"/>
  <c r="B188" i="46" s="1"/>
  <c r="F181" i="45"/>
  <c r="E181" i="45"/>
  <c r="F180" i="45"/>
  <c r="E180" i="45"/>
  <c r="F179" i="45"/>
  <c r="E179" i="45"/>
  <c r="F178" i="45"/>
  <c r="E178" i="45"/>
  <c r="F177" i="45"/>
  <c r="E177" i="45"/>
  <c r="F176" i="45"/>
  <c r="E176" i="45"/>
  <c r="B182" i="46" s="1"/>
  <c r="F175" i="45"/>
  <c r="E175" i="45"/>
  <c r="F174" i="45"/>
  <c r="E174" i="45"/>
  <c r="F173" i="45"/>
  <c r="E173" i="45"/>
  <c r="F172" i="45"/>
  <c r="E172" i="45"/>
  <c r="F171" i="45"/>
  <c r="E171" i="45"/>
  <c r="F164" i="45"/>
  <c r="E164" i="45"/>
  <c r="F163" i="45"/>
  <c r="E163" i="45"/>
  <c r="F162" i="45"/>
  <c r="E162" i="45"/>
  <c r="F161" i="45"/>
  <c r="E161" i="45"/>
  <c r="F160" i="45"/>
  <c r="E160" i="45"/>
  <c r="F159" i="45"/>
  <c r="E159" i="45"/>
  <c r="B164" i="46" s="1"/>
  <c r="F158" i="45"/>
  <c r="E158" i="45"/>
  <c r="B163" i="46" s="1"/>
  <c r="F157" i="45"/>
  <c r="E157" i="45"/>
  <c r="F156" i="45"/>
  <c r="E156" i="45"/>
  <c r="F155" i="45"/>
  <c r="E155" i="45"/>
  <c r="F154" i="45"/>
  <c r="E154" i="45"/>
  <c r="F153" i="45"/>
  <c r="E153" i="45"/>
  <c r="B158" i="46" s="1"/>
  <c r="F152" i="45"/>
  <c r="E152" i="45"/>
  <c r="F151" i="45"/>
  <c r="E151" i="45"/>
  <c r="F150" i="45"/>
  <c r="E150" i="45"/>
  <c r="B155" i="46" s="1"/>
  <c r="F149" i="45"/>
  <c r="E149" i="45"/>
  <c r="F148" i="45"/>
  <c r="E148" i="45"/>
  <c r="F147" i="45"/>
  <c r="E147" i="45"/>
  <c r="B152" i="46" s="1"/>
  <c r="F146" i="45"/>
  <c r="E146" i="45"/>
  <c r="F145" i="45"/>
  <c r="E145" i="45"/>
  <c r="F144" i="45"/>
  <c r="E144" i="45"/>
  <c r="F143" i="45"/>
  <c r="E143" i="45"/>
  <c r="F142" i="45"/>
  <c r="E142" i="45"/>
  <c r="B147" i="46" s="1"/>
  <c r="F134" i="45"/>
  <c r="E134" i="45"/>
  <c r="F133" i="45"/>
  <c r="E133" i="45"/>
  <c r="F132" i="45"/>
  <c r="E132" i="45"/>
  <c r="F131" i="45"/>
  <c r="E131" i="45"/>
  <c r="B135" i="46" s="1"/>
  <c r="F130" i="45"/>
  <c r="E130" i="45"/>
  <c r="F123" i="45"/>
  <c r="E123" i="45"/>
  <c r="F122" i="45"/>
  <c r="E122" i="45"/>
  <c r="F121" i="45"/>
  <c r="E121" i="45"/>
  <c r="F120" i="45"/>
  <c r="E120" i="45"/>
  <c r="F119" i="45"/>
  <c r="E119" i="45"/>
  <c r="F118" i="45"/>
  <c r="E118" i="45"/>
  <c r="F117" i="45"/>
  <c r="E117" i="45"/>
  <c r="F116" i="45"/>
  <c r="E116" i="45"/>
  <c r="F115" i="45"/>
  <c r="E115" i="45"/>
  <c r="F114" i="45"/>
  <c r="E114" i="45"/>
  <c r="F113" i="45"/>
  <c r="E113" i="45"/>
  <c r="F112" i="45"/>
  <c r="E112" i="45"/>
  <c r="F111" i="45"/>
  <c r="E111" i="45"/>
  <c r="F110" i="45"/>
  <c r="E110" i="45"/>
  <c r="F109" i="45"/>
  <c r="E109" i="45"/>
  <c r="F108" i="45"/>
  <c r="E108" i="45"/>
  <c r="F107" i="45"/>
  <c r="E107" i="45"/>
  <c r="F106" i="45"/>
  <c r="E106" i="45"/>
  <c r="B109" i="46" s="1"/>
  <c r="F105" i="45"/>
  <c r="E105" i="45"/>
  <c r="F104" i="45"/>
  <c r="E104" i="45"/>
  <c r="F103" i="45"/>
  <c r="E103" i="45"/>
  <c r="F102" i="45"/>
  <c r="E102" i="45"/>
  <c r="F101" i="45"/>
  <c r="E101" i="45"/>
  <c r="F100" i="45"/>
  <c r="E100" i="45"/>
  <c r="B103" i="46" s="1"/>
  <c r="F99" i="45"/>
  <c r="E99" i="45"/>
  <c r="F98" i="45"/>
  <c r="E98" i="45"/>
  <c r="F97" i="45"/>
  <c r="E97" i="45"/>
  <c r="F96" i="45"/>
  <c r="E96" i="45"/>
  <c r="F95" i="45"/>
  <c r="E95" i="45"/>
  <c r="F94" i="45"/>
  <c r="E94" i="45"/>
  <c r="F93" i="45"/>
  <c r="E93" i="45"/>
  <c r="F92" i="45"/>
  <c r="E92" i="45"/>
  <c r="F91" i="45"/>
  <c r="E91" i="45"/>
  <c r="F90" i="45"/>
  <c r="E90" i="45"/>
  <c r="F89" i="45"/>
  <c r="E89" i="45"/>
  <c r="F82" i="45"/>
  <c r="E82" i="45"/>
  <c r="F81" i="45"/>
  <c r="E81" i="45"/>
  <c r="F80" i="45"/>
  <c r="E80" i="45"/>
  <c r="F79" i="45"/>
  <c r="E79" i="45"/>
  <c r="F78" i="45"/>
  <c r="E78" i="45"/>
  <c r="F77" i="45"/>
  <c r="E77" i="45"/>
  <c r="B79" i="46" s="1"/>
  <c r="F76" i="45"/>
  <c r="E76" i="45"/>
  <c r="F75" i="45"/>
  <c r="E75" i="45"/>
  <c r="F74" i="45"/>
  <c r="E74" i="45"/>
  <c r="F73" i="45"/>
  <c r="E73" i="45"/>
  <c r="F72" i="45"/>
  <c r="E72" i="45"/>
  <c r="F71" i="45"/>
  <c r="E71" i="45"/>
  <c r="B73" i="46" s="1"/>
  <c r="F70" i="45"/>
  <c r="E70" i="45"/>
  <c r="F69" i="45"/>
  <c r="E69" i="45"/>
  <c r="F68" i="45"/>
  <c r="E68" i="45"/>
  <c r="F67" i="45"/>
  <c r="E67" i="45"/>
  <c r="F66" i="45"/>
  <c r="E66" i="45"/>
  <c r="F65" i="45"/>
  <c r="E65" i="45"/>
  <c r="B67" i="46" s="1"/>
  <c r="F64" i="45"/>
  <c r="E64" i="45"/>
  <c r="F63" i="45"/>
  <c r="E63" i="45"/>
  <c r="F62" i="45"/>
  <c r="E62" i="45"/>
  <c r="F61" i="45"/>
  <c r="E61" i="45"/>
  <c r="F60" i="45"/>
  <c r="E60" i="45"/>
  <c r="F59" i="45"/>
  <c r="E59" i="45"/>
  <c r="B61" i="46" s="1"/>
  <c r="F58" i="45"/>
  <c r="E58" i="45"/>
  <c r="F57" i="45"/>
  <c r="E57" i="45"/>
  <c r="F56" i="45"/>
  <c r="E56" i="45"/>
  <c r="F55" i="45"/>
  <c r="E55" i="45"/>
  <c r="F54" i="45"/>
  <c r="E54" i="45"/>
  <c r="F53" i="45"/>
  <c r="E53" i="45"/>
  <c r="B55" i="46" s="1"/>
  <c r="F52" i="45"/>
  <c r="E52" i="45"/>
  <c r="F51" i="45"/>
  <c r="E51" i="45"/>
  <c r="F50" i="45"/>
  <c r="E50" i="45"/>
  <c r="F49" i="45"/>
  <c r="E49" i="45"/>
  <c r="F48" i="45"/>
  <c r="E48" i="45"/>
  <c r="F41" i="45"/>
  <c r="F40" i="45"/>
  <c r="F39" i="45"/>
  <c r="F38" i="45"/>
  <c r="F37" i="45"/>
  <c r="F36" i="45"/>
  <c r="F35" i="45"/>
  <c r="F34" i="45"/>
  <c r="F33" i="45"/>
  <c r="F32" i="45"/>
  <c r="F31" i="45"/>
  <c r="F30" i="45"/>
  <c r="F29" i="45"/>
  <c r="F28" i="45"/>
  <c r="F27" i="45"/>
  <c r="F26" i="45"/>
  <c r="F25" i="45"/>
  <c r="F24" i="45"/>
  <c r="F23" i="45"/>
  <c r="F22" i="45"/>
  <c r="F21" i="45"/>
  <c r="F20" i="45"/>
  <c r="F19" i="45"/>
  <c r="F18" i="45"/>
  <c r="F17" i="45"/>
  <c r="F16" i="45"/>
  <c r="F15" i="45"/>
  <c r="F14" i="45"/>
  <c r="F13" i="45"/>
  <c r="F12" i="45"/>
  <c r="F11" i="45"/>
  <c r="F10" i="45"/>
  <c r="F9" i="45"/>
  <c r="F8" i="45"/>
  <c r="F7" i="45"/>
  <c r="E41" i="45"/>
  <c r="E40" i="45"/>
  <c r="E39" i="45"/>
  <c r="E38" i="45"/>
  <c r="E37" i="45"/>
  <c r="E36" i="45"/>
  <c r="B37" i="46" s="1"/>
  <c r="E35" i="45"/>
  <c r="E34" i="45"/>
  <c r="E33" i="45"/>
  <c r="E32" i="45"/>
  <c r="E31" i="45"/>
  <c r="E30" i="45"/>
  <c r="B31" i="46" s="1"/>
  <c r="E29" i="45"/>
  <c r="E28" i="45"/>
  <c r="E27" i="45"/>
  <c r="E26" i="45"/>
  <c r="E25" i="45"/>
  <c r="E24" i="45"/>
  <c r="E23" i="45"/>
  <c r="E22" i="45"/>
  <c r="E21" i="45"/>
  <c r="E20" i="45"/>
  <c r="E19" i="45"/>
  <c r="E18" i="45"/>
  <c r="E17" i="45"/>
  <c r="E16" i="45"/>
  <c r="E15" i="45"/>
  <c r="E14" i="45"/>
  <c r="E13" i="45"/>
  <c r="E12" i="45"/>
  <c r="B13" i="46" s="1"/>
  <c r="E11" i="45"/>
  <c r="E10" i="45"/>
  <c r="E9" i="45"/>
  <c r="E8" i="45"/>
  <c r="B35" i="46"/>
  <c r="B19" i="46"/>
  <c r="E7" i="45"/>
  <c r="B197" i="46"/>
  <c r="B195" i="46"/>
  <c r="B193" i="46"/>
  <c r="B191" i="46"/>
  <c r="B189" i="46"/>
  <c r="B187" i="46"/>
  <c r="B185" i="46"/>
  <c r="B183" i="46"/>
  <c r="B181" i="46"/>
  <c r="B179" i="46"/>
  <c r="B177" i="46"/>
  <c r="E197" i="46"/>
  <c r="E196" i="46"/>
  <c r="E195" i="46"/>
  <c r="E194" i="46"/>
  <c r="E193" i="46"/>
  <c r="E192" i="46"/>
  <c r="E191" i="46"/>
  <c r="E190" i="46"/>
  <c r="E189" i="46"/>
  <c r="E188" i="46"/>
  <c r="E187" i="46"/>
  <c r="E186" i="46"/>
  <c r="E185" i="46"/>
  <c r="E184" i="46"/>
  <c r="E183" i="46"/>
  <c r="E182" i="46"/>
  <c r="E181" i="46"/>
  <c r="E180" i="46"/>
  <c r="E179" i="46"/>
  <c r="E178" i="46"/>
  <c r="E177" i="46"/>
  <c r="E169" i="46"/>
  <c r="E168" i="46"/>
  <c r="E167" i="46"/>
  <c r="E166" i="46"/>
  <c r="E165" i="46"/>
  <c r="E164" i="46"/>
  <c r="E163" i="46"/>
  <c r="E162" i="46"/>
  <c r="E161" i="46"/>
  <c r="E160" i="46"/>
  <c r="E159" i="46"/>
  <c r="E158" i="46"/>
  <c r="E157" i="46"/>
  <c r="E156" i="46"/>
  <c r="E155" i="46"/>
  <c r="E154" i="46"/>
  <c r="E153" i="46"/>
  <c r="E152" i="46"/>
  <c r="E151" i="46"/>
  <c r="E150" i="46"/>
  <c r="E149" i="46"/>
  <c r="E148" i="46"/>
  <c r="E147" i="46"/>
  <c r="E126" i="46"/>
  <c r="E125" i="46"/>
  <c r="E124" i="46"/>
  <c r="E123" i="46"/>
  <c r="E122" i="46"/>
  <c r="E121" i="46"/>
  <c r="E120" i="46"/>
  <c r="E119" i="46"/>
  <c r="E118" i="46"/>
  <c r="E117" i="46"/>
  <c r="E116" i="46"/>
  <c r="E115" i="46"/>
  <c r="E114" i="46"/>
  <c r="E113" i="46"/>
  <c r="E112" i="46"/>
  <c r="E111" i="46"/>
  <c r="E110" i="46"/>
  <c r="E109" i="46"/>
  <c r="E108" i="46"/>
  <c r="E107" i="46"/>
  <c r="E106" i="46"/>
  <c r="E105" i="46"/>
  <c r="E104" i="46"/>
  <c r="E103" i="46"/>
  <c r="E102" i="46"/>
  <c r="E101" i="46"/>
  <c r="E100" i="46"/>
  <c r="E99" i="46"/>
  <c r="E98" i="46"/>
  <c r="E97" i="46"/>
  <c r="E96" i="46"/>
  <c r="E95" i="46"/>
  <c r="E94" i="46"/>
  <c r="E93" i="46"/>
  <c r="E92" i="46"/>
  <c r="B125" i="46"/>
  <c r="B121" i="46"/>
  <c r="B119" i="46"/>
  <c r="B115" i="46"/>
  <c r="B113" i="46"/>
  <c r="B111" i="46"/>
  <c r="B107" i="46"/>
  <c r="B105" i="46"/>
  <c r="B104" i="46"/>
  <c r="B101" i="46"/>
  <c r="B99" i="46"/>
  <c r="B97" i="46"/>
  <c r="B93" i="46"/>
  <c r="E84" i="46"/>
  <c r="E83" i="46"/>
  <c r="E82" i="46"/>
  <c r="E81" i="46"/>
  <c r="E80" i="46"/>
  <c r="E79" i="46"/>
  <c r="E78" i="46"/>
  <c r="E77" i="46"/>
  <c r="E76" i="46"/>
  <c r="E75" i="46"/>
  <c r="E74" i="46"/>
  <c r="E73" i="46"/>
  <c r="E72" i="46"/>
  <c r="E71" i="46"/>
  <c r="E70" i="46"/>
  <c r="E69" i="46"/>
  <c r="E68" i="46"/>
  <c r="E67" i="46"/>
  <c r="E66" i="46"/>
  <c r="E65" i="46"/>
  <c r="E64" i="46"/>
  <c r="E63" i="46"/>
  <c r="E62" i="46"/>
  <c r="E61" i="46"/>
  <c r="E60" i="46"/>
  <c r="E59" i="46"/>
  <c r="E58" i="46"/>
  <c r="E57" i="46"/>
  <c r="E56" i="46"/>
  <c r="E55" i="46"/>
  <c r="E54" i="46"/>
  <c r="E53" i="46"/>
  <c r="E52" i="46"/>
  <c r="E51" i="46"/>
  <c r="E50" i="46"/>
  <c r="B84" i="46"/>
  <c r="B82" i="46"/>
  <c r="B80" i="46"/>
  <c r="B78" i="46"/>
  <c r="B76" i="46"/>
  <c r="B74" i="46"/>
  <c r="B72" i="46"/>
  <c r="B70" i="46"/>
  <c r="B68" i="46"/>
  <c r="B66" i="46"/>
  <c r="B64" i="46"/>
  <c r="B62" i="46"/>
  <c r="B60" i="46"/>
  <c r="B58" i="46"/>
  <c r="B56" i="46"/>
  <c r="B54" i="46"/>
  <c r="B52" i="46"/>
  <c r="B50" i="46"/>
  <c r="B42" i="46"/>
  <c r="B41" i="46"/>
  <c r="B38" i="46"/>
  <c r="B34" i="46"/>
  <c r="B33" i="46"/>
  <c r="B30" i="46"/>
  <c r="B26" i="46"/>
  <c r="B25" i="46"/>
  <c r="B22" i="46"/>
  <c r="B18" i="46"/>
  <c r="B17" i="46"/>
  <c r="B14" i="46"/>
  <c r="B10" i="46"/>
  <c r="B9" i="46"/>
  <c r="E8" i="46"/>
  <c r="E10" i="46"/>
  <c r="E11" i="46"/>
  <c r="E12" i="46"/>
  <c r="E13" i="46"/>
  <c r="E14" i="46"/>
  <c r="E15" i="46"/>
  <c r="E16" i="46"/>
  <c r="E17" i="46"/>
  <c r="E18" i="46"/>
  <c r="E19" i="46"/>
  <c r="E20" i="46"/>
  <c r="E21" i="46"/>
  <c r="E22" i="46"/>
  <c r="E23" i="46"/>
  <c r="E24" i="46"/>
  <c r="E25" i="46"/>
  <c r="E26" i="46"/>
  <c r="E27" i="46"/>
  <c r="E28" i="46"/>
  <c r="E29" i="46"/>
  <c r="E30" i="46"/>
  <c r="E31" i="46"/>
  <c r="E32" i="46"/>
  <c r="E33" i="46"/>
  <c r="E34" i="46"/>
  <c r="E35" i="46"/>
  <c r="E36" i="46"/>
  <c r="E37" i="46"/>
  <c r="E38" i="46"/>
  <c r="E39" i="46"/>
  <c r="E40" i="46"/>
  <c r="E41" i="46"/>
  <c r="E42" i="46"/>
  <c r="E9" i="46"/>
  <c r="B120" i="46" l="1"/>
  <c r="B21" i="46"/>
  <c r="B29" i="46"/>
  <c r="B95" i="46"/>
  <c r="B117" i="46"/>
  <c r="B123" i="46"/>
  <c r="F135" i="46"/>
  <c r="G135" i="46" s="1"/>
  <c r="B96" i="46"/>
  <c r="B112" i="46"/>
  <c r="B134" i="46"/>
  <c r="B136" i="46"/>
  <c r="B138" i="46"/>
  <c r="B137" i="46"/>
  <c r="B100" i="46"/>
  <c r="B116" i="46"/>
  <c r="B12" i="46"/>
  <c r="B92" i="46"/>
  <c r="B108" i="46"/>
  <c r="B124" i="46"/>
  <c r="P140" i="47"/>
  <c r="F191" i="46"/>
  <c r="F183" i="46"/>
  <c r="F181" i="46"/>
  <c r="F195" i="46"/>
  <c r="F185" i="46"/>
  <c r="F155" i="46"/>
  <c r="F41" i="46"/>
  <c r="F9" i="46"/>
  <c r="B184" i="46"/>
  <c r="B192" i="46"/>
  <c r="F177" i="46"/>
  <c r="B178" i="46"/>
  <c r="B196" i="46"/>
  <c r="G191" i="46"/>
  <c r="G195" i="46"/>
  <c r="B190" i="46"/>
  <c r="B180" i="46"/>
  <c r="B186" i="46"/>
  <c r="B149" i="46"/>
  <c r="B157" i="46"/>
  <c r="F149" i="46"/>
  <c r="B151" i="46"/>
  <c r="B159" i="46"/>
  <c r="B167" i="46"/>
  <c r="B148" i="46"/>
  <c r="B150" i="46"/>
  <c r="B154" i="46"/>
  <c r="B156" i="46"/>
  <c r="B160" i="46"/>
  <c r="B162" i="46"/>
  <c r="B166" i="46"/>
  <c r="B168" i="46"/>
  <c r="B165" i="46"/>
  <c r="B153" i="46"/>
  <c r="B161" i="46"/>
  <c r="B169" i="46"/>
  <c r="F92" i="46"/>
  <c r="F108" i="46"/>
  <c r="F96" i="46"/>
  <c r="F104" i="46"/>
  <c r="B94" i="46"/>
  <c r="B98" i="46"/>
  <c r="B102" i="46"/>
  <c r="B106" i="46"/>
  <c r="B110" i="46"/>
  <c r="B114" i="46"/>
  <c r="B118" i="46"/>
  <c r="B122" i="46"/>
  <c r="B126" i="46"/>
  <c r="F100" i="46"/>
  <c r="F120" i="46"/>
  <c r="F54" i="46"/>
  <c r="F62" i="46"/>
  <c r="F82" i="46"/>
  <c r="B51" i="46"/>
  <c r="B59" i="46"/>
  <c r="B63" i="46"/>
  <c r="B71" i="46"/>
  <c r="B75" i="46"/>
  <c r="B83" i="46"/>
  <c r="F70" i="46"/>
  <c r="F52" i="46"/>
  <c r="F60" i="46"/>
  <c r="F64" i="46"/>
  <c r="F68" i="46"/>
  <c r="F72" i="46"/>
  <c r="F76" i="46"/>
  <c r="F50" i="46"/>
  <c r="F58" i="46"/>
  <c r="F66" i="46"/>
  <c r="F74" i="46"/>
  <c r="F78" i="46"/>
  <c r="F56" i="46"/>
  <c r="B53" i="46"/>
  <c r="B57" i="46"/>
  <c r="B65" i="46"/>
  <c r="B69" i="46"/>
  <c r="B77" i="46"/>
  <c r="B81" i="46"/>
  <c r="B36" i="46"/>
  <c r="B32" i="46"/>
  <c r="B24" i="46"/>
  <c r="B8" i="46"/>
  <c r="F12" i="46"/>
  <c r="B20" i="46"/>
  <c r="B40" i="46"/>
  <c r="B28" i="46"/>
  <c r="B16" i="46"/>
  <c r="B11" i="46"/>
  <c r="B15" i="46"/>
  <c r="B23" i="46"/>
  <c r="B27" i="46"/>
  <c r="B39" i="46"/>
  <c r="F188" i="46"/>
  <c r="G188" i="46" s="1"/>
  <c r="F196" i="46"/>
  <c r="F184" i="46"/>
  <c r="F152" i="46"/>
  <c r="G152" i="46" s="1"/>
  <c r="F160" i="46"/>
  <c r="F164" i="46"/>
  <c r="G164" i="46" s="1"/>
  <c r="F97" i="46"/>
  <c r="G97" i="46" s="1"/>
  <c r="F105" i="46"/>
  <c r="F113" i="46"/>
  <c r="F121" i="46"/>
  <c r="G121" i="46" s="1"/>
  <c r="F125" i="46"/>
  <c r="F93" i="46"/>
  <c r="F101" i="46"/>
  <c r="F109" i="46"/>
  <c r="G109" i="46" s="1"/>
  <c r="F117" i="46"/>
  <c r="G82" i="46"/>
  <c r="F55" i="46"/>
  <c r="G55" i="46" s="1"/>
  <c r="F79" i="46"/>
  <c r="G79" i="46" s="1"/>
  <c r="G72" i="46"/>
  <c r="F51" i="46"/>
  <c r="G62" i="46"/>
  <c r="F67" i="46"/>
  <c r="G67" i="46" s="1"/>
  <c r="F75" i="46"/>
  <c r="G78" i="46"/>
  <c r="F42" i="46"/>
  <c r="F38" i="46"/>
  <c r="F34" i="46"/>
  <c r="F30" i="46"/>
  <c r="F26" i="46"/>
  <c r="F22" i="46"/>
  <c r="F18" i="46"/>
  <c r="F14" i="46"/>
  <c r="F10" i="46"/>
  <c r="F37" i="46"/>
  <c r="G37" i="46" s="1"/>
  <c r="F33" i="46"/>
  <c r="F29" i="46"/>
  <c r="F25" i="46"/>
  <c r="G25" i="46" s="1"/>
  <c r="F21" i="46"/>
  <c r="F17" i="46"/>
  <c r="F13" i="46"/>
  <c r="G13" i="46" s="1"/>
  <c r="F35" i="46"/>
  <c r="G183" i="46"/>
  <c r="F179" i="46"/>
  <c r="F187" i="46"/>
  <c r="G181" i="46"/>
  <c r="G177" i="46"/>
  <c r="F148" i="46"/>
  <c r="F147" i="46"/>
  <c r="G155" i="46"/>
  <c r="F163" i="46"/>
  <c r="G149" i="46"/>
  <c r="F151" i="46"/>
  <c r="F182" i="46"/>
  <c r="G182" i="46" s="1"/>
  <c r="F194" i="46"/>
  <c r="G194" i="46" s="1"/>
  <c r="F189" i="46"/>
  <c r="F193" i="46"/>
  <c r="F197" i="46"/>
  <c r="F150" i="46"/>
  <c r="F154" i="46"/>
  <c r="F158" i="46"/>
  <c r="G158" i="46" s="1"/>
  <c r="F162" i="46"/>
  <c r="F166" i="46"/>
  <c r="F99" i="46"/>
  <c r="F103" i="46"/>
  <c r="G103" i="46" s="1"/>
  <c r="F107" i="46"/>
  <c r="F111" i="46"/>
  <c r="F115" i="46"/>
  <c r="G115" i="46" s="1"/>
  <c r="F119" i="46"/>
  <c r="F123" i="46"/>
  <c r="F53" i="46"/>
  <c r="F61" i="46"/>
  <c r="G61" i="46" s="1"/>
  <c r="F65" i="46"/>
  <c r="F73" i="46"/>
  <c r="G73" i="46" s="1"/>
  <c r="F77" i="46"/>
  <c r="F80" i="46"/>
  <c r="F84" i="46"/>
  <c r="F31" i="46"/>
  <c r="G31" i="46" s="1"/>
  <c r="F19" i="46"/>
  <c r="G19" i="46" s="1"/>
  <c r="G9" i="46"/>
  <c r="G41" i="46"/>
  <c r="F190" i="46" l="1"/>
  <c r="F168" i="46"/>
  <c r="F192" i="46"/>
  <c r="F57" i="46"/>
  <c r="G57" i="46" s="1"/>
  <c r="G60" i="46"/>
  <c r="F124" i="46"/>
  <c r="G70" i="46"/>
  <c r="F95" i="46"/>
  <c r="G95" i="46" s="1"/>
  <c r="F63" i="46"/>
  <c r="F116" i="46"/>
  <c r="F137" i="46"/>
  <c r="G137" i="46" s="1"/>
  <c r="F136" i="46"/>
  <c r="G136" i="46" s="1"/>
  <c r="F27" i="46"/>
  <c r="F71" i="46"/>
  <c r="G71" i="46" s="1"/>
  <c r="F138" i="46"/>
  <c r="G138" i="46" s="1"/>
  <c r="F134" i="46"/>
  <c r="G134" i="46" s="1"/>
  <c r="F8" i="46"/>
  <c r="F69" i="46"/>
  <c r="G69" i="46" s="1"/>
  <c r="F15" i="46"/>
  <c r="F112" i="46"/>
  <c r="F178" i="46"/>
  <c r="F169" i="46"/>
  <c r="G185" i="46"/>
  <c r="F83" i="46"/>
  <c r="G96" i="46"/>
  <c r="G108" i="46"/>
  <c r="F180" i="46"/>
  <c r="G180" i="46" s="1"/>
  <c r="G147" i="46"/>
  <c r="G120" i="46"/>
  <c r="G104" i="46"/>
  <c r="G100" i="46"/>
  <c r="G54" i="46"/>
  <c r="G56" i="46"/>
  <c r="G66" i="46"/>
  <c r="G50" i="46"/>
  <c r="G52" i="46"/>
  <c r="G74" i="46"/>
  <c r="G58" i="46"/>
  <c r="G68" i="46"/>
  <c r="G187" i="46"/>
  <c r="G197" i="46"/>
  <c r="G190" i="46"/>
  <c r="G179" i="46"/>
  <c r="G196" i="46"/>
  <c r="G184" i="46"/>
  <c r="G178" i="46"/>
  <c r="G193" i="46"/>
  <c r="F186" i="46"/>
  <c r="G192" i="46"/>
  <c r="G189" i="46"/>
  <c r="G163" i="46"/>
  <c r="G162" i="46"/>
  <c r="G169" i="46"/>
  <c r="G148" i="46"/>
  <c r="F159" i="46"/>
  <c r="F161" i="46"/>
  <c r="G160" i="46"/>
  <c r="G154" i="46"/>
  <c r="F153" i="46"/>
  <c r="F156" i="46"/>
  <c r="F165" i="46"/>
  <c r="F167" i="46"/>
  <c r="G166" i="46"/>
  <c r="G150" i="46"/>
  <c r="G151" i="46"/>
  <c r="G168" i="46"/>
  <c r="F157" i="46"/>
  <c r="G119" i="46"/>
  <c r="F110" i="46"/>
  <c r="G116" i="46"/>
  <c r="F118" i="46"/>
  <c r="F102" i="46"/>
  <c r="G93" i="46"/>
  <c r="G105" i="46"/>
  <c r="G124" i="46"/>
  <c r="F94" i="46"/>
  <c r="F126" i="46"/>
  <c r="G99" i="46"/>
  <c r="F106" i="46"/>
  <c r="F122" i="46"/>
  <c r="G111" i="46"/>
  <c r="G117" i="46"/>
  <c r="G101" i="46"/>
  <c r="G125" i="46"/>
  <c r="G113" i="46"/>
  <c r="G123" i="46"/>
  <c r="G107" i="46"/>
  <c r="G92" i="46"/>
  <c r="F114" i="46"/>
  <c r="F98" i="46"/>
  <c r="G64" i="46"/>
  <c r="G80" i="46"/>
  <c r="G53" i="46"/>
  <c r="G75" i="46"/>
  <c r="F59" i="46"/>
  <c r="F81" i="46"/>
  <c r="G65" i="46"/>
  <c r="G84" i="46"/>
  <c r="G77" i="46"/>
  <c r="G51" i="46"/>
  <c r="G63" i="46"/>
  <c r="G76" i="46"/>
  <c r="G17" i="46"/>
  <c r="G18" i="46"/>
  <c r="F40" i="46"/>
  <c r="G12" i="46"/>
  <c r="F24" i="46"/>
  <c r="G8" i="46"/>
  <c r="F23" i="46"/>
  <c r="G21" i="46"/>
  <c r="G22" i="46"/>
  <c r="G38" i="46"/>
  <c r="F16" i="46"/>
  <c r="F32" i="46"/>
  <c r="F11" i="46"/>
  <c r="G10" i="46"/>
  <c r="G26" i="46"/>
  <c r="G42" i="46"/>
  <c r="F28" i="46"/>
  <c r="F20" i="46"/>
  <c r="G33" i="46"/>
  <c r="G34" i="46"/>
  <c r="G35" i="46"/>
  <c r="G27" i="46"/>
  <c r="G29" i="46"/>
  <c r="G14" i="46"/>
  <c r="G30" i="46"/>
  <c r="F39" i="46"/>
  <c r="F36" i="46"/>
  <c r="I36" i="3"/>
  <c r="H37" i="3"/>
  <c r="H36" i="3"/>
  <c r="H35" i="3"/>
  <c r="H34" i="3"/>
  <c r="G83" i="46" l="1"/>
  <c r="G15" i="46"/>
  <c r="G112" i="46"/>
  <c r="G186" i="46"/>
  <c r="G156" i="46"/>
  <c r="G157" i="46"/>
  <c r="G153" i="46"/>
  <c r="G167" i="46"/>
  <c r="G161" i="46"/>
  <c r="G165" i="46"/>
  <c r="G159" i="46"/>
  <c r="G94" i="46"/>
  <c r="G102" i="46"/>
  <c r="G110" i="46"/>
  <c r="G126" i="46"/>
  <c r="G118" i="46"/>
  <c r="G98" i="46"/>
  <c r="G122" i="46"/>
  <c r="G114" i="46"/>
  <c r="G106" i="46"/>
  <c r="G59" i="46"/>
  <c r="G81" i="46"/>
  <c r="G28" i="46"/>
  <c r="G11" i="46"/>
  <c r="G39" i="46"/>
  <c r="G32" i="46"/>
  <c r="G36" i="46"/>
  <c r="G16" i="46"/>
  <c r="G20" i="46"/>
  <c r="G23" i="46"/>
  <c r="G24" i="46"/>
  <c r="G40" i="46"/>
  <c r="H27" i="44"/>
  <c r="G27" i="44"/>
  <c r="F27" i="44"/>
  <c r="E27" i="44"/>
  <c r="D27" i="44"/>
  <c r="C27" i="44"/>
  <c r="B19" i="44"/>
  <c r="B27" i="44" s="1"/>
  <c r="B12" i="44"/>
  <c r="B20" i="44" s="1"/>
  <c r="B28" i="44" s="1"/>
  <c r="P199" i="47"/>
  <c r="N199" i="47"/>
  <c r="L199" i="47"/>
  <c r="J199" i="47"/>
  <c r="H199" i="47"/>
  <c r="F199" i="47"/>
  <c r="D199" i="47"/>
  <c r="B199" i="47"/>
  <c r="A45" i="47"/>
  <c r="A87" i="47" s="1"/>
  <c r="A129" i="47" s="1"/>
  <c r="A171" i="47" s="1"/>
  <c r="H199" i="46"/>
  <c r="D199" i="46"/>
  <c r="C199" i="46"/>
  <c r="E199" i="46"/>
  <c r="F199" i="46"/>
  <c r="H140" i="46"/>
  <c r="F140" i="46"/>
  <c r="E140" i="46"/>
  <c r="D140" i="46"/>
  <c r="C140" i="46"/>
  <c r="B140" i="46"/>
  <c r="A44" i="46"/>
  <c r="A86" i="46" s="1"/>
  <c r="A128" i="46" s="1"/>
  <c r="A171" i="46" s="1"/>
  <c r="G193" i="45"/>
  <c r="F193" i="45"/>
  <c r="E193" i="45"/>
  <c r="D193" i="45"/>
  <c r="C193" i="45"/>
  <c r="B193" i="45"/>
  <c r="G136" i="45"/>
  <c r="G194" i="45" s="1"/>
  <c r="F136" i="45"/>
  <c r="F194" i="45" s="1"/>
  <c r="E136" i="45"/>
  <c r="E194" i="45" s="1"/>
  <c r="D136" i="45"/>
  <c r="D194" i="45" s="1"/>
  <c r="C136" i="45"/>
  <c r="C194" i="45" s="1"/>
  <c r="B136" i="45"/>
  <c r="B194" i="45" s="1"/>
  <c r="A43" i="45"/>
  <c r="A84" i="45" s="1"/>
  <c r="A125" i="45" s="1"/>
  <c r="A166" i="45" s="1"/>
  <c r="H26" i="44"/>
  <c r="G26" i="44"/>
  <c r="F26" i="44"/>
  <c r="E26" i="44"/>
  <c r="D26" i="44"/>
  <c r="C26" i="44"/>
  <c r="H25" i="44"/>
  <c r="G25" i="44"/>
  <c r="F25" i="44"/>
  <c r="E25" i="44"/>
  <c r="D25" i="44"/>
  <c r="C25" i="44"/>
  <c r="H24" i="44"/>
  <c r="G24" i="44"/>
  <c r="F24" i="44"/>
  <c r="E24" i="44"/>
  <c r="D24" i="44"/>
  <c r="C24" i="44"/>
  <c r="H23" i="44"/>
  <c r="G23" i="44"/>
  <c r="F23" i="44"/>
  <c r="E23" i="44"/>
  <c r="D23" i="44"/>
  <c r="C23" i="44"/>
  <c r="B18" i="44"/>
  <c r="B26" i="44" s="1"/>
  <c r="B17" i="44"/>
  <c r="B25" i="44" s="1"/>
  <c r="B16" i="44"/>
  <c r="B24" i="44" s="1"/>
  <c r="B15" i="44"/>
  <c r="B23" i="44" s="1"/>
  <c r="C200" i="46" l="1"/>
  <c r="H200" i="46"/>
  <c r="F200" i="46"/>
  <c r="D200" i="46"/>
  <c r="B200" i="46"/>
  <c r="E200" i="46"/>
  <c r="E202" i="46" s="1"/>
  <c r="F201" i="47"/>
  <c r="N201" i="47"/>
  <c r="B201" i="47"/>
  <c r="J201" i="47"/>
  <c r="C202" i="46"/>
  <c r="B199" i="46"/>
  <c r="D196" i="45"/>
  <c r="C196" i="45"/>
  <c r="E196" i="45"/>
  <c r="G196" i="45"/>
  <c r="G199" i="46"/>
  <c r="D201" i="47"/>
  <c r="L201" i="47"/>
  <c r="B196" i="45"/>
  <c r="F196" i="45"/>
  <c r="H201" i="47"/>
  <c r="P201" i="47"/>
  <c r="G140" i="46"/>
  <c r="G20" i="44" l="1"/>
  <c r="G12" i="44"/>
  <c r="E20" i="44"/>
  <c r="F12" i="44"/>
  <c r="F20" i="44"/>
  <c r="D20" i="44"/>
  <c r="E12" i="44"/>
  <c r="D12" i="44"/>
  <c r="F202" i="46"/>
  <c r="B202" i="46"/>
  <c r="D202" i="46"/>
  <c r="G200" i="46"/>
  <c r="H202" i="46"/>
  <c r="C20" i="44"/>
  <c r="C12" i="44"/>
  <c r="D28" i="44" l="1"/>
  <c r="G202" i="46"/>
  <c r="H20" i="44"/>
  <c r="F28" i="44"/>
  <c r="E28" i="44"/>
  <c r="G28" i="44"/>
  <c r="H12" i="44"/>
  <c r="C28" i="44"/>
  <c r="H28" i="44" l="1"/>
  <c r="F153" i="24"/>
  <c r="F43" i="24"/>
  <c r="F82" i="24" l="1"/>
  <c r="F113" i="24" s="1"/>
  <c r="F154" i="24" l="1"/>
  <c r="F156" i="24" s="1"/>
  <c r="F109" i="24"/>
  <c r="I43" i="22" l="1"/>
  <c r="H43" i="22"/>
  <c r="G43" i="22"/>
  <c r="F43" i="22"/>
  <c r="E43" i="22"/>
  <c r="D43" i="22"/>
  <c r="C43" i="22"/>
  <c r="B43" i="22"/>
  <c r="I42" i="22"/>
  <c r="H42" i="22"/>
  <c r="G42" i="22"/>
  <c r="F42" i="22"/>
  <c r="E42" i="22"/>
  <c r="D42" i="22"/>
  <c r="C42" i="22"/>
  <c r="B42" i="22"/>
  <c r="H17" i="22"/>
  <c r="G17" i="22"/>
  <c r="F17" i="22"/>
  <c r="E17" i="22"/>
  <c r="D17" i="22"/>
  <c r="C17" i="22"/>
  <c r="B17" i="22"/>
  <c r="H16" i="22"/>
  <c r="G16" i="22"/>
  <c r="F16" i="22"/>
  <c r="E16" i="22"/>
  <c r="D16" i="22"/>
  <c r="C16" i="22"/>
  <c r="B16" i="22"/>
  <c r="G18" i="21"/>
  <c r="F18" i="21"/>
  <c r="E18" i="21"/>
  <c r="D18" i="21"/>
  <c r="C18" i="21"/>
  <c r="B18" i="21"/>
  <c r="G17" i="21" l="1"/>
  <c r="F17" i="21"/>
  <c r="E17" i="21"/>
  <c r="D17" i="21"/>
  <c r="C17" i="21"/>
  <c r="B17" i="21"/>
  <c r="O16" i="17" l="1"/>
  <c r="N16" i="17"/>
  <c r="B16" i="17"/>
  <c r="E14" i="17"/>
  <c r="E17" i="17" s="1"/>
  <c r="M6" i="17"/>
  <c r="M7" i="17"/>
  <c r="P7" i="17" s="1"/>
  <c r="M8" i="17"/>
  <c r="P8" i="17" s="1"/>
  <c r="M9" i="17"/>
  <c r="M10" i="17"/>
  <c r="P10" i="17" s="1"/>
  <c r="M11" i="17"/>
  <c r="P11" i="17" s="1"/>
  <c r="M12" i="17"/>
  <c r="P12" i="17" s="1"/>
  <c r="M13" i="17"/>
  <c r="P13" i="17" s="1"/>
  <c r="B15" i="17"/>
  <c r="D15" i="14"/>
  <c r="P9" i="17" l="1"/>
  <c r="B17" i="17"/>
  <c r="M16" i="17"/>
  <c r="M14" i="17"/>
  <c r="B39" i="3"/>
  <c r="B41" i="3" s="1"/>
  <c r="B31" i="3"/>
  <c r="B13" i="3"/>
  <c r="B17" i="3"/>
  <c r="B16" i="3"/>
  <c r="B18" i="3" s="1"/>
  <c r="B8" i="3"/>
  <c r="C39" i="3"/>
  <c r="C31" i="3"/>
  <c r="C17" i="3"/>
  <c r="C16" i="3"/>
  <c r="C8" i="3"/>
  <c r="D39" i="3"/>
  <c r="D31" i="3"/>
  <c r="D17" i="3"/>
  <c r="D16" i="3"/>
  <c r="D8" i="3"/>
  <c r="E39" i="3"/>
  <c r="E31" i="3"/>
  <c r="E17" i="3"/>
  <c r="E16" i="3"/>
  <c r="E8" i="3"/>
  <c r="F39" i="3"/>
  <c r="F31" i="3"/>
  <c r="F17" i="3"/>
  <c r="F16" i="3"/>
  <c r="F8" i="3"/>
  <c r="G39" i="3"/>
  <c r="G31" i="3"/>
  <c r="G8" i="3"/>
  <c r="K1" i="3"/>
  <c r="I8" i="3"/>
  <c r="H8" i="3"/>
  <c r="P14" i="17" l="1"/>
  <c r="P16" i="17"/>
  <c r="D18" i="3"/>
  <c r="C13" i="3"/>
  <c r="C41" i="3" s="1"/>
  <c r="D13" i="3"/>
  <c r="D41" i="3" s="1"/>
  <c r="C18" i="3"/>
  <c r="E18" i="3"/>
  <c r="F18" i="3"/>
  <c r="E13" i="3"/>
  <c r="E41" i="3" s="1"/>
  <c r="F13" i="3"/>
  <c r="F41" i="3" s="1"/>
  <c r="P17" i="17" l="1"/>
  <c r="O15" i="17"/>
  <c r="N15" i="17"/>
  <c r="H28" i="4"/>
  <c r="M15" i="17" l="1"/>
  <c r="P15" i="17" l="1"/>
  <c r="K3" i="4"/>
  <c r="K36" i="4"/>
  <c r="K33" i="4"/>
  <c r="K32" i="4"/>
  <c r="K28" i="4"/>
  <c r="H36" i="4"/>
  <c r="H35" i="4"/>
  <c r="K35" i="4" s="1"/>
  <c r="H34" i="4"/>
  <c r="K34" i="4" s="1"/>
  <c r="H33" i="4"/>
  <c r="H32" i="4"/>
  <c r="H31" i="4"/>
  <c r="K31" i="4" s="1"/>
  <c r="H30" i="4"/>
  <c r="K30" i="4" s="1"/>
  <c r="H29" i="4"/>
  <c r="K29" i="4" s="1"/>
  <c r="H27" i="4"/>
  <c r="K27" i="4" s="1"/>
  <c r="H26" i="4"/>
  <c r="K26" i="4" s="1"/>
  <c r="H25" i="4"/>
  <c r="K25" i="4" s="1"/>
  <c r="H24" i="4"/>
  <c r="K24" i="4" s="1"/>
  <c r="H23" i="4"/>
  <c r="K23" i="4" s="1"/>
  <c r="H22" i="4"/>
  <c r="K22" i="4" s="1"/>
  <c r="H21" i="4"/>
  <c r="H38" i="4" s="1"/>
  <c r="H12" i="3" s="1"/>
  <c r="H17" i="3" s="1"/>
  <c r="H16" i="4"/>
  <c r="K16" i="4" s="1"/>
  <c r="H15" i="4"/>
  <c r="K15" i="4" s="1"/>
  <c r="H14" i="4"/>
  <c r="K14" i="4" s="1"/>
  <c r="H13" i="4"/>
  <c r="K13" i="4" s="1"/>
  <c r="H12" i="4"/>
  <c r="K12" i="4" s="1"/>
  <c r="H11" i="4"/>
  <c r="K11" i="4" s="1"/>
  <c r="H10" i="4"/>
  <c r="K10" i="4" s="1"/>
  <c r="H9" i="4"/>
  <c r="H18" i="4" s="1"/>
  <c r="H8" i="4"/>
  <c r="K8" i="4" s="1"/>
  <c r="H7" i="4"/>
  <c r="H40" i="4" l="1"/>
  <c r="H41" i="4" s="1"/>
  <c r="H11" i="3"/>
  <c r="H16" i="3" s="1"/>
  <c r="K9" i="4"/>
  <c r="K21" i="4"/>
  <c r="I43" i="13"/>
  <c r="H43" i="13"/>
  <c r="F33" i="18" l="1"/>
  <c r="M56" i="19" l="1"/>
  <c r="L56" i="19"/>
  <c r="D60" i="19"/>
  <c r="D59" i="19"/>
  <c r="D58" i="19"/>
  <c r="D57" i="19"/>
  <c r="D56" i="19"/>
  <c r="D55" i="19"/>
  <c r="D54" i="19"/>
  <c r="D53" i="19"/>
  <c r="D52" i="19"/>
  <c r="D51" i="19"/>
  <c r="M31" i="19"/>
  <c r="M57" i="19" s="1"/>
  <c r="L31" i="19"/>
  <c r="L57" i="19" s="1"/>
  <c r="N30" i="19"/>
  <c r="N29" i="19"/>
  <c r="N28" i="19"/>
  <c r="N27" i="19"/>
  <c r="N26" i="19"/>
  <c r="N25" i="19"/>
  <c r="N24" i="19"/>
  <c r="N23" i="19"/>
  <c r="N22" i="19"/>
  <c r="N21" i="19"/>
  <c r="N20" i="19"/>
  <c r="N19" i="19"/>
  <c r="N18" i="19"/>
  <c r="N17" i="19"/>
  <c r="N16" i="19"/>
  <c r="N15" i="19"/>
  <c r="N14" i="19"/>
  <c r="N13" i="19"/>
  <c r="N12" i="19"/>
  <c r="N11" i="19"/>
  <c r="N10" i="19"/>
  <c r="N9" i="19"/>
  <c r="N8" i="19"/>
  <c r="N7" i="19"/>
  <c r="N6" i="19"/>
  <c r="N56" i="19" l="1"/>
  <c r="N31" i="19"/>
  <c r="F19" i="23"/>
  <c r="F20" i="23"/>
  <c r="F22" i="23"/>
  <c r="F23" i="23"/>
  <c r="F24" i="23"/>
  <c r="F25" i="23"/>
  <c r="F26" i="23"/>
  <c r="F13" i="23"/>
  <c r="F12" i="23"/>
  <c r="F11" i="23"/>
  <c r="F10" i="23"/>
  <c r="F9" i="23"/>
  <c r="F8" i="23"/>
  <c r="F7" i="23"/>
  <c r="F6" i="23"/>
  <c r="K98" i="25" l="1"/>
  <c r="H45" i="25"/>
  <c r="K100" i="25" s="1"/>
  <c r="E52" i="25"/>
  <c r="K99" i="25" s="1"/>
  <c r="A3" i="11" l="1"/>
  <c r="G160" i="11"/>
  <c r="B160" i="11"/>
  <c r="B115" i="11"/>
  <c r="L118" i="10" l="1"/>
  <c r="K118" i="10"/>
  <c r="J118" i="10"/>
  <c r="H118" i="10"/>
  <c r="G118" i="10"/>
  <c r="F118" i="10"/>
  <c r="E118" i="10"/>
  <c r="C118" i="10"/>
  <c r="B118" i="10"/>
  <c r="L165" i="10"/>
  <c r="K165" i="10"/>
  <c r="J165" i="10"/>
  <c r="H165" i="10"/>
  <c r="G165" i="10"/>
  <c r="F165" i="10"/>
  <c r="E165" i="10"/>
  <c r="C165" i="10"/>
  <c r="B165" i="10"/>
  <c r="B46" i="9" l="1"/>
  <c r="C46" i="9"/>
  <c r="C88" i="9" s="1"/>
  <c r="D46" i="9"/>
  <c r="D88" i="9" s="1"/>
  <c r="E46" i="9"/>
  <c r="E88" i="9" s="1"/>
  <c r="F46" i="9"/>
  <c r="G46" i="9"/>
  <c r="H46" i="9"/>
  <c r="H88" i="9" s="1"/>
  <c r="I46" i="9"/>
  <c r="I88" i="9" s="1"/>
  <c r="J46" i="9"/>
  <c r="K46" i="9"/>
  <c r="K88" i="9" s="1"/>
  <c r="L46" i="9"/>
  <c r="L88" i="9" s="1"/>
  <c r="B88" i="9"/>
  <c r="F88" i="9"/>
  <c r="G88" i="9"/>
  <c r="J88" i="9"/>
  <c r="C167" i="9" l="1"/>
  <c r="D167" i="9"/>
  <c r="E167" i="9"/>
  <c r="F167" i="9"/>
  <c r="G167" i="9"/>
  <c r="H167" i="9"/>
  <c r="I167" i="9"/>
  <c r="J167" i="9"/>
  <c r="K167" i="9"/>
  <c r="L167" i="9"/>
  <c r="B167" i="9"/>
  <c r="C118" i="9"/>
  <c r="D118" i="9"/>
  <c r="E118" i="9"/>
  <c r="F118" i="9"/>
  <c r="G118" i="9"/>
  <c r="H118" i="9"/>
  <c r="I118" i="9"/>
  <c r="J118" i="9"/>
  <c r="K118" i="9"/>
  <c r="L118" i="9"/>
  <c r="B118" i="9"/>
  <c r="A3" i="8" l="1"/>
  <c r="A3" i="9" s="1"/>
  <c r="I31" i="8"/>
  <c r="H31" i="8"/>
  <c r="G31" i="8"/>
  <c r="F31" i="8"/>
  <c r="E31" i="8"/>
  <c r="D31" i="8"/>
  <c r="B33" i="18" l="1"/>
  <c r="B43" i="13" l="1"/>
  <c r="C43" i="13"/>
  <c r="E43" i="13"/>
  <c r="F43" i="13"/>
  <c r="K43" i="13"/>
  <c r="L43" i="13"/>
  <c r="D31" i="7" l="1"/>
  <c r="G31" i="7" l="1"/>
  <c r="H34" i="6" l="1"/>
  <c r="V34" i="3" l="1"/>
  <c r="V33" i="3" l="1"/>
  <c r="I39" i="3"/>
  <c r="C23" i="30" l="1"/>
  <c r="L17" i="17" l="1"/>
  <c r="K8" i="3" l="1"/>
  <c r="H18" i="3" l="1"/>
  <c r="K7" i="3" l="1"/>
  <c r="M8" i="9" l="1"/>
  <c r="M169" i="9"/>
  <c r="M165" i="9"/>
  <c r="M164" i="9"/>
  <c r="M163" i="9"/>
  <c r="M162" i="9"/>
  <c r="M161" i="9"/>
  <c r="M160" i="9"/>
  <c r="M159" i="9"/>
  <c r="M158" i="9"/>
  <c r="M157" i="9"/>
  <c r="M156" i="9"/>
  <c r="M155" i="9"/>
  <c r="M154" i="9"/>
  <c r="M153" i="9"/>
  <c r="M152" i="9"/>
  <c r="M151" i="9"/>
  <c r="M150" i="9"/>
  <c r="M149" i="9"/>
  <c r="M148" i="9"/>
  <c r="L124" i="9"/>
  <c r="K124" i="9"/>
  <c r="J124" i="9"/>
  <c r="I124" i="9"/>
  <c r="H124" i="9"/>
  <c r="G124" i="9"/>
  <c r="F124" i="9"/>
  <c r="E124" i="9"/>
  <c r="D124" i="9"/>
  <c r="C124" i="9"/>
  <c r="B124" i="9"/>
  <c r="M147" i="9"/>
  <c r="M146" i="9"/>
  <c r="M145" i="9"/>
  <c r="M144" i="9"/>
  <c r="M143" i="9"/>
  <c r="M142" i="9"/>
  <c r="M141" i="9"/>
  <c r="M140" i="9"/>
  <c r="M139" i="9"/>
  <c r="M138" i="9"/>
  <c r="M137" i="9"/>
  <c r="M136" i="9"/>
  <c r="M135" i="9"/>
  <c r="M134" i="9"/>
  <c r="M133" i="9"/>
  <c r="M132" i="9"/>
  <c r="M131" i="9"/>
  <c r="M130" i="9"/>
  <c r="M129" i="9"/>
  <c r="M128" i="9"/>
  <c r="M116" i="9"/>
  <c r="M115" i="9"/>
  <c r="M114" i="9"/>
  <c r="M113" i="9"/>
  <c r="M112" i="9"/>
  <c r="M111" i="9"/>
  <c r="M110" i="9"/>
  <c r="M109" i="9"/>
  <c r="M108" i="9"/>
  <c r="M107" i="9"/>
  <c r="M106" i="9"/>
  <c r="M105" i="9"/>
  <c r="M104" i="9"/>
  <c r="M103" i="9"/>
  <c r="M102" i="9"/>
  <c r="M101" i="9"/>
  <c r="M100" i="9"/>
  <c r="M99" i="9"/>
  <c r="M98" i="9"/>
  <c r="M97" i="9"/>
  <c r="M96" i="9"/>
  <c r="M95" i="9"/>
  <c r="M94" i="9"/>
  <c r="M93" i="9"/>
  <c r="M92" i="9"/>
  <c r="M84" i="9"/>
  <c r="M83" i="9"/>
  <c r="M82" i="9"/>
  <c r="M81" i="9"/>
  <c r="M80" i="9"/>
  <c r="M79" i="9"/>
  <c r="M78" i="9"/>
  <c r="M77" i="9"/>
  <c r="M76" i="9"/>
  <c r="M75" i="9"/>
  <c r="M74" i="9"/>
  <c r="M73" i="9"/>
  <c r="M72" i="9"/>
  <c r="M71" i="9"/>
  <c r="M70" i="9"/>
  <c r="M69" i="9"/>
  <c r="M68" i="9"/>
  <c r="M67" i="9"/>
  <c r="M66" i="9"/>
  <c r="M65" i="9"/>
  <c r="M64" i="9"/>
  <c r="M63" i="9"/>
  <c r="M62" i="9"/>
  <c r="M61" i="9"/>
  <c r="M60" i="9"/>
  <c r="M59" i="9"/>
  <c r="M58" i="9"/>
  <c r="M57" i="9"/>
  <c r="M56" i="9"/>
  <c r="M55" i="9"/>
  <c r="M54" i="9"/>
  <c r="M53" i="9"/>
  <c r="M52" i="9"/>
  <c r="M51" i="9"/>
  <c r="M50" i="9"/>
  <c r="M42" i="9"/>
  <c r="M41" i="9"/>
  <c r="M40" i="9"/>
  <c r="M39" i="9"/>
  <c r="M38" i="9"/>
  <c r="M37" i="9"/>
  <c r="M36" i="9"/>
  <c r="M35" i="9"/>
  <c r="M34" i="9"/>
  <c r="M33" i="9"/>
  <c r="M32" i="9"/>
  <c r="M31" i="9"/>
  <c r="M30" i="9"/>
  <c r="M29" i="9"/>
  <c r="M28" i="9"/>
  <c r="M27" i="9"/>
  <c r="M26" i="9"/>
  <c r="M25" i="9"/>
  <c r="M24" i="9"/>
  <c r="M23" i="9"/>
  <c r="M22" i="9"/>
  <c r="M21" i="9"/>
  <c r="M20" i="9"/>
  <c r="M19" i="9"/>
  <c r="M18" i="9"/>
  <c r="M17" i="9"/>
  <c r="M16" i="9"/>
  <c r="M15" i="9"/>
  <c r="M14" i="9"/>
  <c r="M13" i="9"/>
  <c r="M12" i="9"/>
  <c r="M11" i="9"/>
  <c r="M10" i="9"/>
  <c r="M9" i="9"/>
  <c r="M167" i="9" l="1"/>
  <c r="M118" i="9"/>
  <c r="M124" i="9"/>
  <c r="C168" i="9"/>
  <c r="C171" i="9" s="1"/>
  <c r="G168" i="9"/>
  <c r="G171" i="9" s="1"/>
  <c r="K168" i="9"/>
  <c r="K171" i="9" s="1"/>
  <c r="D168" i="9"/>
  <c r="D171" i="9" s="1"/>
  <c r="H168" i="9"/>
  <c r="H171" i="9" s="1"/>
  <c r="L168" i="9"/>
  <c r="L171" i="9" s="1"/>
  <c r="M46" i="9"/>
  <c r="M88" i="9" s="1"/>
  <c r="E168" i="9"/>
  <c r="E171" i="9" s="1"/>
  <c r="I168" i="9"/>
  <c r="I171" i="9" s="1"/>
  <c r="B168" i="9"/>
  <c r="B171" i="9" s="1"/>
  <c r="F168" i="9"/>
  <c r="F171" i="9" s="1"/>
  <c r="J168" i="9"/>
  <c r="J171" i="9" s="1"/>
  <c r="M168" i="9" l="1"/>
  <c r="M171" i="9" s="1"/>
  <c r="K25" i="6"/>
  <c r="C43" i="24" l="1"/>
  <c r="C82" i="24" s="1"/>
  <c r="D43" i="24"/>
  <c r="D82" i="24" s="1"/>
  <c r="E43" i="24"/>
  <c r="E82" i="24" s="1"/>
  <c r="B43" i="24"/>
  <c r="B82" i="24" s="1"/>
  <c r="B113" i="24" l="1"/>
  <c r="D113" i="24"/>
  <c r="E113" i="24"/>
  <c r="C113" i="24"/>
  <c r="A3" i="7"/>
  <c r="I38" i="4" l="1"/>
  <c r="K38" i="4" s="1"/>
  <c r="I12" i="3" l="1"/>
  <c r="I17" i="3" s="1"/>
  <c r="K17" i="3" s="1"/>
  <c r="K37" i="3"/>
  <c r="N17" i="17" l="1"/>
  <c r="O17" i="17"/>
  <c r="F28" i="23" l="1"/>
  <c r="E29" i="23"/>
  <c r="F5" i="23" l="1"/>
  <c r="F14" i="23"/>
  <c r="F15" i="23"/>
  <c r="D34" i="6" l="1"/>
  <c r="G43" i="24" l="1"/>
  <c r="G82" i="24" s="1"/>
  <c r="G109" i="24"/>
  <c r="D33" i="18"/>
  <c r="G113" i="24" l="1"/>
  <c r="M17" i="17"/>
  <c r="E20" i="5" l="1"/>
  <c r="D42" i="12" l="1"/>
  <c r="G33" i="18" l="1"/>
  <c r="D6" i="19" l="1"/>
  <c r="E16" i="23"/>
  <c r="D16" i="23"/>
  <c r="A41" i="24" l="1"/>
  <c r="A80" i="24" s="1"/>
  <c r="A111" i="24" s="1"/>
  <c r="A44" i="10" l="1"/>
  <c r="A86" i="10" s="1"/>
  <c r="A120" i="10" s="1"/>
  <c r="B18" i="15" l="1"/>
  <c r="D11" i="15" l="1"/>
  <c r="D15" i="15"/>
  <c r="D12" i="15"/>
  <c r="D16" i="15"/>
  <c r="D9" i="15"/>
  <c r="D13" i="15"/>
  <c r="D8" i="15"/>
  <c r="D10" i="15"/>
  <c r="D14" i="15"/>
  <c r="E13" i="14" l="1"/>
  <c r="D18" i="15" l="1"/>
  <c r="K8" i="6" l="1"/>
  <c r="K32" i="6" l="1"/>
  <c r="N53" i="19" l="1"/>
  <c r="N52" i="19"/>
  <c r="N51" i="19"/>
  <c r="N50" i="19"/>
  <c r="L59" i="19" l="1"/>
  <c r="K23" i="6" l="1"/>
  <c r="G38" i="4" l="1"/>
  <c r="G12" i="3" s="1"/>
  <c r="G17" i="3" s="1"/>
  <c r="K36" i="3" l="1"/>
  <c r="K34" i="3"/>
  <c r="K35" i="3"/>
  <c r="H13" i="3"/>
  <c r="G153" i="24" l="1"/>
  <c r="J18" i="15" l="1"/>
  <c r="J22" i="15" l="1"/>
  <c r="L9" i="15"/>
  <c r="L13" i="15"/>
  <c r="L8" i="15"/>
  <c r="L11" i="15"/>
  <c r="L12" i="15"/>
  <c r="L16" i="15"/>
  <c r="L10" i="15"/>
  <c r="L14" i="15"/>
  <c r="L15" i="15"/>
  <c r="F27" i="23"/>
  <c r="L18" i="15" l="1"/>
  <c r="L22" i="15"/>
  <c r="L20" i="15"/>
  <c r="H31" i="3"/>
  <c r="D29" i="23" l="1"/>
  <c r="F29" i="23" s="1"/>
  <c r="I7" i="4" l="1"/>
  <c r="K7" i="4" s="1"/>
  <c r="B41" i="23"/>
  <c r="B20" i="32"/>
  <c r="B24" i="32" s="1"/>
  <c r="A57" i="25" l="1"/>
  <c r="B153" i="24"/>
  <c r="A42" i="19"/>
  <c r="I20" i="32" l="1"/>
  <c r="I24" i="32" s="1"/>
  <c r="H20" i="32"/>
  <c r="H24" i="32" s="1"/>
  <c r="G20" i="32"/>
  <c r="G24" i="32" s="1"/>
  <c r="D20" i="32"/>
  <c r="D24" i="32" s="1"/>
  <c r="C20" i="32"/>
  <c r="C24" i="32" s="1"/>
  <c r="J22" i="32" l="1"/>
  <c r="J15" i="32"/>
  <c r="J11" i="32"/>
  <c r="J18" i="32"/>
  <c r="J14" i="32"/>
  <c r="J12" i="32"/>
  <c r="J17" i="32"/>
  <c r="J13" i="32"/>
  <c r="J16" i="32"/>
  <c r="E16" i="32"/>
  <c r="E12" i="32"/>
  <c r="E17" i="32"/>
  <c r="E22" i="32"/>
  <c r="E15" i="32"/>
  <c r="E11" i="32"/>
  <c r="E18" i="32"/>
  <c r="E14" i="32"/>
  <c r="E13" i="32"/>
  <c r="G18" i="4"/>
  <c r="G11" i="3" s="1"/>
  <c r="G16" i="3" l="1"/>
  <c r="G18" i="3" s="1"/>
  <c r="G13" i="3"/>
  <c r="G41" i="3" s="1"/>
  <c r="E20" i="32"/>
  <c r="E24" i="32" s="1"/>
  <c r="J20" i="32"/>
  <c r="J24" i="32" s="1"/>
  <c r="G40" i="4"/>
  <c r="K15" i="6" l="1"/>
  <c r="K6" i="3" l="1"/>
  <c r="N49" i="19" l="1"/>
  <c r="I39" i="19"/>
  <c r="N48" i="19"/>
  <c r="N47" i="19"/>
  <c r="N46" i="19"/>
  <c r="I60" i="19"/>
  <c r="I59" i="19"/>
  <c r="I58" i="19"/>
  <c r="I57" i="19"/>
  <c r="I56" i="19"/>
  <c r="I55" i="19"/>
  <c r="I54" i="19"/>
  <c r="I53" i="19"/>
  <c r="I52" i="19"/>
  <c r="I51" i="19"/>
  <c r="I50" i="19"/>
  <c r="I49" i="19"/>
  <c r="I48" i="19"/>
  <c r="I47" i="19"/>
  <c r="I46" i="19"/>
  <c r="I40" i="19"/>
  <c r="I38" i="19"/>
  <c r="I37" i="19"/>
  <c r="I36" i="19"/>
  <c r="I35" i="19"/>
  <c r="I34" i="19"/>
  <c r="I33" i="19"/>
  <c r="I32" i="19"/>
  <c r="I31" i="19"/>
  <c r="I30" i="19"/>
  <c r="I29" i="19"/>
  <c r="I28" i="19"/>
  <c r="I27" i="19"/>
  <c r="I26" i="19"/>
  <c r="I25" i="19"/>
  <c r="I24" i="19"/>
  <c r="I23" i="19"/>
  <c r="I22" i="19"/>
  <c r="I21" i="19"/>
  <c r="I20" i="19"/>
  <c r="I19" i="19"/>
  <c r="I18" i="19"/>
  <c r="I17" i="19"/>
  <c r="I16" i="19"/>
  <c r="I12" i="19"/>
  <c r="I13" i="19"/>
  <c r="I14" i="19"/>
  <c r="I15" i="19"/>
  <c r="I11" i="19"/>
  <c r="I8" i="19"/>
  <c r="I9" i="19"/>
  <c r="I10" i="19"/>
  <c r="I7" i="19"/>
  <c r="I6" i="19"/>
  <c r="D50" i="19"/>
  <c r="D48" i="19"/>
  <c r="D49" i="19"/>
  <c r="D47" i="19"/>
  <c r="D46" i="19"/>
  <c r="D40" i="19"/>
  <c r="D39" i="19"/>
  <c r="D38" i="19"/>
  <c r="D37" i="19"/>
  <c r="D36" i="19"/>
  <c r="D35" i="19"/>
  <c r="D34" i="19"/>
  <c r="D33" i="19"/>
  <c r="D32" i="19"/>
  <c r="D31" i="19"/>
  <c r="D30" i="19"/>
  <c r="D29" i="19"/>
  <c r="D28" i="19"/>
  <c r="D27" i="19"/>
  <c r="D26" i="19"/>
  <c r="D25" i="19"/>
  <c r="D24" i="19"/>
  <c r="D23" i="19"/>
  <c r="D22" i="19"/>
  <c r="D21" i="19"/>
  <c r="D20" i="19"/>
  <c r="D19" i="19"/>
  <c r="D18" i="19"/>
  <c r="D17" i="19"/>
  <c r="D16" i="19"/>
  <c r="D12" i="19"/>
  <c r="D13" i="19"/>
  <c r="D14" i="19"/>
  <c r="D15" i="19"/>
  <c r="D11" i="19"/>
  <c r="D7" i="19"/>
  <c r="E33" i="18" l="1"/>
  <c r="M59" i="19" l="1"/>
  <c r="I18" i="4" l="1"/>
  <c r="K18" i="4" s="1"/>
  <c r="I40" i="4" l="1"/>
  <c r="I11" i="3"/>
  <c r="I41" i="4" l="1"/>
  <c r="K40" i="4"/>
  <c r="I16" i="3"/>
  <c r="V29" i="3"/>
  <c r="I13" i="3"/>
  <c r="I41" i="3" s="1"/>
  <c r="I18" i="3" l="1"/>
  <c r="K18" i="3" s="1"/>
  <c r="E34" i="6" l="1"/>
  <c r="V30" i="3" l="1"/>
  <c r="W30" i="3" s="1"/>
  <c r="V32" i="3" l="1"/>
  <c r="W32" i="3" s="1"/>
  <c r="I31" i="3"/>
  <c r="K9" i="6" l="1"/>
  <c r="K10" i="6"/>
  <c r="K11" i="6"/>
  <c r="K12" i="6"/>
  <c r="K13" i="6"/>
  <c r="K14" i="6"/>
  <c r="K16" i="6"/>
  <c r="K17" i="6"/>
  <c r="K18" i="6"/>
  <c r="K19" i="6"/>
  <c r="K20" i="6"/>
  <c r="K21" i="6"/>
  <c r="K22" i="6"/>
  <c r="K24" i="6"/>
  <c r="K26" i="6"/>
  <c r="K27" i="6"/>
  <c r="K28" i="6"/>
  <c r="K29" i="6"/>
  <c r="K30" i="6"/>
  <c r="K31" i="6"/>
  <c r="J34" i="6" l="1"/>
  <c r="W29" i="3" l="1"/>
  <c r="V31" i="3" l="1"/>
  <c r="W31" i="3" s="1"/>
  <c r="W33" i="3" s="1"/>
  <c r="E31" i="7" l="1"/>
  <c r="F31" i="7"/>
  <c r="E153" i="24" l="1"/>
  <c r="G154" i="24" l="1"/>
  <c r="G156" i="24" l="1"/>
  <c r="E154" i="24" l="1"/>
  <c r="E156" i="24" s="1"/>
  <c r="E109" i="24"/>
  <c r="D154" i="24" l="1"/>
  <c r="C154" i="24"/>
  <c r="B154" i="24"/>
  <c r="B156" i="24" s="1"/>
  <c r="D153" i="24"/>
  <c r="C153" i="24"/>
  <c r="D109" i="24"/>
  <c r="C109" i="24"/>
  <c r="B109" i="24"/>
  <c r="C33" i="18"/>
  <c r="C156" i="24" l="1"/>
  <c r="D156" i="24"/>
  <c r="A3" i="10"/>
  <c r="A121" i="10" l="1"/>
  <c r="A87" i="10"/>
  <c r="A45" i="10"/>
  <c r="F16" i="23"/>
  <c r="H166" i="10" l="1"/>
  <c r="H169" i="10" s="1"/>
  <c r="L166" i="10"/>
  <c r="L169" i="10" s="1"/>
  <c r="C166" i="10"/>
  <c r="C169" i="10" s="1"/>
  <c r="G166" i="10"/>
  <c r="G169" i="10" s="1"/>
  <c r="K166" i="10"/>
  <c r="K169" i="10" s="1"/>
  <c r="F166" i="10"/>
  <c r="F169" i="10" s="1"/>
  <c r="J166" i="10"/>
  <c r="J169" i="10" s="1"/>
  <c r="E166" i="10"/>
  <c r="E169" i="10" s="1"/>
  <c r="B166" i="10" l="1"/>
  <c r="B169" i="10" s="1"/>
  <c r="F34" i="6" l="1"/>
  <c r="G34" i="6"/>
  <c r="I34" i="6"/>
  <c r="K34" i="6" s="1"/>
  <c r="F160" i="11"/>
  <c r="E160" i="11"/>
  <c r="D160" i="11"/>
  <c r="C160" i="11"/>
  <c r="G115" i="11"/>
  <c r="G161" i="11" s="1"/>
  <c r="F115" i="11"/>
  <c r="F161" i="11" s="1"/>
  <c r="E115" i="11"/>
  <c r="E161" i="11" s="1"/>
  <c r="D115" i="11"/>
  <c r="D161" i="11" s="1"/>
  <c r="C115" i="11"/>
  <c r="C161" i="11" s="1"/>
  <c r="B161" i="11"/>
  <c r="B164" i="11" s="1"/>
  <c r="A118" i="11"/>
  <c r="D10" i="19"/>
  <c r="D9" i="19"/>
  <c r="D8" i="19"/>
  <c r="K102" i="25"/>
  <c r="H39" i="3"/>
  <c r="A85" i="11"/>
  <c r="A44" i="11"/>
  <c r="A45" i="9" l="1"/>
  <c r="A87" i="9"/>
  <c r="A123" i="9"/>
  <c r="G164" i="11"/>
  <c r="F164" i="11"/>
  <c r="H41" i="3"/>
  <c r="E164" i="11"/>
  <c r="N57" i="19"/>
  <c r="N59" i="19" s="1"/>
  <c r="D164" i="11"/>
  <c r="C164" i="11"/>
  <c r="K12" i="3"/>
  <c r="AA19" i="7"/>
  <c r="K16" i="3" l="1"/>
  <c r="K11" i="3"/>
  <c r="AA21" i="7"/>
  <c r="AA20" i="7"/>
  <c r="K13" i="3" l="1"/>
  <c r="AA22" i="7"/>
  <c r="F18" i="15"/>
  <c r="F22" i="15" l="1"/>
  <c r="H12" i="15"/>
  <c r="H16" i="15"/>
  <c r="H10" i="15"/>
  <c r="H15" i="15"/>
  <c r="H9" i="15"/>
  <c r="H13" i="15"/>
  <c r="H8" i="15"/>
  <c r="H18" i="15" s="1"/>
  <c r="H14" i="15"/>
  <c r="H11" i="15"/>
  <c r="H22" i="15" l="1"/>
  <c r="H20" i="15"/>
</calcChain>
</file>

<file path=xl/comments1.xml><?xml version="1.0" encoding="utf-8"?>
<comments xmlns="http://schemas.openxmlformats.org/spreadsheetml/2006/main">
  <authors>
    <author>Frank B</author>
  </authors>
  <commentList>
    <comment ref="B19" authorId="0" shapeId="0">
      <text>
        <r>
          <rPr>
            <b/>
            <sz val="9"/>
            <color indexed="81"/>
            <rFont val="Tahoma"/>
            <family val="2"/>
          </rPr>
          <t>Note:</t>
        </r>
        <r>
          <rPr>
            <sz val="9"/>
            <color indexed="81"/>
            <rFont val="Tahoma"/>
            <family val="2"/>
          </rPr>
          <t xml:space="preserve">
Revised downward from:
366,646,468.66 based on corrected inflation history</t>
        </r>
      </text>
    </comment>
  </commentList>
</comments>
</file>

<file path=xl/sharedStrings.xml><?xml version="1.0" encoding="utf-8"?>
<sst xmlns="http://schemas.openxmlformats.org/spreadsheetml/2006/main" count="2973" uniqueCount="1228">
  <si>
    <t>Aggregate (All Funds)</t>
  </si>
  <si>
    <t>Notes:</t>
  </si>
  <si>
    <t>Sales and Use Tax</t>
  </si>
  <si>
    <t>Individual Income Tax</t>
  </si>
  <si>
    <t>Net Revenue Collections</t>
  </si>
  <si>
    <t>General Fund</t>
  </si>
  <si>
    <t>Total Commonwealth Collections</t>
  </si>
  <si>
    <t>Total Department Collections</t>
  </si>
  <si>
    <t>By Other Agencies</t>
  </si>
  <si>
    <t>Total from Other Agencies</t>
  </si>
  <si>
    <t>1. The Fiscal Year runs from July 1 through June 30.</t>
  </si>
  <si>
    <t>Department of Taxation General Fund Expenditures</t>
  </si>
  <si>
    <t>Budget Programs</t>
  </si>
  <si>
    <t>Expenditures</t>
  </si>
  <si>
    <t>Revenue Administrative Services</t>
  </si>
  <si>
    <t>Research Services</t>
  </si>
  <si>
    <t>Administrative and Support Services</t>
  </si>
  <si>
    <t>Total</t>
  </si>
  <si>
    <t>Cost per $100 of collections</t>
  </si>
  <si>
    <t>Note:</t>
  </si>
  <si>
    <t>Amount</t>
  </si>
  <si>
    <t>Tax</t>
  </si>
  <si>
    <t>Income</t>
  </si>
  <si>
    <t>County</t>
  </si>
  <si>
    <t>Total Counties</t>
  </si>
  <si>
    <t>City</t>
  </si>
  <si>
    <t xml:space="preserve">Franklin </t>
  </si>
  <si>
    <t xml:space="preserve">Roanoke </t>
  </si>
  <si>
    <t>Virginia Beach</t>
  </si>
  <si>
    <t>Total Cities</t>
  </si>
  <si>
    <t>Aggregate</t>
  </si>
  <si>
    <t>2. As reported in these tables, revenues do not include the local sales tax or interest and penalties collected.</t>
  </si>
  <si>
    <t>3. Figures may not sum to totals because of rounding.</t>
  </si>
  <si>
    <t>Fiscal Year</t>
  </si>
  <si>
    <t>Table 2.2</t>
  </si>
  <si>
    <t>Number of Corporate Returns, Taxable Income, and Tax Liability</t>
  </si>
  <si>
    <t>Reported Taxable Income</t>
  </si>
  <si>
    <t>Taxable</t>
  </si>
  <si>
    <t xml:space="preserve">Tax </t>
  </si>
  <si>
    <t>From Virginia Sources</t>
  </si>
  <si>
    <t>Assessed</t>
  </si>
  <si>
    <t>$0 or less</t>
  </si>
  <si>
    <t>$1 to $24,999</t>
  </si>
  <si>
    <t>$25,000 to $49,999</t>
  </si>
  <si>
    <t>$50,000 to $99,999</t>
  </si>
  <si>
    <t>$100,000 to $499,999</t>
  </si>
  <si>
    <t>$500,000 to $999,999</t>
  </si>
  <si>
    <t>$1,000,000 to $1,999,999</t>
  </si>
  <si>
    <t>$2,000,000 to $9,999,999</t>
  </si>
  <si>
    <t>$10,000,000 and Over</t>
  </si>
  <si>
    <t>Total before adjustments</t>
  </si>
  <si>
    <t xml:space="preserve">    Departmental adjustments</t>
  </si>
  <si>
    <t>Total Tax Assessment</t>
  </si>
  <si>
    <t>3. Some columns may not match totals due to rounding.</t>
  </si>
  <si>
    <t>4. If a corporation reports a negative taxable income, its taxable income is treated as zero in this table.</t>
  </si>
  <si>
    <t>Table 3.1</t>
  </si>
  <si>
    <t>State and Local Retail Sales and Use Tax Net Revenue Collections</t>
  </si>
  <si>
    <t>State Sales and Use Tax</t>
  </si>
  <si>
    <t>Local</t>
  </si>
  <si>
    <t>Option</t>
  </si>
  <si>
    <t>-</t>
  </si>
  <si>
    <t>Table 4.3, continued</t>
  </si>
  <si>
    <t>Share of</t>
  </si>
  <si>
    <t xml:space="preserve"> State Tax</t>
  </si>
  <si>
    <t xml:space="preserve">Accomack </t>
  </si>
  <si>
    <t xml:space="preserve">Gloucester </t>
  </si>
  <si>
    <t xml:space="preserve">Albemarle </t>
  </si>
  <si>
    <t xml:space="preserve">Goochland </t>
  </si>
  <si>
    <t xml:space="preserve">Alleghany </t>
  </si>
  <si>
    <t xml:space="preserve">Grayson </t>
  </si>
  <si>
    <t xml:space="preserve">Amelia </t>
  </si>
  <si>
    <t xml:space="preserve">Greene </t>
  </si>
  <si>
    <t xml:space="preserve">Amherst </t>
  </si>
  <si>
    <t xml:space="preserve">Greensville </t>
  </si>
  <si>
    <t xml:space="preserve">Appomattox </t>
  </si>
  <si>
    <t xml:space="preserve">Halifax </t>
  </si>
  <si>
    <t xml:space="preserve">Arlington </t>
  </si>
  <si>
    <t xml:space="preserve">Hanover </t>
  </si>
  <si>
    <t xml:space="preserve">Augusta </t>
  </si>
  <si>
    <t xml:space="preserve">Henrico </t>
  </si>
  <si>
    <t xml:space="preserve">Bath </t>
  </si>
  <si>
    <t xml:space="preserve">Henry </t>
  </si>
  <si>
    <t xml:space="preserve">Highland </t>
  </si>
  <si>
    <t xml:space="preserve">Bland </t>
  </si>
  <si>
    <t xml:space="preserve">Isle of Wight </t>
  </si>
  <si>
    <t xml:space="preserve">Botetourt </t>
  </si>
  <si>
    <t xml:space="preserve">James City </t>
  </si>
  <si>
    <t xml:space="preserve">Brunswick </t>
  </si>
  <si>
    <t xml:space="preserve">King and Queen </t>
  </si>
  <si>
    <t xml:space="preserve">Buchanan </t>
  </si>
  <si>
    <t xml:space="preserve">King George </t>
  </si>
  <si>
    <t xml:space="preserve">Buckingham </t>
  </si>
  <si>
    <t xml:space="preserve">King William </t>
  </si>
  <si>
    <t xml:space="preserve">Campbell </t>
  </si>
  <si>
    <t xml:space="preserve">Lancaster </t>
  </si>
  <si>
    <t xml:space="preserve">Caroline </t>
  </si>
  <si>
    <t xml:space="preserve">Lee </t>
  </si>
  <si>
    <t xml:space="preserve">Carroll </t>
  </si>
  <si>
    <t xml:space="preserve">Loudoun </t>
  </si>
  <si>
    <t xml:space="preserve">Charles City </t>
  </si>
  <si>
    <t xml:space="preserve">Louisa </t>
  </si>
  <si>
    <t xml:space="preserve">Charlotte </t>
  </si>
  <si>
    <t xml:space="preserve">Lunenburg </t>
  </si>
  <si>
    <t xml:space="preserve">Chesterfield </t>
  </si>
  <si>
    <t xml:space="preserve">Madison </t>
  </si>
  <si>
    <t xml:space="preserve">Clarke </t>
  </si>
  <si>
    <t xml:space="preserve">Mathews </t>
  </si>
  <si>
    <t xml:space="preserve">Craig </t>
  </si>
  <si>
    <t xml:space="preserve">Mecklenburg </t>
  </si>
  <si>
    <t xml:space="preserve">Culpeper </t>
  </si>
  <si>
    <t xml:space="preserve">Middlesex </t>
  </si>
  <si>
    <t xml:space="preserve">Cumberland </t>
  </si>
  <si>
    <t xml:space="preserve">Montgomery </t>
  </si>
  <si>
    <t xml:space="preserve">Dickenson </t>
  </si>
  <si>
    <t xml:space="preserve">Nelson </t>
  </si>
  <si>
    <t xml:space="preserve">Dinwiddie </t>
  </si>
  <si>
    <t xml:space="preserve">New Kent </t>
  </si>
  <si>
    <t xml:space="preserve">Essex </t>
  </si>
  <si>
    <t xml:space="preserve">Northampton </t>
  </si>
  <si>
    <t xml:space="preserve">Fairfax </t>
  </si>
  <si>
    <t xml:space="preserve">Northumberland </t>
  </si>
  <si>
    <t xml:space="preserve">Fauquier </t>
  </si>
  <si>
    <t xml:space="preserve">Nottoway </t>
  </si>
  <si>
    <t xml:space="preserve">Floyd </t>
  </si>
  <si>
    <t xml:space="preserve">Orange </t>
  </si>
  <si>
    <t xml:space="preserve">Fluvanna </t>
  </si>
  <si>
    <t xml:space="preserve">Page </t>
  </si>
  <si>
    <t xml:space="preserve">Patrick </t>
  </si>
  <si>
    <t xml:space="preserve">Frederick </t>
  </si>
  <si>
    <t xml:space="preserve">Pittsylvania </t>
  </si>
  <si>
    <t xml:space="preserve">Giles </t>
  </si>
  <si>
    <t xml:space="preserve">Powhatan </t>
  </si>
  <si>
    <t xml:space="preserve">Prince Edward </t>
  </si>
  <si>
    <t xml:space="preserve">Chesapeake </t>
  </si>
  <si>
    <t xml:space="preserve">Prince George </t>
  </si>
  <si>
    <t xml:space="preserve">Colonial Heights </t>
  </si>
  <si>
    <t xml:space="preserve">Prince William </t>
  </si>
  <si>
    <t xml:space="preserve">Covington </t>
  </si>
  <si>
    <t xml:space="preserve">Pulaski </t>
  </si>
  <si>
    <t xml:space="preserve">Danville </t>
  </si>
  <si>
    <t xml:space="preserve">Rappahannock </t>
  </si>
  <si>
    <t xml:space="preserve">Emporia </t>
  </si>
  <si>
    <t xml:space="preserve">Richmond </t>
  </si>
  <si>
    <t xml:space="preserve">Falls Church </t>
  </si>
  <si>
    <t xml:space="preserve">Rockbridge </t>
  </si>
  <si>
    <t xml:space="preserve">Rockingham </t>
  </si>
  <si>
    <t xml:space="preserve">Fredericksburg </t>
  </si>
  <si>
    <t xml:space="preserve">Russell </t>
  </si>
  <si>
    <t xml:space="preserve">Galax </t>
  </si>
  <si>
    <t xml:space="preserve">Scott </t>
  </si>
  <si>
    <t xml:space="preserve">Hampton </t>
  </si>
  <si>
    <t xml:space="preserve">Shenandoah </t>
  </si>
  <si>
    <t xml:space="preserve">Harrisonburg </t>
  </si>
  <si>
    <t xml:space="preserve">Smyth </t>
  </si>
  <si>
    <t xml:space="preserve">Hopewell </t>
  </si>
  <si>
    <t xml:space="preserve">Southampton </t>
  </si>
  <si>
    <t xml:space="preserve">Lexington </t>
  </si>
  <si>
    <t xml:space="preserve">Spotsylvania </t>
  </si>
  <si>
    <t xml:space="preserve">Lynchburg </t>
  </si>
  <si>
    <t xml:space="preserve">Stafford </t>
  </si>
  <si>
    <t xml:space="preserve">Manassas </t>
  </si>
  <si>
    <t xml:space="preserve">Surry </t>
  </si>
  <si>
    <t xml:space="preserve">Manassas Park </t>
  </si>
  <si>
    <t xml:space="preserve">Sussex </t>
  </si>
  <si>
    <t xml:space="preserve">Martinsville </t>
  </si>
  <si>
    <t xml:space="preserve">Tazewell </t>
  </si>
  <si>
    <t xml:space="preserve">Newport News </t>
  </si>
  <si>
    <t xml:space="preserve">Warren </t>
  </si>
  <si>
    <t xml:space="preserve">Norfolk </t>
  </si>
  <si>
    <t xml:space="preserve">Washington </t>
  </si>
  <si>
    <t xml:space="preserve">Norton </t>
  </si>
  <si>
    <t xml:space="preserve">Westmoreland </t>
  </si>
  <si>
    <t xml:space="preserve">Petersburg </t>
  </si>
  <si>
    <t xml:space="preserve">Wise </t>
  </si>
  <si>
    <t xml:space="preserve">Poquoson </t>
  </si>
  <si>
    <t xml:space="preserve">Wythe </t>
  </si>
  <si>
    <t xml:space="preserve">Portsmouth </t>
  </si>
  <si>
    <t xml:space="preserve">York </t>
  </si>
  <si>
    <t xml:space="preserve">Radford </t>
  </si>
  <si>
    <t xml:space="preserve">Salem </t>
  </si>
  <si>
    <t xml:space="preserve">Staunton </t>
  </si>
  <si>
    <t xml:space="preserve">Suffolk </t>
  </si>
  <si>
    <t xml:space="preserve">Alexandria </t>
  </si>
  <si>
    <t xml:space="preserve">Waynesboro </t>
  </si>
  <si>
    <t xml:space="preserve">Bristol </t>
  </si>
  <si>
    <t xml:space="preserve">Williamsburg </t>
  </si>
  <si>
    <t xml:space="preserve">Buena Vista </t>
  </si>
  <si>
    <t xml:space="preserve">Winchester </t>
  </si>
  <si>
    <t xml:space="preserve">Charlottesville </t>
  </si>
  <si>
    <t>Fairfax City</t>
  </si>
  <si>
    <t>Table 4.1</t>
  </si>
  <si>
    <t>Other Taxes Net Revenue Collections - General Fund</t>
  </si>
  <si>
    <t>Recordation</t>
  </si>
  <si>
    <t>Suits</t>
  </si>
  <si>
    <t>Estate</t>
  </si>
  <si>
    <t>Watercraft</t>
  </si>
  <si>
    <t>Rolling</t>
  </si>
  <si>
    <t>&amp; Deeds</t>
  </si>
  <si>
    <t>&amp; Wills</t>
  </si>
  <si>
    <t>Excise</t>
  </si>
  <si>
    <t>Stock Tax</t>
  </si>
  <si>
    <t>2. The tax on suits is $5 for debts under $50,000, $15 for debts greater than $50,000 but not exceeding $100,000, and $25 for debts in excess of $100,000.  The tax on wills and administrations is imposed at the rate of 10 cents on every $100 of value on all estates that exceed $15,000 in value.</t>
  </si>
  <si>
    <t>Tire</t>
  </si>
  <si>
    <t>Egg</t>
  </si>
  <si>
    <t>Peanut</t>
  </si>
  <si>
    <t>Cigarette</t>
  </si>
  <si>
    <t>Other Tobacco</t>
  </si>
  <si>
    <t>Recycling</t>
  </si>
  <si>
    <t>Soybean</t>
  </si>
  <si>
    <t>Products</t>
  </si>
  <si>
    <t>Aircraft</t>
  </si>
  <si>
    <t>4. The soybean excise tax is imposed at a rate of one-half of one percent (0.005) of the net market value of assessed bushels.  All revenues are deposited into the Virginia Soybean Fund.</t>
  </si>
  <si>
    <t>Credit</t>
  </si>
  <si>
    <t>Year Enacted</t>
  </si>
  <si>
    <t>§§ 58.1-439.18 et seq.</t>
  </si>
  <si>
    <t>1981 (effective July 1, 1981)</t>
  </si>
  <si>
    <t>§ 59.1-280</t>
  </si>
  <si>
    <t xml:space="preserve">Enterprise Zone Business Tax Credit  </t>
  </si>
  <si>
    <t>1982 (effective July 1, 1982)</t>
  </si>
  <si>
    <t>§§ 58.1-334 &amp; 58.1-432</t>
  </si>
  <si>
    <t xml:space="preserve">Conservation Tillage Equipment Credit  </t>
  </si>
  <si>
    <t>1985 (effective 1985)</t>
  </si>
  <si>
    <t>§ 58.1-435</t>
  </si>
  <si>
    <t xml:space="preserve">Low-Income Housing Credit  </t>
  </si>
  <si>
    <t>1989 (effective 1990)</t>
  </si>
  <si>
    <t>§§ 58.1-337 &amp; 58.1-436</t>
  </si>
  <si>
    <t>1990 (effective 1990)</t>
  </si>
  <si>
    <t>§ 58.1-438.1</t>
  </si>
  <si>
    <t>Tax Credit for Vehicle Emissions Testing Equipment and Clean-Fuel Vehicles and Certain Refueling Property</t>
  </si>
  <si>
    <t>1993 (effective 1993)</t>
  </si>
  <si>
    <t>§ 58.1-439</t>
  </si>
  <si>
    <t xml:space="preserve">Major Business Facility Job Tax Credit  </t>
  </si>
  <si>
    <t>1994 (effective 1995)</t>
  </si>
  <si>
    <t>§ 58.1-439.2</t>
  </si>
  <si>
    <t xml:space="preserve">Coalfield Employment Enhancement Tax Credit (Refundable) </t>
  </si>
  <si>
    <t>1995 (effective 1996)</t>
  </si>
  <si>
    <t>§ 58.1-439.1</t>
  </si>
  <si>
    <t>§ 59.1-280.1</t>
  </si>
  <si>
    <t>Enterprise Zone Real Property Investment Tax Credit (Refundable)</t>
  </si>
  <si>
    <t>1995 (effective July 1, 1995)</t>
  </si>
  <si>
    <t>§ 58.1-339.2</t>
  </si>
  <si>
    <t>1996 (effective 1997)</t>
  </si>
  <si>
    <t>§§ 58.1-339.3 &amp; 58.1-439.5</t>
  </si>
  <si>
    <t xml:space="preserve">Agricultural Best Management Practices Tax Credit </t>
  </si>
  <si>
    <t>1996 (effective 1998)</t>
  </si>
  <si>
    <t>§ 58.1-439.6</t>
  </si>
  <si>
    <t xml:space="preserve">Worker Retraining Tax Credit  </t>
  </si>
  <si>
    <t>1997 (effective 1999)</t>
  </si>
  <si>
    <t>§ 58.1-439.7</t>
  </si>
  <si>
    <t xml:space="preserve">Recyclable Materials Processing Equipment Credit </t>
  </si>
  <si>
    <t>§ 58.1-332.1</t>
  </si>
  <si>
    <t>Foreign Tax Credit</t>
  </si>
  <si>
    <t>1998 (effective 1998)</t>
  </si>
  <si>
    <t>§ 58.1-339.4</t>
  </si>
  <si>
    <t>Qualified Equity and Subordinated Debt Investments Tax Credit</t>
  </si>
  <si>
    <t>1998 (effective 1999)</t>
  </si>
  <si>
    <t>§ 58.1-439.10</t>
  </si>
  <si>
    <t xml:space="preserve">Waste Motor Oil Burning Equipment Credit  </t>
  </si>
  <si>
    <t>§ 58.1-512</t>
  </si>
  <si>
    <t>Land Preservation Tax Credit</t>
  </si>
  <si>
    <t>1999 (effective 2000)</t>
  </si>
  <si>
    <t>§ 58.1-339.6</t>
  </si>
  <si>
    <t>Political Candidates Contribution Tax Credit</t>
  </si>
  <si>
    <t>§ 58.1-339.7</t>
  </si>
  <si>
    <t>Livable Home Tax Credit</t>
  </si>
  <si>
    <t>§ 58.1-433.1</t>
  </si>
  <si>
    <t>1999 (effective 2001)</t>
  </si>
  <si>
    <t>§ 58.1-339.8</t>
  </si>
  <si>
    <t>Low-Income Taxpayer Credit</t>
  </si>
  <si>
    <t>2000 (effective 2000)</t>
  </si>
  <si>
    <t>§§ 58.1-339.10 &amp; 58.1-439.12</t>
  </si>
  <si>
    <t xml:space="preserve">Riparian Forest Buffer Protection for Waterways Tax Credit  </t>
  </si>
  <si>
    <t>§ 58.1-339.11</t>
  </si>
  <si>
    <t>Long-term Care Insurance Tax Credit</t>
  </si>
  <si>
    <t>2006 (effective 2006)</t>
  </si>
  <si>
    <t>§ 58.1-439.12:02</t>
  </si>
  <si>
    <t>Biodiesel and Green Diesel Fuels Producers Tax Credit</t>
  </si>
  <si>
    <t>2008 (effective 2008)</t>
  </si>
  <si>
    <t>Code Section(s)</t>
  </si>
  <si>
    <t>Credit Claimed Against</t>
  </si>
  <si>
    <t>Number of Returns</t>
  </si>
  <si>
    <t>Individual and Corporate</t>
  </si>
  <si>
    <t>Individual Only</t>
  </si>
  <si>
    <t>Corporate Only</t>
  </si>
  <si>
    <t>Corn</t>
  </si>
  <si>
    <t>Small</t>
  </si>
  <si>
    <t xml:space="preserve">Forest </t>
  </si>
  <si>
    <t>Soft Drink</t>
  </si>
  <si>
    <t>Litter</t>
  </si>
  <si>
    <t>Grains</t>
  </si>
  <si>
    <t>8. The corn assessment is imposed at the rate of 1 cent per bushel.  All revenues from the tax are deposited into the Virginia Corn Fund.</t>
  </si>
  <si>
    <t>10. The small grains assessment is imposed at the rate of one-half of one percent (.005) of the net selling price per bushel.  All revenues from the tax are deposited into the Virginia Small Grains Fund.</t>
  </si>
  <si>
    <t>11. The forest products tax is imposed at different rates based on the type of product.  Revenues from the tax are deposited into the Reforestation of Timberlands State Fund and the Protection and Development of Forest Resources State Fund.</t>
  </si>
  <si>
    <t>12. The soft drink excise tax is imposed on wholesalers or distributors of carbonated soft drinks on a sliding scale based on gross receipts.  Revenues from the tax are deposited into the Litter Control and Recycling Fund.</t>
  </si>
  <si>
    <t>14. The sheep assessment is imposed at the rate of 50 cents per head.  All revenues from the tax are deposited into the Virginia Sheep Industry Promotion and Development Fund.</t>
  </si>
  <si>
    <t>15. The apple excise tax is 2.5 cents per tree run bushel of ungraded apples grown in the Commonwealth. Revenues from the tax are deposited into the Apple Fund.</t>
  </si>
  <si>
    <t>Table 4.3</t>
  </si>
  <si>
    <t>Neighborhood Assistance Act Credit</t>
  </si>
  <si>
    <t>Historic Rehabilitation Tax Credit</t>
  </si>
  <si>
    <t>Table 5.1</t>
  </si>
  <si>
    <t>Table 5.2</t>
  </si>
  <si>
    <t>Table 5.2, continued</t>
  </si>
  <si>
    <t>Directory</t>
  </si>
  <si>
    <t>Virginia Department of Taxation</t>
  </si>
  <si>
    <t>on the University of Virginia's Weldon Cooper Center for</t>
  </si>
  <si>
    <t>Public Service (CPS) website at</t>
  </si>
  <si>
    <t>General Mailing Address</t>
  </si>
  <si>
    <t>Office of Tax Policy, Policy Development Division</t>
  </si>
  <si>
    <t>Internet: http://www.tax.virginia.gov</t>
  </si>
  <si>
    <t>ANNUAL REPORT</t>
  </si>
  <si>
    <t>Report of the Tax Commissioner</t>
  </si>
  <si>
    <t>to the Governor of the Commonwealth of Virginia</t>
  </si>
  <si>
    <t>Craig M. Burns, Tax Commissioner</t>
  </si>
  <si>
    <t>Apple</t>
  </si>
  <si>
    <t>Cotton</t>
  </si>
  <si>
    <t>Sheep</t>
  </si>
  <si>
    <t>Yr/Yr</t>
  </si>
  <si>
    <t>% Chg</t>
  </si>
  <si>
    <t>Taxes Administered by the Department of Taxation</t>
  </si>
  <si>
    <t>Revenues</t>
  </si>
  <si>
    <t>General Fund (GF) Revenues</t>
  </si>
  <si>
    <t>Recordation and deeds of conveyance</t>
  </si>
  <si>
    <t>Suits, wills and administration</t>
  </si>
  <si>
    <t>State sales, use, and vending (GF part)</t>
  </si>
  <si>
    <t>Watercraft sales and use</t>
  </si>
  <si>
    <t>Total Department GF Revenues</t>
  </si>
  <si>
    <t>Aircraft sales and use</t>
  </si>
  <si>
    <t>Cigarette Tax</t>
  </si>
  <si>
    <t>Other Tobacco Products</t>
  </si>
  <si>
    <t>Egg excise</t>
  </si>
  <si>
    <t>Forest products</t>
  </si>
  <si>
    <t>Peanut excise</t>
  </si>
  <si>
    <t>Soybeans</t>
  </si>
  <si>
    <t>Tire tax</t>
  </si>
  <si>
    <t>Other</t>
  </si>
  <si>
    <t>Corn excise</t>
  </si>
  <si>
    <t>Small grains tax</t>
  </si>
  <si>
    <t>Litter tax</t>
  </si>
  <si>
    <t>Soft drink excise</t>
  </si>
  <si>
    <t>Table 2.1</t>
  </si>
  <si>
    <t>Corporate Income Tax Revenue</t>
  </si>
  <si>
    <t>1. Revenue represents net tax collections by fiscal year.</t>
  </si>
  <si>
    <t>Table 5.3</t>
  </si>
  <si>
    <t>Counties</t>
  </si>
  <si>
    <t>Cities</t>
  </si>
  <si>
    <t>Total equity capital value based on capital, surplus, and undivided profits</t>
  </si>
  <si>
    <t>Other additions</t>
  </si>
  <si>
    <t>a. U.S. obligations</t>
  </si>
  <si>
    <t>b. Retained earnings and surplus of subsidiaries included in gross capital</t>
  </si>
  <si>
    <t>c. Goodwill</t>
  </si>
  <si>
    <t>Capital attributable to Virginia</t>
  </si>
  <si>
    <t>Deductions of assessed value of real estate otherwise taxed in this state</t>
  </si>
  <si>
    <t>Deductions of book value of tangible personal property otherwise taxed in this state</t>
  </si>
  <si>
    <t>Net taxable capital</t>
  </si>
  <si>
    <t>Local Tax Credit (local Tax Assessment)</t>
  </si>
  <si>
    <t>State Tax Credits:</t>
  </si>
  <si>
    <t>Major Business Facility Job Tax Credit</t>
  </si>
  <si>
    <t>Total State Tax Assessment</t>
  </si>
  <si>
    <t>Table 5.4</t>
  </si>
  <si>
    <t>Bank Franchise Tax Net Revenue Collections</t>
  </si>
  <si>
    <t>Collections</t>
  </si>
  <si>
    <t>Table 1.1</t>
  </si>
  <si>
    <t>Individual Income Tax Liability</t>
  </si>
  <si>
    <t>Taxable Year</t>
  </si>
  <si>
    <t>Table 1.4</t>
  </si>
  <si>
    <t>Number and Class of Exemptions by Virginia Adjusted Gross Income Class</t>
  </si>
  <si>
    <t>Adjusted Gross</t>
  </si>
  <si>
    <t>Income Classes</t>
  </si>
  <si>
    <t>Personal</t>
  </si>
  <si>
    <t>Dependent</t>
  </si>
  <si>
    <t>Age</t>
  </si>
  <si>
    <t>Blindness</t>
  </si>
  <si>
    <t>and</t>
  </si>
  <si>
    <t>Below</t>
  </si>
  <si>
    <t>to</t>
  </si>
  <si>
    <t>Total:</t>
  </si>
  <si>
    <t>Table 1.3</t>
  </si>
  <si>
    <t>Number and Class of Returns by Virginia Adjusted Gross Income Class</t>
  </si>
  <si>
    <t>Joint</t>
  </si>
  <si>
    <t>Number of</t>
  </si>
  <si>
    <t>Returns</t>
  </si>
  <si>
    <t>Table 1.2</t>
  </si>
  <si>
    <t>Itemized</t>
  </si>
  <si>
    <t>Standard</t>
  </si>
  <si>
    <t>Average</t>
  </si>
  <si>
    <t>Total Adjusted</t>
  </si>
  <si>
    <t>Exemptions</t>
  </si>
  <si>
    <t>Deductions</t>
  </si>
  <si>
    <t xml:space="preserve">Deductions </t>
  </si>
  <si>
    <t>Total Taxable</t>
  </si>
  <si>
    <t>Total Tax</t>
  </si>
  <si>
    <t>Gross Income</t>
  </si>
  <si>
    <t>Claimed ($)</t>
  </si>
  <si>
    <t>Liability</t>
  </si>
  <si>
    <t>Rate</t>
  </si>
  <si>
    <t>Over</t>
  </si>
  <si>
    <t>Table 5.6</t>
  </si>
  <si>
    <t>Distribution</t>
  </si>
  <si>
    <t>Accomack</t>
  </si>
  <si>
    <t>Halifax</t>
  </si>
  <si>
    <t>Scott</t>
  </si>
  <si>
    <t>Manassas</t>
  </si>
  <si>
    <t>Albemarle</t>
  </si>
  <si>
    <t>Hanover</t>
  </si>
  <si>
    <t>Shenandoah</t>
  </si>
  <si>
    <t>Manassas Park</t>
  </si>
  <si>
    <t>Alleghany</t>
  </si>
  <si>
    <t>Henrico</t>
  </si>
  <si>
    <t>Smyth</t>
  </si>
  <si>
    <t>Martinsville</t>
  </si>
  <si>
    <t>Amelia</t>
  </si>
  <si>
    <t>Henry</t>
  </si>
  <si>
    <t>Southampton</t>
  </si>
  <si>
    <t>Newport News</t>
  </si>
  <si>
    <t>Amherst</t>
  </si>
  <si>
    <t>Highland</t>
  </si>
  <si>
    <t>Spotsylvania</t>
  </si>
  <si>
    <t>Norfolk</t>
  </si>
  <si>
    <t>Appomattox</t>
  </si>
  <si>
    <t>Isle of Wight</t>
  </si>
  <si>
    <t>Stafford</t>
  </si>
  <si>
    <t>Norton</t>
  </si>
  <si>
    <t>Arlington</t>
  </si>
  <si>
    <t>James City</t>
  </si>
  <si>
    <t>Surry</t>
  </si>
  <si>
    <t>Petersburg</t>
  </si>
  <si>
    <t>Augusta</t>
  </si>
  <si>
    <t>King and Queen</t>
  </si>
  <si>
    <t>Sussex</t>
  </si>
  <si>
    <t>Poquoson</t>
  </si>
  <si>
    <t>Bath</t>
  </si>
  <si>
    <t>King George</t>
  </si>
  <si>
    <t>Tazewell</t>
  </si>
  <si>
    <t>Portsmouth</t>
  </si>
  <si>
    <t>Bedford</t>
  </si>
  <si>
    <t>King William</t>
  </si>
  <si>
    <t>Warren</t>
  </si>
  <si>
    <t>Radford</t>
  </si>
  <si>
    <t>Bland</t>
  </si>
  <si>
    <t>Lancaster</t>
  </si>
  <si>
    <t>Washington</t>
  </si>
  <si>
    <t>Richmond</t>
  </si>
  <si>
    <t>Botetourt</t>
  </si>
  <si>
    <t>Lee</t>
  </si>
  <si>
    <t>Westmoreland</t>
  </si>
  <si>
    <t>Roanoke</t>
  </si>
  <si>
    <t>Brunswick</t>
  </si>
  <si>
    <t>Loudoun</t>
  </si>
  <si>
    <t>Wise</t>
  </si>
  <si>
    <t>Salem</t>
  </si>
  <si>
    <t>Buchanan</t>
  </si>
  <si>
    <t>Louisa</t>
  </si>
  <si>
    <t>Wythe</t>
  </si>
  <si>
    <t>Staunton</t>
  </si>
  <si>
    <t>Buckingham</t>
  </si>
  <si>
    <t>Lunenburg</t>
  </si>
  <si>
    <t>York</t>
  </si>
  <si>
    <t>Suffolk</t>
  </si>
  <si>
    <t>Campbell</t>
  </si>
  <si>
    <t>Madison</t>
  </si>
  <si>
    <t>Caroline</t>
  </si>
  <si>
    <t>Mathews</t>
  </si>
  <si>
    <t>Waynesboro</t>
  </si>
  <si>
    <t>Carroll</t>
  </si>
  <si>
    <t>Mecklenburg</t>
  </si>
  <si>
    <t>Williamsburg</t>
  </si>
  <si>
    <t>Charles City</t>
  </si>
  <si>
    <t>Middlesex</t>
  </si>
  <si>
    <t>Winchester</t>
  </si>
  <si>
    <t>Charlotte</t>
  </si>
  <si>
    <t>Montgomery</t>
  </si>
  <si>
    <t>Chesterfield</t>
  </si>
  <si>
    <t>Nelson</t>
  </si>
  <si>
    <t>Alexandria</t>
  </si>
  <si>
    <t>Clarke</t>
  </si>
  <si>
    <t>New Kent</t>
  </si>
  <si>
    <t>Craig</t>
  </si>
  <si>
    <t>Northampton</t>
  </si>
  <si>
    <t>Bristol</t>
  </si>
  <si>
    <t>Culpeper</t>
  </si>
  <si>
    <t>Northumberland</t>
  </si>
  <si>
    <t>Buena Vista</t>
  </si>
  <si>
    <t>Cumberland</t>
  </si>
  <si>
    <t>Nottoway</t>
  </si>
  <si>
    <t>Charlottesville</t>
  </si>
  <si>
    <t>Dickenson</t>
  </si>
  <si>
    <t>Orange</t>
  </si>
  <si>
    <t>Chesapeake</t>
  </si>
  <si>
    <t>Dinwiddie</t>
  </si>
  <si>
    <t>Page</t>
  </si>
  <si>
    <t>Colonial Heights</t>
  </si>
  <si>
    <t>Essex</t>
  </si>
  <si>
    <t>Patrick</t>
  </si>
  <si>
    <t>Covington</t>
  </si>
  <si>
    <t>Fairfax</t>
  </si>
  <si>
    <t>Pittsylvania</t>
  </si>
  <si>
    <t>Danville</t>
  </si>
  <si>
    <t>Fauquier</t>
  </si>
  <si>
    <t>Powhatan</t>
  </si>
  <si>
    <t>Emporia</t>
  </si>
  <si>
    <t>Floyd</t>
  </si>
  <si>
    <t>Prince Edward</t>
  </si>
  <si>
    <t>Fluvanna</t>
  </si>
  <si>
    <t>Prince George</t>
  </si>
  <si>
    <t>Falls Church</t>
  </si>
  <si>
    <t>Franklin</t>
  </si>
  <si>
    <t>Prince William</t>
  </si>
  <si>
    <t>Frederick</t>
  </si>
  <si>
    <t>Pulaski</t>
  </si>
  <si>
    <t>Fredericksburg</t>
  </si>
  <si>
    <t>Giles</t>
  </si>
  <si>
    <t>Rappahannock</t>
  </si>
  <si>
    <t>Galax</t>
  </si>
  <si>
    <t>Gloucester</t>
  </si>
  <si>
    <t>Hampton</t>
  </si>
  <si>
    <t>Goochland</t>
  </si>
  <si>
    <t>Harrisonburg</t>
  </si>
  <si>
    <t>Grayson</t>
  </si>
  <si>
    <t>Rockbridge</t>
  </si>
  <si>
    <t>Hopewell</t>
  </si>
  <si>
    <t>Greene</t>
  </si>
  <si>
    <t>Rockingham</t>
  </si>
  <si>
    <t>Lexington</t>
  </si>
  <si>
    <t>Greensville</t>
  </si>
  <si>
    <t>Russell</t>
  </si>
  <si>
    <t>Lynchburg</t>
  </si>
  <si>
    <t>Table 5.6, Continued</t>
  </si>
  <si>
    <t>Town</t>
  </si>
  <si>
    <t>Abingdon</t>
  </si>
  <si>
    <t>Lebanon</t>
  </si>
  <si>
    <t>Saint Charles</t>
  </si>
  <si>
    <t>Accomac</t>
  </si>
  <si>
    <t>Damascus</t>
  </si>
  <si>
    <t>Leesburg</t>
  </si>
  <si>
    <t>Saint Paul</t>
  </si>
  <si>
    <t>Alberta</t>
  </si>
  <si>
    <t>Dayton</t>
  </si>
  <si>
    <t>Saltville</t>
  </si>
  <si>
    <t>Altavista</t>
  </si>
  <si>
    <t>Dillwyn</t>
  </si>
  <si>
    <t>Lovettsville</t>
  </si>
  <si>
    <t>Scottsville</t>
  </si>
  <si>
    <t>Drakes Branch</t>
  </si>
  <si>
    <t>Luray</t>
  </si>
  <si>
    <t>Appalachia</t>
  </si>
  <si>
    <t>Dublin</t>
  </si>
  <si>
    <t>Marion</t>
  </si>
  <si>
    <t>Smithfield</t>
  </si>
  <si>
    <t>Dumfries</t>
  </si>
  <si>
    <t>McKenney</t>
  </si>
  <si>
    <t>South Boston</t>
  </si>
  <si>
    <t>Ashland</t>
  </si>
  <si>
    <t>Edinburg</t>
  </si>
  <si>
    <t>Melfa</t>
  </si>
  <si>
    <t>South Hill</t>
  </si>
  <si>
    <t>Berryville</t>
  </si>
  <si>
    <t>Elkton</t>
  </si>
  <si>
    <t>Middleburg</t>
  </si>
  <si>
    <t>Stanardsville</t>
  </si>
  <si>
    <t>Big Stone Gap</t>
  </si>
  <si>
    <t>Farmville</t>
  </si>
  <si>
    <t>Middletown</t>
  </si>
  <si>
    <t>Stanley</t>
  </si>
  <si>
    <t>Blacksburg</t>
  </si>
  <si>
    <t>Fincastle</t>
  </si>
  <si>
    <t>Mineral</t>
  </si>
  <si>
    <t>Blackstone</t>
  </si>
  <si>
    <t>Monterey</t>
  </si>
  <si>
    <t>Strasburg</t>
  </si>
  <si>
    <t>Bluefield</t>
  </si>
  <si>
    <t>Fries</t>
  </si>
  <si>
    <t>Montross</t>
  </si>
  <si>
    <t>Stuart</t>
  </si>
  <si>
    <t>Boones Mill</t>
  </si>
  <si>
    <t>Front Royal</t>
  </si>
  <si>
    <t>Mount Jackson</t>
  </si>
  <si>
    <t>Tappahannock</t>
  </si>
  <si>
    <t>Bowling Green</t>
  </si>
  <si>
    <t>Gate City</t>
  </si>
  <si>
    <t>Narrows</t>
  </si>
  <si>
    <t>Boyce</t>
  </si>
  <si>
    <t>Glade Spring</t>
  </si>
  <si>
    <t>New Castle</t>
  </si>
  <si>
    <t>Timberville</t>
  </si>
  <si>
    <t>Boydton</t>
  </si>
  <si>
    <t>Glasgow</t>
  </si>
  <si>
    <t>New Market</t>
  </si>
  <si>
    <t>Troutville</t>
  </si>
  <si>
    <t>Boykins</t>
  </si>
  <si>
    <t>Gordonsville</t>
  </si>
  <si>
    <t>Newsoms</t>
  </si>
  <si>
    <t>Urbanna</t>
  </si>
  <si>
    <t>Bridgewater</t>
  </si>
  <si>
    <t>Goshen</t>
  </si>
  <si>
    <t>Nickelsville</t>
  </si>
  <si>
    <t>Victoria</t>
  </si>
  <si>
    <t>Broadway</t>
  </si>
  <si>
    <t>Gretna</t>
  </si>
  <si>
    <t>Occoquan</t>
  </si>
  <si>
    <t>Vienna</t>
  </si>
  <si>
    <t>Grottoes</t>
  </si>
  <si>
    <t>Onancock</t>
  </si>
  <si>
    <t>Vinton</t>
  </si>
  <si>
    <t>Brookneal</t>
  </si>
  <si>
    <t>Grundy</t>
  </si>
  <si>
    <t>Onley</t>
  </si>
  <si>
    <t>Wachapreague</t>
  </si>
  <si>
    <t>Wakefield</t>
  </si>
  <si>
    <t>Burkeville</t>
  </si>
  <si>
    <t>Hamilton</t>
  </si>
  <si>
    <t>Painter</t>
  </si>
  <si>
    <t>Warrenton</t>
  </si>
  <si>
    <t>Cape Charles</t>
  </si>
  <si>
    <t>Haymarket</t>
  </si>
  <si>
    <t>Parksley</t>
  </si>
  <si>
    <t>Warsaw</t>
  </si>
  <si>
    <t>Cedar Bluff</t>
  </si>
  <si>
    <t>Haysi</t>
  </si>
  <si>
    <t>Pearisburg</t>
  </si>
  <si>
    <t>Charlotte Court House</t>
  </si>
  <si>
    <t>Herndon</t>
  </si>
  <si>
    <t>Pembroke</t>
  </si>
  <si>
    <t>Waverly</t>
  </si>
  <si>
    <t>Chase City</t>
  </si>
  <si>
    <t>Hillsville</t>
  </si>
  <si>
    <t>Pennington Gap</t>
  </si>
  <si>
    <t>Weber City</t>
  </si>
  <si>
    <t>Chatham</t>
  </si>
  <si>
    <t>Honaker</t>
  </si>
  <si>
    <t>Phenix</t>
  </si>
  <si>
    <t>West Point</t>
  </si>
  <si>
    <t>Chilhowie</t>
  </si>
  <si>
    <t>Hurt</t>
  </si>
  <si>
    <t>Pocahontas</t>
  </si>
  <si>
    <t>White Stone</t>
  </si>
  <si>
    <t>Chincoteague</t>
  </si>
  <si>
    <t>Independence</t>
  </si>
  <si>
    <t>Port Royal</t>
  </si>
  <si>
    <t>Windsor</t>
  </si>
  <si>
    <t>Christiansburg</t>
  </si>
  <si>
    <t>Iron Gate</t>
  </si>
  <si>
    <t>Pound</t>
  </si>
  <si>
    <t>Clarksville</t>
  </si>
  <si>
    <t>Irvington</t>
  </si>
  <si>
    <t>Woodstock</t>
  </si>
  <si>
    <t>Cleveland</t>
  </si>
  <si>
    <t>Ivor</t>
  </si>
  <si>
    <t>Purcellville</t>
  </si>
  <si>
    <t>Clifton</t>
  </si>
  <si>
    <t>Jarratt</t>
  </si>
  <si>
    <t>Quantico</t>
  </si>
  <si>
    <t>Clifton Forge</t>
  </si>
  <si>
    <t>Jonesville</t>
  </si>
  <si>
    <t>Remington</t>
  </si>
  <si>
    <t>Total Towns</t>
  </si>
  <si>
    <t>Clintwood</t>
  </si>
  <si>
    <t>Kenbridge</t>
  </si>
  <si>
    <t>Rich Creek</t>
  </si>
  <si>
    <t>Coeburn</t>
  </si>
  <si>
    <t>Keysville</t>
  </si>
  <si>
    <t>Ridgeway</t>
  </si>
  <si>
    <t>Colonial Beach</t>
  </si>
  <si>
    <t>Kilmarnock</t>
  </si>
  <si>
    <t>Rocky Mount</t>
  </si>
  <si>
    <t>Courtland</t>
  </si>
  <si>
    <t>La Crosse</t>
  </si>
  <si>
    <t>Round Hill</t>
  </si>
  <si>
    <t>Crewe</t>
  </si>
  <si>
    <t>Lawrenceville</t>
  </si>
  <si>
    <t>Rural Retreat</t>
  </si>
  <si>
    <t>Table 5.5</t>
  </si>
  <si>
    <t>Table 5.5, continued</t>
  </si>
  <si>
    <t xml:space="preserve">Halifax   </t>
  </si>
  <si>
    <t xml:space="preserve">Virginia Beach </t>
  </si>
  <si>
    <t>Table 1.5</t>
  </si>
  <si>
    <t>Virginia Adjusted Gross Income by Locality/Income Level</t>
  </si>
  <si>
    <t>$5,000 to</t>
  </si>
  <si>
    <t>$10,000 to</t>
  </si>
  <si>
    <t>$15,000 to</t>
  </si>
  <si>
    <t>$20,000 to</t>
  </si>
  <si>
    <t>$25,000 to</t>
  </si>
  <si>
    <t>$30,000 to</t>
  </si>
  <si>
    <t>$40,000 to</t>
  </si>
  <si>
    <t>$50,000 to</t>
  </si>
  <si>
    <t>$75,000 to</t>
  </si>
  <si>
    <t>$100,000</t>
  </si>
  <si>
    <t>$0 to $4,999</t>
  </si>
  <si>
    <t>$9,999</t>
  </si>
  <si>
    <t>$14,999</t>
  </si>
  <si>
    <t>$19,999</t>
  </si>
  <si>
    <t>$24,999</t>
  </si>
  <si>
    <t>$29,999</t>
  </si>
  <si>
    <t>$39,999</t>
  </si>
  <si>
    <t>$49,999</t>
  </si>
  <si>
    <t>$74,999</t>
  </si>
  <si>
    <t>$99,999</t>
  </si>
  <si>
    <t>and Over</t>
  </si>
  <si>
    <t>Table 1.5, continued</t>
  </si>
  <si>
    <r>
      <t>Unassigned</t>
    </r>
    <r>
      <rPr>
        <sz val="10"/>
        <rFont val="Arial"/>
        <family val="2"/>
      </rPr>
      <t>*</t>
    </r>
  </si>
  <si>
    <t>* Returns not assigned to a locality are generally nonresident returns.  In these cases, the taxpayer did not report a locality in which the Virginia portion of income was earned.</t>
  </si>
  <si>
    <t>Table 1.6</t>
  </si>
  <si>
    <t>Filing Status</t>
  </si>
  <si>
    <t>Number</t>
  </si>
  <si>
    <t>Individual</t>
  </si>
  <si>
    <t>Table 1.6, continued</t>
  </si>
  <si>
    <t>Table 1.7</t>
  </si>
  <si>
    <t>Total Net Taxable Income, Amount Taxed at Each Tax Rate, Total Income Tax Liability by Locality</t>
  </si>
  <si>
    <t>Total Net</t>
  </si>
  <si>
    <t xml:space="preserve">Amount Taxed </t>
  </si>
  <si>
    <t>Amount Taxed</t>
  </si>
  <si>
    <t>Total Income</t>
  </si>
  <si>
    <t>Taxable Income</t>
  </si>
  <si>
    <t>at 2% Rate</t>
  </si>
  <si>
    <t>at 3% Rate</t>
  </si>
  <si>
    <t>at 5% Rate</t>
  </si>
  <si>
    <t>at 5.75% Rate</t>
  </si>
  <si>
    <t>Tax Liability</t>
  </si>
  <si>
    <t>Table 1.7, continued</t>
  </si>
  <si>
    <t>Table 1.8</t>
  </si>
  <si>
    <t>Set-Off Debt Transferred to Agencies by Taxable Year</t>
  </si>
  <si>
    <t>Type of Participants</t>
  </si>
  <si>
    <t>Payments</t>
  </si>
  <si>
    <t>State Agencies</t>
  </si>
  <si>
    <t>Circuit Courts</t>
  </si>
  <si>
    <t>District Courts</t>
  </si>
  <si>
    <t>Juvenile and Domestic Courts</t>
  </si>
  <si>
    <t>Combined Courts</t>
  </si>
  <si>
    <t>IRS</t>
  </si>
  <si>
    <t>Towns</t>
  </si>
  <si>
    <t>Social Services</t>
  </si>
  <si>
    <t>TOTAL</t>
  </si>
  <si>
    <t>Table 1.9</t>
  </si>
  <si>
    <t>Refund Match Totals</t>
  </si>
  <si>
    <t>Tax Year</t>
  </si>
  <si>
    <t>Table 1.10</t>
  </si>
  <si>
    <t>Program/ Fund</t>
  </si>
  <si>
    <t xml:space="preserve">Number </t>
  </si>
  <si>
    <t>Virginia Democratic Party*</t>
  </si>
  <si>
    <t>Virginia Republican Party*</t>
  </si>
  <si>
    <t>Virginia Nongame Wildlife Program</t>
  </si>
  <si>
    <t>Virginia Housing Program</t>
  </si>
  <si>
    <t>Virginia Open Space Recreation and Conservation Fund</t>
  </si>
  <si>
    <t>Virginia Family and Children's Trust Fund (FACT)</t>
  </si>
  <si>
    <t>Virginia Elderly and Disabled Transportation Fund</t>
  </si>
  <si>
    <t>Virginia Arts Foundation</t>
  </si>
  <si>
    <t>Chesapeake Bay Restoration</t>
  </si>
  <si>
    <t>Public School Foundations</t>
  </si>
  <si>
    <t>Spay and Neuter Fund</t>
  </si>
  <si>
    <t>Virginia Federation of Humane Societies</t>
  </si>
  <si>
    <t>Cancer Centers</t>
  </si>
  <si>
    <t>Virginia Military Family Relief Fund</t>
  </si>
  <si>
    <t>Public Libraries Foundations</t>
  </si>
  <si>
    <t>1. Taxpayers may make voluntary contributions to qualifying organizations from their tax refunds or, for some organizations, tax payments.  If the contribution exceeds an expected refund, it increases the amount of the tax payment.</t>
  </si>
  <si>
    <t>Table 4.2</t>
  </si>
  <si>
    <t>Annual Taxable Sales by Category for the Commonwealth of Virginia by Calendar Year</t>
  </si>
  <si>
    <t>Category</t>
  </si>
  <si>
    <t>11  Agriculture</t>
  </si>
  <si>
    <t>21-22  Mining and Utilities</t>
  </si>
  <si>
    <t>23  Construction</t>
  </si>
  <si>
    <t>31-33  Manufacturing</t>
  </si>
  <si>
    <t>42  Wholesale Trade</t>
  </si>
  <si>
    <t>44-45  Retail Trade</t>
  </si>
  <si>
    <t>442  Furniture and Home Furnishings Stores</t>
  </si>
  <si>
    <t>444  Building Material and Garden Equipment and Supplies Dealers</t>
  </si>
  <si>
    <t>445  Food and Beverage Stores</t>
  </si>
  <si>
    <t>448  Clothing and Clothing Accessories Stores</t>
  </si>
  <si>
    <t>452  General Merchandise Stores</t>
  </si>
  <si>
    <t>48-49  Transportation and Warehousing</t>
  </si>
  <si>
    <t>51  Information</t>
  </si>
  <si>
    <t>52  Finance and Insurance</t>
  </si>
  <si>
    <t>53  Real Estate, Rental, and Leasing</t>
  </si>
  <si>
    <t>54  Professional, Scientific, and Technical Services</t>
  </si>
  <si>
    <t>55  Management of Companies and Enterprises</t>
  </si>
  <si>
    <t>56  Administrative, Support, Waste Management, and Remediation Services</t>
  </si>
  <si>
    <t>61  Educational Services</t>
  </si>
  <si>
    <t>62  Health Care and Social Assistance</t>
  </si>
  <si>
    <t>71  Arts, Entertainment, and Recreation</t>
  </si>
  <si>
    <t>72  Accommodation And Food Services</t>
  </si>
  <si>
    <t>722  Food Services and Drinking Places</t>
  </si>
  <si>
    <t>81  Other Services</t>
  </si>
  <si>
    <t>92  Public Administration</t>
  </si>
  <si>
    <t>Not Categorized</t>
  </si>
  <si>
    <t>2. NAICS codes are self-reported and based on the primary business activity of the taxpayer.</t>
  </si>
  <si>
    <t>Table 6.1</t>
  </si>
  <si>
    <t>Table of Contents</t>
  </si>
  <si>
    <t xml:space="preserve">Net Revenue Collections and Expenditures                                                                </t>
  </si>
  <si>
    <t xml:space="preserve">Individual Income Tax Liability ……………………………………...……………………....………………….……………………………………………………………………….…………………..……………………………..                                                        </t>
  </si>
  <si>
    <t xml:space="preserve">Number and Class of Returns by Virginia Adjusted Gross Income Class ……………………………………...……………………....………………….……………………………………………………………………….…………………..……………………………..                                                     </t>
  </si>
  <si>
    <t xml:space="preserve">Number and Class of Exemptions by Virginia Adjusted Gross Income Class ……………………………………...……………………....………………….……………………………………………………………………….…………………..……………………………..                                          </t>
  </si>
  <si>
    <t xml:space="preserve">Virginia Adjusted Gross Income by Locality/Income Level ……………………………………...……………………....………………….……………………………………………………………………….…………………..……………………………..                                                                     </t>
  </si>
  <si>
    <t xml:space="preserve">Total Net Taxable Income, Amount Taxed at Each Tax Rate, Total Income Tax Liability by Locality ……………………………………...……………………....………………….……………………………………………………………………….…………………..……………………………..                                         </t>
  </si>
  <si>
    <t xml:space="preserve">Refund Match Totals ……………………………………...……………………....………………….……………………………………………………………………….…………………..……………………………..                                                                                   </t>
  </si>
  <si>
    <t>1.10</t>
  </si>
  <si>
    <t xml:space="preserve">Voluntary Contributions by Taxable Year ……………………………………...……………………....………………….……………………………………………………………………….…………………..……………………………..                                                                                     </t>
  </si>
  <si>
    <t>Corporate Income Tax</t>
  </si>
  <si>
    <t xml:space="preserve">Corporate Income Tax Revenue ……………………………………...……………………....………………….……………………………………………………………………….…………………..……………………………..                 </t>
  </si>
  <si>
    <t xml:space="preserve">Number of Corporate Returns, Taxable Income, and Tax Liability ……………………………………...……………………....………………….……………………………………………………………………….…………………..……………………………..                 </t>
  </si>
  <si>
    <t>Individual and Corporate Income Tax Credits</t>
  </si>
  <si>
    <t xml:space="preserve">State and Local Retail Sales and Use Tax Net Revenue Collections ……………………………………...……………………....………………….……………………………………………………………………….…………………..……………………………..                 </t>
  </si>
  <si>
    <t>4.2</t>
  </si>
  <si>
    <t xml:space="preserve">Annual Taxable Sales by Category for the Commonwealth of Virginia by Calendar Year ……………………………………...……………………………………………...………                                            </t>
  </si>
  <si>
    <t>4.3</t>
  </si>
  <si>
    <t>Other State Taxes</t>
  </si>
  <si>
    <t xml:space="preserve">Other Taxes Net Revenue Collections - General Fund ……………………………………...……………………....………………….……………………………………………………………………….…………………..……………………………..                 </t>
  </si>
  <si>
    <t>5.3</t>
  </si>
  <si>
    <t>5.4</t>
  </si>
  <si>
    <t xml:space="preserve">Bank Franchise Tax Net Revenue Collections ……………………………………...……………………....………………….……………………………………………………………………….…………………..……………………………..                 </t>
  </si>
  <si>
    <t>5.5</t>
  </si>
  <si>
    <t xml:space="preserve">Recordation Tax and Deeds of Conveyance Revenue Collections by Locality ……………………………………...……………………....………………….……………………………………………………………………….…………………..……………………………..                 </t>
  </si>
  <si>
    <t>5.6</t>
  </si>
  <si>
    <t>§ 58.1-439.12:05</t>
  </si>
  <si>
    <t>Green Job Creation Tax Credit</t>
  </si>
  <si>
    <t>2010 (effective 2010)</t>
  </si>
  <si>
    <t>§ 58.1-439.12:04</t>
  </si>
  <si>
    <t>Tax Credit for Participating Landlords (Community of Opportunity)</t>
  </si>
  <si>
    <t>Rolling Stock Tax</t>
  </si>
  <si>
    <t>State Forests Fund</t>
  </si>
  <si>
    <t>§ 58.1-339.12</t>
  </si>
  <si>
    <t>Farm Wineries and Vineyards Tax Credit</t>
  </si>
  <si>
    <t>2011 (effective 2011)</t>
  </si>
  <si>
    <t>§ 58.1-439.12:03</t>
  </si>
  <si>
    <t>Motion Picture Production Tax Credit (refundable)</t>
  </si>
  <si>
    <t>§ 58.1-439.12:06</t>
  </si>
  <si>
    <t>International Trade Facility Tax Credit</t>
  </si>
  <si>
    <t>§ 58.1-439.12:08</t>
  </si>
  <si>
    <t>§ 58.1-439.12:09</t>
  </si>
  <si>
    <t>Barge and Rail Usage Tax Credit</t>
  </si>
  <si>
    <t>§ 58.1-439.12:10</t>
  </si>
  <si>
    <t>Virginia Port Volume Increase Tax Credit</t>
  </si>
  <si>
    <t>Nonprofit Exemption Annual Report</t>
  </si>
  <si>
    <t>Amount ($)</t>
  </si>
  <si>
    <t>State and Local Retail Sales &amp; Use  
Tax Expenditure Resulting From Purchases 
Made by Nonprofit Organizations</t>
  </si>
  <si>
    <t>§ 58.1-439.12:07</t>
  </si>
  <si>
    <t>Telework Expenses Tax Credit</t>
  </si>
  <si>
    <t>2011 (effective 2012)</t>
  </si>
  <si>
    <t>Wytheville</t>
  </si>
  <si>
    <t xml:space="preserve">Insurance Premiums </t>
  </si>
  <si>
    <t>License  Tax</t>
  </si>
  <si>
    <t>Franklin City</t>
  </si>
  <si>
    <t>Richmond City</t>
  </si>
  <si>
    <t>Roanoke City</t>
  </si>
  <si>
    <t>Bloxom</t>
  </si>
  <si>
    <t>Broadnax</t>
  </si>
  <si>
    <t>Stephens City</t>
  </si>
  <si>
    <t>Non-General Fund (Non-GF) Revenues</t>
  </si>
  <si>
    <t>Total Department Non-GF Revenues</t>
  </si>
  <si>
    <t xml:space="preserve">Non-General Fund </t>
  </si>
  <si>
    <t>Non-General Fund</t>
  </si>
  <si>
    <t xml:space="preserve">GF (tax) </t>
  </si>
  <si>
    <t xml:space="preserve">GF( other agency) </t>
  </si>
  <si>
    <t xml:space="preserve">Non-GF (tax) </t>
  </si>
  <si>
    <t xml:space="preserve">Non-GF(other agency) </t>
  </si>
  <si>
    <t xml:space="preserve">total </t>
  </si>
  <si>
    <t xml:space="preserve">Percent </t>
  </si>
  <si>
    <t>Other Taxes Net Revenue Collections - Non- General Fund</t>
  </si>
  <si>
    <t>5.7</t>
  </si>
  <si>
    <t xml:space="preserve">Other Taxes Net Revenue Collections - Non-General Fund ……………………………………...……………………....………………….……………………………………………………………………….…………………..……………………………..                 </t>
  </si>
  <si>
    <t>Table 5.7</t>
  </si>
  <si>
    <t>Up to $24,999</t>
  </si>
  <si>
    <t>Taxable Premium Income</t>
  </si>
  <si>
    <t xml:space="preserve">Reported for Virginia </t>
  </si>
  <si>
    <t xml:space="preserve">1. The City of Bedford reverted to the Town of Bedford, effective July 1, 2013. </t>
  </si>
  <si>
    <t xml:space="preserve">Virginia Coal Employment and Production Incentive Tax Credit </t>
  </si>
  <si>
    <t>% used</t>
  </si>
  <si>
    <t xml:space="preserve">Total After Adjustments </t>
  </si>
  <si>
    <t>Number of Insurance Returns, Taxable Premium Income, and Tax Liability</t>
  </si>
  <si>
    <t>Insurance Premiums License Tax</t>
  </si>
  <si>
    <t xml:space="preserve">Imposed on Insurance Companies (Form 800) </t>
  </si>
  <si>
    <t xml:space="preserve">Imposed on Surplus Lines Brokers  (Form 802) </t>
  </si>
  <si>
    <t xml:space="preserve">4. Tax assessed shown is before any credits claimed. </t>
  </si>
  <si>
    <t>5. If a company reports negative taxable premium income, its taxable premium income is treated as zero in this table.</t>
  </si>
  <si>
    <t>6. Some columns may not match totals due to rounding.</t>
  </si>
  <si>
    <t xml:space="preserve">2. For insurance companies, taxable premium income means direct premium income allocated to Virginia after taking into account any adjustments (Line 5 of Form 800). For surplus lines brokers, taxable premium income is premium income from policies for insureds whose home state is Virginia after taking into account any additional or returned premiums (Line 5 of Form 802). </t>
  </si>
  <si>
    <t xml:space="preserve">1. The administration and collection of Insurance Premiums License Tax was transferred from SCC's Bureau of Insurance to the Department of Taxation effective for taxable years beginning on or after January, 2013. </t>
  </si>
  <si>
    <t>Education Improvement Scholarships Tax Credit</t>
  </si>
  <si>
    <t xml:space="preserve">Amount </t>
  </si>
  <si>
    <t xml:space="preserve">Credit </t>
  </si>
  <si>
    <t>Neighborhood Assistance Act Tax Credit</t>
  </si>
  <si>
    <t>Individual, Corporate, Insurance and Bank</t>
  </si>
  <si>
    <t>§ 58.1-439.26</t>
  </si>
  <si>
    <t>Education Improvement Scholarships Tax Credits</t>
  </si>
  <si>
    <t>2012 (effective 2013)</t>
  </si>
  <si>
    <t>Bedford County</t>
  </si>
  <si>
    <t>Fairfax County</t>
  </si>
  <si>
    <t>Franklin County</t>
  </si>
  <si>
    <t>Isle Of Wight</t>
  </si>
  <si>
    <t>King And Queen</t>
  </si>
  <si>
    <t>Richmond County</t>
  </si>
  <si>
    <t>Roanoke County</t>
  </si>
  <si>
    <t>Retaliatory Cost Tax Credit (Refundable)</t>
  </si>
  <si>
    <t xml:space="preserve">*check if footnotes have changed </t>
  </si>
  <si>
    <t xml:space="preserve">Virginia College Saving Plan (Virginia 529) </t>
  </si>
  <si>
    <t xml:space="preserve">1. Effective September 1, 2004, the recordation taxes on deeds, deeds of trust, and leases are imposed at the rate of 25 cents per $100 of value.  Prior to September 1, 2004, these recordation taxes were imposed at a rate of 15 cents per $100 of value.  One-half of the revenues from the additional grantor's tax imposed at a rate of 50 cents on every $500 of value are deposited into the General Fund and one-half are deposited into the treasury of the locality.  Effective May 1, 2002, a ten dollar fee was imposed on deeds and certificates of satisfaction.  Effective May 7, 2010, the ten dollar fee on deeds and certificates of satisfaction and deeds of trust was increased to twenty dollars. Effective July 1, 2013, a regional congestion fee is imposed at the rate of $0.15 per $100 in the Northern Virginia Region. The figures stated above are net of refunds. </t>
  </si>
  <si>
    <t xml:space="preserve">check footnote </t>
  </si>
  <si>
    <t xml:space="preserve">2. Bedford County data now includes data from the City of Bedford. </t>
  </si>
  <si>
    <t xml:space="preserve">http://www.coopercenter.org, or contact </t>
  </si>
  <si>
    <t>Meredith Gunter at (434) 982-5585 or by e-mail at meredith.gunter@virginia.edu.</t>
  </si>
  <si>
    <t>Office of Customer Services</t>
  </si>
  <si>
    <t>P.O. Box 1115</t>
  </si>
  <si>
    <t>Richmond, VA  23218-1115</t>
  </si>
  <si>
    <t>2010 (effective 2011)</t>
  </si>
  <si>
    <t>Net Revenue Collections and Department of Taxation General Fund Expenditures ………………………………………………...……………………....………………….…………………………..……………………………..</t>
  </si>
  <si>
    <t>Net Revenue Collections After Refunds by Tax Type ……………………………………...……………………....………………….…………………………..……………………………..</t>
  </si>
  <si>
    <t>Virginia Adjusted Gross Income, Exemptions, Itemized and Standard Deductions, Total Taxable Income, Total Tax Liability, and Average Tax Rates</t>
  </si>
  <si>
    <t xml:space="preserve">This report was prepared by the </t>
  </si>
  <si>
    <t>Other economic and demographic data may be found</t>
  </si>
  <si>
    <t xml:space="preserve">Addition for reserve for loan losses </t>
  </si>
  <si>
    <t>d. Other deductions (total)</t>
  </si>
  <si>
    <t>Capital before Virginia modifications</t>
  </si>
  <si>
    <t>Enterprise Zone Tax Credit</t>
  </si>
  <si>
    <t>Worker Retraining Tax Credit</t>
  </si>
  <si>
    <t>Low Income Housing Tax Credit</t>
  </si>
  <si>
    <t>9. Effective September 1, 2006, the cotton assessment is imposed at the rate of 95 cents per bale.  Prior to September 1, 2006, the cotton assessment was imposed at the rate of 85 cents per bale  All revenues from the tax are deposited into the Virginia Cotton Fund.</t>
  </si>
  <si>
    <t>Other Taxes Net Revenue Collections - Non-General Fund</t>
  </si>
  <si>
    <t>7. The Aircraft Sales and Use Tax is imposed at a rate of 2 percent of the sales price.  All revenues from this tax are deposited in a special fund within the Commonwealth Transportation Fund for the administration of the aviation laws of the Commonwealth.</t>
  </si>
  <si>
    <t xml:space="preserve">3. The estate tax was equal to the minimum amount of the federal credit for state death taxes allowable under the federal estate tax laws as of January 1, 1978.  The significant decrease in revenue generated from the Estate Tax from Fiscal Year 2008 to Fiscal Year 2009 is due to the fact that it no longer applies to estates of individuals who died on or after July 1, 2007.  In general, estates owing the tax have nine months to file a return.  Therefore, the last returns were due on March 30, 2008. However, revenue from this tax may continue to be generated by delinquent filers or returns filed on extension. The estate tax includes inheritance, estate and gift. </t>
  </si>
  <si>
    <t>4. The watercraft sales and use tax is imposed at a rate of 2 percent of the purchase price, up to a maximum of $2,000.</t>
  </si>
  <si>
    <t>5. The rolling stock tax on railroads, freight car companies, and certified motor vehicle carriers is $1 on each $100 of assessed value.</t>
  </si>
  <si>
    <t xml:space="preserve">1. Bedford County data includes data from the City of Bedford- which reverted to a town, effective July 1, 2013. </t>
  </si>
  <si>
    <t>1. The current classifications are based on NAICS codes. Prior to 2005, different business classification codes were used. Historic taxable sales cannot be converted to the new classification system.</t>
  </si>
  <si>
    <t xml:space="preserve"> Corporate Returns</t>
  </si>
  <si>
    <t xml:space="preserve">1. The tax rate is 6% of the corporation's Virginia taxable income, except in the case of certain energy suppliers and telecommunication companies that are subject to a Minimum Tax. </t>
  </si>
  <si>
    <t>2. Tax assessed shown is before any credits.</t>
  </si>
  <si>
    <t>2. Prior to FY 2017, the Commonwealth Accounting and Reporting System was the data source for Corporate Income Tax revenue. Effective with FY 2017, Cardinal, Revenue Status Report is the data source for Corporate Income Tax revenue.</t>
  </si>
  <si>
    <t>1. The Refund Match program automatically matches an overpayment amount on a taxpayer's return to any outstanding tax due to the Department of Taxation, with the exception of fiduciary and estate tax accounts.</t>
  </si>
  <si>
    <t>1. The Set-Off Debt program applies an overpayment amount on a taxpayer's return against accounts receivable due to an agency of the Commonwealth.</t>
  </si>
  <si>
    <t>2. Tax liability is before any tax credits but after the spouse tax adjustment.</t>
  </si>
  <si>
    <t>3.  Bedford County data includes data from the City of Bedford- which reverted to a town, effective July 1, 2013.</t>
  </si>
  <si>
    <t>1.  Bedford County data includes data from the City of Bedford- which reverted to a town, effective July 1, 2013.</t>
  </si>
  <si>
    <t>Separately</t>
  </si>
  <si>
    <t xml:space="preserve">Married Filing </t>
  </si>
  <si>
    <t>1. The tax rate is 2% for taxable income of $3,000 or less; 3% for taxable income $3,001 to $5,000; 5% for taxable income $5,001 to $17,000; and 5.75% for taxable income over $17,000.</t>
  </si>
  <si>
    <t>2. Exemption and deduction amounts for nonresidents include the full amount before the Virginia allocable portion is computed.</t>
  </si>
  <si>
    <t>3. Tax liability is before any tax credits but after the spouse tax adjustment.</t>
  </si>
  <si>
    <t>4. Average tax rate is computed by dividing total tax liability by the total taxable income.</t>
  </si>
  <si>
    <t>5. All revenue generated by the Individual Income Tax is deposited to the General Fund.</t>
  </si>
  <si>
    <t xml:space="preserve">6. Exemptions claimed includes personal, age, blind and dependent exemptions. </t>
  </si>
  <si>
    <t>1. Tax liability is before any tax credits but after the spouse tax adjustment.</t>
  </si>
  <si>
    <t xml:space="preserve">Corporate Income Tax </t>
  </si>
  <si>
    <t xml:space="preserve">Individual Income </t>
  </si>
  <si>
    <t>Net Revenue Collections After Refunds by Tax Type</t>
  </si>
  <si>
    <t>By the Commonwealth of Virginia</t>
  </si>
  <si>
    <t>By the Department of Taxation*</t>
  </si>
  <si>
    <t>*Includes all taxes administered by the Department of Taxation.</t>
  </si>
  <si>
    <t xml:space="preserve">Set-Off Debt Transferred to Agencies by Taxable Year ……………………………………...……………………....………………….……………………………………………………………………….…………………..……………………………..                                                                           </t>
  </si>
  <si>
    <t xml:space="preserve">Fiscal Year Individual and Corporate Income Tax, Insurance Premium License Tax and Bank Franchise Tax Credits ……………………………………...……………………....………………….……………………………………………………………………….…………………..……………………………..     </t>
  </si>
  <si>
    <t xml:space="preserve">Recordation Tax and Deeds of Conveyance Revenue Collections by Locality </t>
  </si>
  <si>
    <t xml:space="preserve">Number of Insurance Returns, Taxable Premium Income, and Tax Liability……………………………………...……………………....………………….……………………………………………………………………….…………………..……………………………..                                                                   </t>
  </si>
  <si>
    <t xml:space="preserve">Exemptions, Standard and Itemized Deductions, and Number of Returns by Filing Status/Locality……………………………………...……………………....………………….……………………………………………………………………….…………………..……………………………..                                                     </t>
  </si>
  <si>
    <t>Exemptions, Standard and Itemized Deductions, and Number of Returns by Filing Status/Locality</t>
  </si>
  <si>
    <t>1. As reported in these tables, individual income tax includes individual and fiduciary income tax, individual estimated income tax, and employer income tax withholding.</t>
  </si>
  <si>
    <t>4. Not all sales are subject to the Retail Sales and Use Tax. Numerous sales are excluded or exempted.</t>
  </si>
  <si>
    <t xml:space="preserve">Estate Tax </t>
  </si>
  <si>
    <t>The Honorable Ralph S. Northam, Governor</t>
  </si>
  <si>
    <t>Virginia Adjusted Gross Income, Exemptions, Itemized and Standard Deductions, Total Taxable Income, Total Tax Liability, and Average Tax Rates………………………</t>
  </si>
  <si>
    <t xml:space="preserve">2. Cardinal, Revenue Status Report is the data source for net revenue collections. </t>
  </si>
  <si>
    <t xml:space="preserve">3. Effective January 1, 2014, the General Assembly enacted legislation that allowed an individual to designate their individual income tax refund, or a portion thereof, to be deposited into one or more Virginia College Savings Plan accounts (Virginia 529).  </t>
  </si>
  <si>
    <t>§ 58.1-439.12:11</t>
  </si>
  <si>
    <t>Major Research and Development Expenses Tax Credit</t>
  </si>
  <si>
    <t>2016 (effective 2017)</t>
  </si>
  <si>
    <t>§ 58.1-439.12:12</t>
  </si>
  <si>
    <t>Food Crop Donation Tax Credit</t>
  </si>
  <si>
    <r>
      <t>United States Olympic Committee</t>
    </r>
    <r>
      <rPr>
        <vertAlign val="superscript"/>
        <sz val="10"/>
        <color indexed="8"/>
        <rFont val="Arial"/>
        <family val="2"/>
      </rPr>
      <t>#</t>
    </r>
  </si>
  <si>
    <r>
      <t>Community Policing Fund</t>
    </r>
    <r>
      <rPr>
        <vertAlign val="superscript"/>
        <sz val="10"/>
        <color indexed="8"/>
        <rFont val="Arial"/>
        <family val="2"/>
      </rPr>
      <t>#</t>
    </r>
  </si>
  <si>
    <r>
      <t>Historic Resources Fund</t>
    </r>
    <r>
      <rPr>
        <vertAlign val="superscript"/>
        <sz val="10"/>
        <color indexed="8"/>
        <rFont val="Arial"/>
        <family val="2"/>
      </rPr>
      <t>#</t>
    </r>
  </si>
  <si>
    <r>
      <t>Uninsured Medical Catastrophe Fund</t>
    </r>
    <r>
      <rPr>
        <vertAlign val="superscript"/>
        <sz val="10"/>
        <color indexed="8"/>
        <rFont val="Arial"/>
        <family val="2"/>
      </rPr>
      <t>#</t>
    </r>
  </si>
  <si>
    <r>
      <t>War Memorial &amp; National D-Day Memorial</t>
    </r>
    <r>
      <rPr>
        <vertAlign val="superscript"/>
        <sz val="10"/>
        <color indexed="8"/>
        <rFont val="Arial"/>
        <family val="2"/>
      </rPr>
      <t>#</t>
    </r>
  </si>
  <si>
    <r>
      <t>Tuition Assistance Grant Fund</t>
    </r>
    <r>
      <rPr>
        <vertAlign val="superscript"/>
        <sz val="10"/>
        <color indexed="8"/>
        <rFont val="Arial"/>
        <family val="2"/>
      </rPr>
      <t>#</t>
    </r>
  </si>
  <si>
    <r>
      <t>Martin Luther King, Jr. Living History Public Policy Center Fund</t>
    </r>
    <r>
      <rPr>
        <vertAlign val="superscript"/>
        <sz val="10"/>
        <color indexed="8"/>
        <rFont val="Arial"/>
        <family val="2"/>
      </rPr>
      <t>#</t>
    </r>
  </si>
  <si>
    <r>
      <t>Celebrating Special Children, Inc.</t>
    </r>
    <r>
      <rPr>
        <vertAlign val="superscript"/>
        <sz val="10"/>
        <color indexed="8"/>
        <rFont val="Arial"/>
        <family val="2"/>
      </rPr>
      <t>#</t>
    </r>
  </si>
  <si>
    <t>Community Foundations^</t>
  </si>
  <si>
    <t>Virginia Foundation of Community College Education^</t>
  </si>
  <si>
    <t>Breast and Cervical Cancer Prevention Treatment Fund^</t>
  </si>
  <si>
    <t>Middle Peninsula Chesapeake Bay Public Access Authority^</t>
  </si>
  <si>
    <t>Virginia Aquarium and Marine Science Center^</t>
  </si>
  <si>
    <t>Virginia Capitol Preservation Foundation^</t>
  </si>
  <si>
    <t>Office of the Secretary of Veteran Affairs and Homeland Security^</t>
  </si>
  <si>
    <t>Federation of Virginia Food Banks^</t>
  </si>
  <si>
    <t>VDA Medicare Part D Counseling Fund^</t>
  </si>
  <si>
    <t xml:space="preserve">^ These organizations were added to  2016 Virginia Individual Income Tax return. </t>
  </si>
  <si>
    <r>
      <t>Tax Value Assistance to Localities</t>
    </r>
    <r>
      <rPr>
        <vertAlign val="superscript"/>
        <sz val="12"/>
        <color indexed="8"/>
        <rFont val="Arial"/>
        <family val="2"/>
      </rPr>
      <t>#</t>
    </r>
  </si>
  <si>
    <r>
      <t xml:space="preserve"># </t>
    </r>
    <r>
      <rPr>
        <sz val="10"/>
        <rFont val="Arial"/>
        <family val="2"/>
      </rPr>
      <t>The Department of Taxation is custodian of the funds appropriated to the State Land Evaluation Advisory</t>
    </r>
  </si>
  <si>
    <t>Council (SLEAC) and makes expenditures on behalf of SLEAC. These expenditures are not included above.</t>
  </si>
  <si>
    <t>Local Property Taxes</t>
  </si>
  <si>
    <t xml:space="preserve">Assessed Values, Levies Assessed, and Average Tax Rates ……………………………………...……………………....………………….……………………………………………………………………….…………………..……………………………..                                                                   </t>
  </si>
  <si>
    <t xml:space="preserve">Tangible Personal Property, Machinery and Tools, Merchants' Capital, and Public Service Corporations by Locality ……………………………………...……………………....………………….……………………………………………………………………….…………………..……………………………..                             </t>
  </si>
  <si>
    <t>Table 7.1</t>
  </si>
  <si>
    <t>Table 6.2</t>
  </si>
  <si>
    <t>Total FMV</t>
  </si>
  <si>
    <t>Total Taxable FMV</t>
  </si>
  <si>
    <t>Local Levy</t>
  </si>
  <si>
    <t>Reporting Year</t>
  </si>
  <si>
    <t xml:space="preserve">Bedford </t>
  </si>
  <si>
    <t>Table 6.2, continued</t>
  </si>
  <si>
    <t xml:space="preserve">Harrisonburg  </t>
  </si>
  <si>
    <t xml:space="preserve">Lexington  </t>
  </si>
  <si>
    <t xml:space="preserve">Manassas  </t>
  </si>
  <si>
    <t xml:space="preserve">Norton  </t>
  </si>
  <si>
    <t xml:space="preserve">Williamsburg  </t>
  </si>
  <si>
    <t>2. Levies shown do not include penalties and interest collected.</t>
  </si>
  <si>
    <t>4. The taxable fair market value is equal to the total fair market value for localities which do not have a special assessment for land preservation.</t>
  </si>
  <si>
    <t>Table 6.3</t>
  </si>
  <si>
    <t>Taxes Lost</t>
  </si>
  <si>
    <t>Fair Market Value</t>
  </si>
  <si>
    <t>Fair Market Value Tax Exempt Real Estate</t>
  </si>
  <si>
    <t>(Real Estate and</t>
  </si>
  <si>
    <t>Due to</t>
  </si>
  <si>
    <t>Real Estate</t>
  </si>
  <si>
    <t>Government</t>
  </si>
  <si>
    <t>Non-Government</t>
  </si>
  <si>
    <t>Total Tax Exempt</t>
  </si>
  <si>
    <t>Tax Exempt)</t>
  </si>
  <si>
    <t>Table 6.3, continued</t>
  </si>
  <si>
    <t xml:space="preserve">3. For a few counties, the data may also include the data for towns that have their own school divisions. </t>
  </si>
  <si>
    <t>Table 6.4</t>
  </si>
  <si>
    <t>Tangible Personal Property, Machinery and Tools, Merchants' Capital, and Public Service Corporations</t>
  </si>
  <si>
    <t>Tangible Personal Property</t>
  </si>
  <si>
    <t>Machinery and Tools</t>
  </si>
  <si>
    <t>Merchants' Capital</t>
  </si>
  <si>
    <t>Public Service Corporations</t>
  </si>
  <si>
    <t>Values</t>
  </si>
  <si>
    <t>Levies</t>
  </si>
  <si>
    <t>Table 6.4, continued</t>
  </si>
  <si>
    <t>3. Tangible personal property includes motor vehicles, watercraft, aircraft, farm animals and machinery, business property, household goods, etc.</t>
  </si>
  <si>
    <t>5. Machinery and Tools includes machinery and equipment used in a manufacturing, mining, processing or reprocessing, radio and television broadcasting, etc.</t>
  </si>
  <si>
    <t>6. Merchants' Capital includes inventory of stock on hand, daily rental property, and all tangible personal property for sale.</t>
  </si>
  <si>
    <t>7. Property of Public Service Corporations (PSC's) includes merchants' capital, real estate taxed, and tangible personal property.</t>
  </si>
  <si>
    <t>Assessed Values, Levies Assessed, and Average Tax Rates</t>
  </si>
  <si>
    <t>Assessed Values</t>
  </si>
  <si>
    <t>Levies Assessed</t>
  </si>
  <si>
    <t>Average Tax Rates per $100 of Assessed Value</t>
  </si>
  <si>
    <t>1.Average tax rate is computed as the aggregate levy for all counties and cities divided by the aggregate assessed value for all counties and cities.</t>
  </si>
  <si>
    <t>2018 - 2019</t>
  </si>
  <si>
    <t>US Treasury</t>
  </si>
  <si>
    <t>2. This tax is collected from consumers by their service providers and remitted to the Department of Taxation on a monthly basis.  Collections began in January 2007.  In cases where a consumer purchases taxable communications services and no tax is collected from the consumer on the purchase by the provider, the consumer is responsible for paying a communications use tax.</t>
  </si>
  <si>
    <t>VIRGINIA TAX</t>
  </si>
  <si>
    <r>
      <t>Home Energy Assistance</t>
    </r>
    <r>
      <rPr>
        <vertAlign val="superscript"/>
        <sz val="10"/>
        <color indexed="8"/>
        <rFont val="Arial"/>
        <family val="2"/>
      </rPr>
      <t>#</t>
    </r>
  </si>
  <si>
    <t xml:space="preserve">Number of </t>
  </si>
  <si>
    <t>*</t>
  </si>
  <si>
    <t>4. Rolling Stock Tax includes Railroad and Car line company taxes.</t>
  </si>
  <si>
    <t>2. Effective beginning with Taxable Year 2017, Virginia entered into an agreement with U.S. Treasury to offset tax payments to collect nontax debts owed to the United States.</t>
  </si>
  <si>
    <t xml:space="preserve">1. Prior to July 1, 2003, the Virginia Tire Recycling Fee was imposed at a rate of 50 cents per tire.  Effective July 1, 2003, the fee was imposed at a rate of $1 per tire.  Effective July 1, 2011, the fee reverted back to 50 cents per tire.  All revenues from the fee are deposited into the Waste Tire Trust Fund. </t>
  </si>
  <si>
    <t xml:space="preserve">Local Sales Tax Distribution - Fiscal Year 2020……………………………………...……………………....………………….……………………………………………………………………….…………………..……………………………..                 </t>
  </si>
  <si>
    <t xml:space="preserve">Bank Franchise Tax Assessment Statement - Fiscal Year 2020……………………………………...……………………....………………….……………………………………………………………………….…………………..……………………………..                                                                         </t>
  </si>
  <si>
    <t xml:space="preserve">Communications Sales Tax Distributions, - Fiscal Year 2020……………………………………...……………………....………………….……………………………………………………………………….…………………..……………………………..                                                                   </t>
  </si>
  <si>
    <t xml:space="preserve">Real Estate Fair Market Value (FMV), Fair Market Value (Taxable), Local Levy by Locality - Tax Year 2019 ……………………………………...……………………....………………….……………………………………………………………………….…………………..……………………………..                                        </t>
  </si>
  <si>
    <t xml:space="preserve">Comparison of Tax Exempt Value to Total Fair Market Value (FMV) of Real Estate by Locality - Tax Year 2019……………………………………...……………………....………………….……………………………………………………………………….…………………..……………………………..                                          </t>
  </si>
  <si>
    <t>*check FN</t>
  </si>
  <si>
    <t>§ 58.1-439.6:1</t>
  </si>
  <si>
    <t>Worker Training Tax Credit</t>
  </si>
  <si>
    <t xml:space="preserve">Nonprofit Exemption Annual Report by Fiscal Year……………………………………...……………………....………………….……………………………………………………………………….…………………..……………………………..    </t>
  </si>
  <si>
    <t xml:space="preserve">Nonprofit Organization Tax Exemption Annual Report  By Fiscal Year </t>
  </si>
  <si>
    <t xml:space="preserve">Fairfax City </t>
  </si>
  <si>
    <t>Fiscal Year Individual and Corporate Income Tax, Insurance Premium License Tax and Bank Franchise Tax Credits</t>
  </si>
  <si>
    <r>
      <t>Research and Development Expenses Tax Credit (</t>
    </r>
    <r>
      <rPr>
        <sz val="10"/>
        <color theme="1"/>
        <rFont val="Arial"/>
        <family val="2"/>
      </rPr>
      <t>R</t>
    </r>
    <r>
      <rPr>
        <sz val="10"/>
        <rFont val="Arial"/>
        <family val="2"/>
      </rPr>
      <t>efundable)</t>
    </r>
  </si>
  <si>
    <t>Children of America Finding Hope**</t>
  </si>
  <si>
    <t xml:space="preserve">** This organization was removed from the 2016 Virginia Individual Income Tax return and was added back to the 2018 Virginia Individual Income Tax return. </t>
  </si>
  <si>
    <t>Taxable Year 2019</t>
  </si>
  <si>
    <t>Adjusted Gross
Income Classes</t>
  </si>
  <si>
    <t>Single 
Returns</t>
  </si>
  <si>
    <t>Total 
Number of 
Returns</t>
  </si>
  <si>
    <t xml:space="preserve">Married 
Filing Joint </t>
  </si>
  <si>
    <t xml:space="preserve">Married 
Filing Separately </t>
  </si>
  <si>
    <t>Adjusted Gross 
Income Classes</t>
  </si>
  <si>
    <t>Total Number 
of Returns</t>
  </si>
  <si>
    <t>Total Number 
of Exemptions</t>
  </si>
  <si>
    <t>Total Net 
Taxable Income</t>
  </si>
  <si>
    <t>Amount Taxed  
at 2% Rate</t>
  </si>
  <si>
    <t>Amount Taxed 
at 3% Rate</t>
  </si>
  <si>
    <t>Amount Taxed 
at 5% Rate</t>
  </si>
  <si>
    <t>Amount Taxed 
at 5.75% Rate</t>
  </si>
  <si>
    <t>Total Income 
Tax Liability</t>
  </si>
  <si>
    <t>Based on Corporate Income Tax returns filed for Taxable Year 2019*</t>
  </si>
  <si>
    <t>Based on tax returns filed for Taxable Year 2020</t>
  </si>
  <si>
    <r>
      <t xml:space="preserve">3. Insurance companies are subject to tax on their gross premium income. Depending on the line(s) of insurance from which the premiums were derived, the tax rates for taxable year 2019 were </t>
    </r>
    <r>
      <rPr>
        <sz val="10"/>
        <color theme="1"/>
        <rFont val="Arial Narrow"/>
        <family val="2"/>
      </rPr>
      <t>2.25% and 1.00%</t>
    </r>
    <r>
      <rPr>
        <sz val="10"/>
        <rFont val="Arial Narrow"/>
        <family val="2"/>
      </rPr>
      <t xml:space="preserve">. Surplus lines brokers are required to pay the tax on each policy of insurance they produce during the preceding calendar year with an insurer that is not licensed to conduct business in Virginia. Surplus lines brokers are subject to a rate of 2.25%. </t>
    </r>
  </si>
  <si>
    <t>Communications Sales Tax Distributions, Fiscal Year 2021</t>
  </si>
  <si>
    <t>3. The distributions for FY 2021 were based on collections for May 2020 through April 2021.</t>
  </si>
  <si>
    <t>Bank Franchise Tax Assessment Tax Statement - Fiscal Year 2021</t>
  </si>
  <si>
    <t>Fiscal Year 
2016</t>
  </si>
  <si>
    <t>Fiscal Year 
2017</t>
  </si>
  <si>
    <t>Fiscal Year 
2018</t>
  </si>
  <si>
    <t>Fiscal Year 
2019</t>
  </si>
  <si>
    <t>Fiscal Year 
2020</t>
  </si>
  <si>
    <t>Local Sales Tax Distribution - Fiscal Year 2021</t>
  </si>
  <si>
    <r>
      <t>Bank Franchise (less credits)</t>
    </r>
    <r>
      <rPr>
        <sz val="12"/>
        <color indexed="8"/>
        <rFont val="Calibri"/>
        <family val="2"/>
      </rPr>
      <t>⁵</t>
    </r>
  </si>
  <si>
    <t xml:space="preserve">5. Cardinal, Revenue Status Report is the data source for net revenue collections except for: </t>
  </si>
  <si>
    <t>Bank Franchise revenue is the total as reported in Table 5.3</t>
  </si>
  <si>
    <t>FY 2015</t>
  </si>
  <si>
    <t>FY 2016</t>
  </si>
  <si>
    <t>FY 2017</t>
  </si>
  <si>
    <t>FY 2018</t>
  </si>
  <si>
    <t>FY 2019</t>
  </si>
  <si>
    <t>FY 2020</t>
  </si>
  <si>
    <t>FY 2021</t>
  </si>
  <si>
    <r>
      <t>Notes:</t>
    </r>
    <r>
      <rPr>
        <sz val="10"/>
        <color theme="0"/>
        <rFont val="Arial Narrow"/>
        <family val="2"/>
      </rPr>
      <t xml:space="preserve"> (check footnotes if changes needed)</t>
    </r>
  </si>
  <si>
    <t>Central VA Region</t>
  </si>
  <si>
    <t>Historic Triangle</t>
  </si>
  <si>
    <t xml:space="preserve">Northern Virginia Region </t>
  </si>
  <si>
    <t xml:space="preserve">Hampton Roads 
Region </t>
  </si>
  <si>
    <t>General 
Fund</t>
  </si>
  <si>
    <t>Subtotal 
State</t>
  </si>
  <si>
    <t>Local 
Option</t>
  </si>
  <si>
    <t>Public Education SOQ / Real Estate Property Tax Relief</t>
  </si>
  <si>
    <t>Total 
State and Local</t>
  </si>
  <si>
    <t>Fiscal 
Year</t>
  </si>
  <si>
    <t>`</t>
  </si>
  <si>
    <t>Fiscal Year 
2021</t>
  </si>
  <si>
    <t>2019-2020</t>
  </si>
  <si>
    <t>Total Taxable Property</t>
  </si>
  <si>
    <t>Merchants' 
Capital</t>
  </si>
  <si>
    <t>Machinery 
and Tools</t>
  </si>
  <si>
    <t>Tangible 
Personal Property</t>
  </si>
  <si>
    <t>Taxable 
Real Estate</t>
  </si>
  <si>
    <t>FISCAL YEAR 2021</t>
  </si>
  <si>
    <r>
      <t>Expenditures on behalf of SLEAC were $223,900 in FY 2020 and were</t>
    </r>
    <r>
      <rPr>
        <sz val="10"/>
        <color theme="1"/>
        <rFont val="Arial"/>
        <family val="2"/>
      </rPr>
      <t xml:space="preserve"> $93,079 in FY 2021.</t>
    </r>
  </si>
  <si>
    <t>Returns Processed During Fiscal Year 2021</t>
  </si>
  <si>
    <t>2018 (effective 2019)</t>
  </si>
  <si>
    <t>* Number of returns for this credit is not available for release because fewer than four returns claiming the credit were processed in FY 2021.</t>
  </si>
  <si>
    <r>
      <t xml:space="preserve">1. Prior to 2003, nonprofit entities needed to obtain legislation granting them an exemption from the General Assembly, unless they qualified under an existing exemption. The Department’s estimate of annual revenue impact of the nonprofit entity exemption is based on the amounts of exempt purchases reported to the Department by nonprofit entities on their applications for a new or renewed exemption under </t>
    </r>
    <r>
      <rPr>
        <i/>
        <sz val="10"/>
        <rFont val="Arial Narrow"/>
        <family val="2"/>
      </rPr>
      <t>Va. Code</t>
    </r>
    <r>
      <rPr>
        <sz val="10"/>
        <rFont val="Arial Narrow"/>
        <family val="2"/>
      </rPr>
      <t xml:space="preserve"> § 58.1-609.11.  As many medical related nonprofit organizations enjoyed a grandfathered exemption under </t>
    </r>
    <r>
      <rPr>
        <i/>
        <sz val="10"/>
        <rFont val="Arial Narrow"/>
        <family val="2"/>
      </rPr>
      <t>Va. Code</t>
    </r>
    <r>
      <rPr>
        <sz val="10"/>
        <rFont val="Arial Narrow"/>
        <family val="2"/>
      </rPr>
      <t xml:space="preserve"> § 58.1-609.7 until July 1, 2008, the FY 2007 estimate is understated.  It does not include the estimated purchases of such organizations that did not apply for a new exemption under </t>
    </r>
    <r>
      <rPr>
        <i/>
        <sz val="10"/>
        <rFont val="Arial Narrow"/>
        <family val="2"/>
      </rPr>
      <t>Va. Code</t>
    </r>
    <r>
      <rPr>
        <sz val="10"/>
        <rFont val="Arial Narrow"/>
        <family val="2"/>
      </rPr>
      <t xml:space="preserve"> 58.1-609.11 prior to July 1, 2007.     </t>
    </r>
  </si>
  <si>
    <t>2. Each Fiscal Year, the State's blended Retail Sales and Use Tax rate is used to calculate the tax expenditure resulting from purchases made by Non-profit organizations. From Fiscal Year 2007 to Fiscal year 2013, the blended Retail Sales and Use Tax rate used to calculate the non-profit tax exemption was 5%. From Fiscal Year 2014 to Fiscal year 2019, the blended Retail Sales and Use Tax rate used to calculate the non-profit tax exemption was 5.67%. In Fiscal Year 2020, the blended Retail Sales and Use Tax rate used to calculate the non-profit tax exemption is 5.69%. In FY 2021, the blended RSUT rate is 5.737%</t>
  </si>
  <si>
    <t>Real Estate Fair Market Value (FMV), Fair Market Value (Taxable), and Local Levy by Locality - Tax Year 2020</t>
  </si>
  <si>
    <t>Frederick *</t>
  </si>
  <si>
    <t>Westmoreland *</t>
  </si>
  <si>
    <t>Manassas Park  **</t>
  </si>
  <si>
    <t>Petersburg **</t>
  </si>
  <si>
    <t>Poquoson  **</t>
  </si>
  <si>
    <t>Portsmouth **</t>
  </si>
  <si>
    <t>3. Taxable fair market value is the total fair market of real estate minus the special assessment for land preservation (Code of Virginia, Section 58.1-3230).</t>
  </si>
  <si>
    <t>** Did not respond to survey.  Used last year's data.</t>
  </si>
  <si>
    <t>Staunton **</t>
  </si>
  <si>
    <t>Accomack**</t>
  </si>
  <si>
    <t>Culpeper **</t>
  </si>
  <si>
    <t>Henrico **</t>
  </si>
  <si>
    <t>Prince William **</t>
  </si>
  <si>
    <t>Charlottesville **</t>
  </si>
  <si>
    <t>Danville **</t>
  </si>
  <si>
    <t>Virginia Beach **</t>
  </si>
  <si>
    <t xml:space="preserve">Williamsburg ** </t>
  </si>
  <si>
    <t>1. A local license tax may be imposed on gross receipts under the Code of Virginia, Section 58.1-3706.</t>
  </si>
  <si>
    <t>4. Some localities exempt certain of these categories from taxation.</t>
  </si>
  <si>
    <t>Assessed Values and Levies by Locality - Tax Year 2020</t>
  </si>
  <si>
    <t>FMV 
Land</t>
  </si>
  <si>
    <t>FMV 
Taxable Land</t>
  </si>
  <si>
    <t>FMV 
Structures</t>
  </si>
  <si>
    <t>Total 
FMV</t>
  </si>
  <si>
    <t>Tax Exempt</t>
  </si>
  <si>
    <t>Comparison of Tax Exempt Value to Total Fair Market Value (FMV) of Real Estate by Locality - Tax Year 2020</t>
  </si>
  <si>
    <t xml:space="preserve">3. The taxable sales figures presented are based on Virginia sales tax revenue reported on the dealers' returns.  However, the period covered by the report reflects all deposits received during the timeframe noted on the report, regardless of the taxpayer's filing period.  Late filing of returns and audits may result in year-over-year increases in taxable sales that do not reflect growth during the period covered by the table. </t>
  </si>
  <si>
    <t>1. Communications taxes in Virginia include: 5% Communications Sales tax on telecommunications services, 75ȼ State E-911 tax for landline and Voice Over Internet Protocol (VOiP) phones, a wireless E-911 surcharge of $0.82 and a prepaid wireless E-911 charge of $0.55, and $1.20 Landline telephone and cable TV franchise right of way fees</t>
  </si>
  <si>
    <t>Data source: 018C.0 Annual Taxable Sales Report from Virginia Tax BI platform</t>
  </si>
  <si>
    <t>Data source: Nonprofit Organization Tax Exemption Annual Report from Nonprofit Exemption Unit, Virginia Department of Taxation</t>
  </si>
  <si>
    <t>Data source: Bank Franchise Tax Unit, Virginia Department of Taxation</t>
  </si>
  <si>
    <t>Data source: Property Tax Unit, Virginia Department of Taxation</t>
  </si>
  <si>
    <t>Data source: 349.0 Communication Tax Annual Report from BI platform, Virginia Department of Taxation</t>
  </si>
  <si>
    <t>Data source: Department of Accounts</t>
  </si>
  <si>
    <t>Data source: Revenue Status Report RGL008 from Cardinal financial reporting system, Commonwealth of Virginia</t>
  </si>
  <si>
    <t>Data source: Department of Accounts and data pull from ARPRD database, Virginia Department of Taxation</t>
  </si>
  <si>
    <t>Data source: Report 138.0 from Office of Technology, Virginia Department of Taxation</t>
  </si>
  <si>
    <t>Data source: Report 138.A from Office of Technology, Virginia Department of Taxation</t>
  </si>
  <si>
    <t>Data source: Reports 138.B and 138.C from Office of Technology, Virginia Department of Taxation</t>
  </si>
  <si>
    <t>Data source: Reports 138.D from Office of Technology, Virginia Department of Taxation</t>
  </si>
  <si>
    <t>Data source: Fiscal Year Credit Report by Policy Development, Virginia Department of Taxation</t>
  </si>
  <si>
    <t>Data source: Revenue Status Report RGL008 from Cardinal financial reporting system, Commonwealth of Virginia; SLEAC expenditures are from Revenue Accounting, Department of Taxation</t>
  </si>
  <si>
    <r>
      <t xml:space="preserve">6. The administration and collection of Insurance Premiums License Tax was transferred from SCC's Bureau of Insurance to the Department of Taxation, effective for taxable years beginning on or after January, 2013. Prior to Taxable Year 2015, depending on the line(s) of insurance from which the premiums were derived, the tax rates were 2.25%, 1.00%, and 0.75% for insurance companies. After Taxable Year 2015, depending on the line(s) of insurance from which the premiums were derived, the tax rates are 2.25% and 1.00% for insurance companies. Surplus lines brokers are subject to a rate of 2.25%. The figures above represent the General Fund share after the required transfer to the Transportation Trust Fund per Chapter 896, 2007 </t>
    </r>
    <r>
      <rPr>
        <i/>
        <sz val="10"/>
        <color theme="1"/>
        <rFont val="Arial Narrow"/>
        <family val="2"/>
      </rPr>
      <t>Acts of Assembly</t>
    </r>
    <r>
      <rPr>
        <sz val="10"/>
        <color theme="1"/>
        <rFont val="Arial Narrow"/>
        <family val="2"/>
      </rPr>
      <t xml:space="preserve">. </t>
    </r>
  </si>
  <si>
    <r>
      <t xml:space="preserve">Notes: </t>
    </r>
    <r>
      <rPr>
        <sz val="10"/>
        <color theme="0"/>
        <rFont val="Arial Narrow"/>
        <family val="2"/>
      </rPr>
      <t>(check footnotes if changes needed)</t>
    </r>
    <r>
      <rPr>
        <sz val="10"/>
        <color rgb="FFC00000"/>
        <rFont val="Arial Narrow"/>
        <family val="2"/>
      </rPr>
      <t xml:space="preserve"> </t>
    </r>
  </si>
  <si>
    <r>
      <t xml:space="preserve">Notes:  </t>
    </r>
    <r>
      <rPr>
        <sz val="10"/>
        <color theme="0"/>
        <rFont val="Arial Narrow"/>
        <family val="2"/>
      </rPr>
      <t xml:space="preserve">(check footnotes if changes needed) </t>
    </r>
  </si>
  <si>
    <r>
      <t xml:space="preserve">7. Total deductions represents standard and itemized deduction and does not include other deductions in </t>
    </r>
    <r>
      <rPr>
        <i/>
        <sz val="10"/>
        <rFont val="Arial Narrow"/>
        <family val="2"/>
      </rPr>
      <t xml:space="preserve">Va. Code § </t>
    </r>
    <r>
      <rPr>
        <sz val="10"/>
        <rFont val="Arial Narrow"/>
        <family val="2"/>
      </rPr>
      <t xml:space="preserve"> 58.1-322.03.</t>
    </r>
  </si>
  <si>
    <t>Clean Fuel Vehicle &amp; Advanced Cellulosic Biofuels Job Creation Tax Credit</t>
  </si>
  <si>
    <t xml:space="preserve">Advanced Technology Pesticide &amp; Fertilizer Application Equipment Credit  </t>
  </si>
  <si>
    <t>* This table is not comparable to equivalent tables in annual reports prior to FY 2006.  Returns are selected for inclusion on this table if the tax reporting period on the return began in 2019.  Reports prior to FY 2006 selected returns based on the state fiscal year in which they were received.</t>
  </si>
  <si>
    <r>
      <rPr>
        <sz val="10"/>
        <rFont val="Arial Narrow"/>
        <family val="2"/>
      </rPr>
      <t>5. Pass-through entities such as S corporations, partnerships and limited liability companies generally file Form 502. Any income flows through to owners of each pass-through entity and they report all taxable income on their tax returns.</t>
    </r>
    <r>
      <rPr>
        <sz val="10"/>
        <color rgb="FFFF0000"/>
        <rFont val="Arial Narrow"/>
        <family val="2"/>
      </rPr>
      <t xml:space="preserve"> </t>
    </r>
  </si>
  <si>
    <t>of Total</t>
  </si>
  <si>
    <t>Percent</t>
  </si>
  <si>
    <t>Data source: January "checkoffs" report using VA 529 Report and Report 138.E from Office of Technology, Virginia Department of Taxation</t>
  </si>
  <si>
    <r>
      <t xml:space="preserve">* Contributions to political parties are limited to $25 ($50 on a joint return), see </t>
    </r>
    <r>
      <rPr>
        <i/>
        <sz val="10"/>
        <rFont val="Arial Narrow"/>
        <family val="2"/>
      </rPr>
      <t>Va. Code §</t>
    </r>
    <r>
      <rPr>
        <sz val="10"/>
        <rFont val="Arial Narrow"/>
        <family val="2"/>
      </rPr>
      <t xml:space="preserve">  58.1-344.3 (B) (3).  </t>
    </r>
  </si>
  <si>
    <t>2. Contributions are reported by taxable year for returns that are processed during the subsequent calendar year. For example, contributions reported for Taxable Year 2019 are from all returns processed in calendar year 2020. The majority of returns processed in calendar year 2020 are for TY 2019; however, some returns from previous taxable years maybe included.</t>
  </si>
  <si>
    <t>13. Legislation effective July 1, 2020 changed the litter tax to $20 per establishment operated by a manufacturer, wholesaler or retailer. An additional annual tax of $30 per establishment is to be paid by businesses making or distributing certain product categories (i.e., groceries, soft drinks/carbonated beverages, and beer). A penalty of $100 plus an amount equal to the tax due is imposed on all delinquent taxes.</t>
  </si>
  <si>
    <t xml:space="preserve"> 1. The sales and use tax on aircraft and on watercraft are reported separately in Tables 5.1 and 5.2, respectively.</t>
  </si>
  <si>
    <t xml:space="preserve"> 2. The sales and use tax on motor vehicles is administered by the Department of Motor Vehicles and is not reported here.</t>
  </si>
  <si>
    <t xml:space="preserve"> 3. Revenues of a 1% tax of the 4.3% state tax is returned to localities for education, based on each locality's school-age population.</t>
  </si>
  <si>
    <t>3. Prior to July 1, 2010, the peanut excise tax was imposed at the rate of 15 cents per 100 pounds.  Effective July 1, 2010, the peanut excise tax was imposed at the rate of 30 cents per 100 pounds. Effective July 1, 2021, the peanut excise tax was reduced to the rate of 25 cents per 100 pounds. All revenues are deposited into the Peanut Fund.</t>
  </si>
  <si>
    <t>1. The data in this table are as reported by local Commissioners of the Revenue and Assessors to the Virginia Department of Taxation, Property Tax Unit</t>
  </si>
  <si>
    <t>2. Data are based on information provided by local Commissioners of the Revenue and Assessors to the Virginia Department of Taxation, Property Tax Unit</t>
  </si>
  <si>
    <t xml:space="preserve">2. Bedford County data includes data from the City of Bedford, which reverted to a town effective July 1, 2013. </t>
  </si>
  <si>
    <t xml:space="preserve">5. Bedford County data includes data from the City of Bedford, which reverted to a town effective July 1, 2013. </t>
  </si>
  <si>
    <t xml:space="preserve">8. Bedford County data includes data from the City of Bedford, which reverted to a town effective July 1, 2013. </t>
  </si>
  <si>
    <t>* Errors on surveys. Used previous data on file.</t>
  </si>
  <si>
    <t>Fairfax City**</t>
  </si>
  <si>
    <t>Richmond**</t>
  </si>
  <si>
    <t>Total (Tax)</t>
  </si>
  <si>
    <t xml:space="preserve">Percent of </t>
  </si>
  <si>
    <t>Premium Income</t>
  </si>
  <si>
    <t>Insurance Tax Credits Claimed on Returns  Processed during FY 2021</t>
  </si>
  <si>
    <t>The Honorable K. Joseph Flores, Secretary of Finance</t>
  </si>
  <si>
    <t>Back</t>
  </si>
  <si>
    <t>6. Starting in FY 2021, state transportation SUT revenues have been consolidated in the Commonwealth Transportation Fund per legislation; The prior-year amount has been revised to reconcile with the FY 2021 amount</t>
  </si>
  <si>
    <t>1. Totals in Table 1.7 may not match totals in previous tables due to minor variations in rounding.</t>
  </si>
  <si>
    <t>Voluntary Contributions by Year</t>
  </si>
  <si>
    <r>
      <t xml:space="preserve"># </t>
    </r>
    <r>
      <rPr>
        <sz val="10"/>
        <rFont val="Arial Narrow"/>
        <family val="2"/>
      </rPr>
      <t>These organizations were removed from the 2016 Virginia Individual Income Tax return with the exception of 'Home Energy Assistance,' which was removed from the 2017 tax return. Amounts reported for 2019 represent contributions made on returns filed for prior years and processed in the 2020 calendar year.</t>
    </r>
  </si>
  <si>
    <t>5. Effective September 1, 2004, the tax on cigarettes was imposed at a rate of 20 cents per pack of 20 cigarettes. Effective July 1, 2005, the tax on cigarette was imposed at a rate of 30 cents per pack of 20 cigarettes.   Effective July 1, 2020, the tax on cigarettes was imposed at a rate of 60 cents per pack of 20 cigarettes.  All revenue from the Cigarette Tax is deposited into the Virginia Health Care Fund.</t>
  </si>
  <si>
    <t>6. Prior to July 1, 2020, other tobacco products were taxed at 10 percent of the sales price charged by the wholesale dealer.  Beginning July 1, 2020, other tobacco products are taxed at 20 percent of the sales price charged by the wholesale dealer.  Also, effective July 1, 2020 liquid nicotine products are taxed at a rate of $0.066 per milliliter.  Beginning January 1, 2021, the tax is imposed on heated tobacco products at the rate of 2.25 cents per stick.  All revenues from this tax are deposited into the Virginia Health Care Fund.</t>
  </si>
  <si>
    <t>2. The egg excise tax is imposed at the rate of 5 cents per 30-dozen case or 11 cents per 100 pounds of liquid eggs.  All revenue from this tax are deposited into the Virginia Egg Fund.</t>
  </si>
  <si>
    <t xml:space="preserve">7. The amount of insurance tax credits reported is for returns processed during FY 2021, regardless of taxable year. This table only lists insurance tax credits claimed for FY 2021 that were greater than zero.   </t>
  </si>
  <si>
    <t>Data source: Report 146.0 Premium License Tax Preference Credit and Report 138.F Insurance Premium License Tax from Office of Technology, Virginia Department of Taxation</t>
  </si>
  <si>
    <t xml:space="preserve"> 4. The local option tax of 1% is distributed to localities based on point of sale.  Local tax collections are net of all adjustments and costs of collection.</t>
  </si>
  <si>
    <t xml:space="preserve"> 5. Revenues of a 3/8% tax of the 4.3% state tax is allocated to the Public Education Standards of Quality/Local Real Estate Property Tax Relief Fund.</t>
  </si>
  <si>
    <t xml:space="preserve"> 6. On January 1, 2000, the state tax on unprepared food for human consumption was reduced from 3.5 % to 3.0 % and then reduced to 1.5 % on July 1, 2005.</t>
  </si>
  <si>
    <t xml:space="preserve"> 7. Effective July 1, 2013, the state tax was increased from 4% to 4.3%. Of the 0.3% increase, 0.175% goes to Highway Maintenance Operating Fund, 0.05% goes to Intercity Passenger Rail and 0.075% goes to Commonwealth Mass Transit Fund. </t>
  </si>
  <si>
    <t xml:space="preserve"> 8. A new state tax of 0.7% was imposed on localities in Northern Virginia region and Hampton Roads region effective July 1, 2013, and in the Central Virginia region effective October 1, 2020.</t>
  </si>
  <si>
    <t xml:space="preserve"> 9. Effective July 1, 2018, a new state tax of 1.0% was imposed on sales made in the Historic Triangle Region in the City of  Williamsburg and the counties of James City and York, with the exception of food purchased for human consumption. </t>
  </si>
  <si>
    <t>10. Effective FY 2010, dealers with annual taxable sales above a $1 million threshold are required to make a June payment equal to 90% of their sales and use tax liability for the previous June. For the payment due June 2021, the threshold was $10 million of annual taxable sales.</t>
  </si>
  <si>
    <t xml:space="preserve">11. Prior to FY 2017, the Commonwealth Accounting and Reporting System (CARS) was the data source for net revenue collections. Effective with FY 2017, the Revenue Status Report from the Cardinal financial system is the data source for net revenue collections. </t>
  </si>
  <si>
    <t>12. Effective July 1, 2019, the sales and use tax was extended to include remote sellers without a physical presence in the state. States were given the ability to do so by the U.S. Supreme Court's "Wayfair" decision of June 21, 2018</t>
  </si>
  <si>
    <t>14. Starting in FY 2021, state transportation SUT revenues have been consolidated in the Commonwealth Transportation Fund per legislation</t>
  </si>
  <si>
    <t>15. Certain localities have statutory authority to levy an additional sales and use tax of up to one percent. Halifax County imposed this new tax effective July 1, 2020 and Henry County imposed the tax effective April 1, 2021.</t>
  </si>
  <si>
    <r>
      <t>Commonwealth Transportation Fund ¹</t>
    </r>
    <r>
      <rPr>
        <b/>
        <sz val="9"/>
        <rFont val="Calibri"/>
        <family val="2"/>
      </rPr>
      <t>⁴</t>
    </r>
  </si>
  <si>
    <r>
      <t>Transportation Trust Fund ¹</t>
    </r>
    <r>
      <rPr>
        <b/>
        <sz val="9"/>
        <rFont val="Calibri"/>
        <family val="2"/>
      </rPr>
      <t>⁴</t>
    </r>
  </si>
  <si>
    <r>
      <t xml:space="preserve">Highway  Maintenance Operating Fund </t>
    </r>
    <r>
      <rPr>
        <b/>
        <sz val="9"/>
        <rFont val="Calibri"/>
        <family val="2"/>
      </rPr>
      <t>¹³ ¹⁴</t>
    </r>
  </si>
  <si>
    <r>
      <t>Intercity Passenger Rail Operating Fund ¹</t>
    </r>
    <r>
      <rPr>
        <b/>
        <sz val="9"/>
        <rFont val="Calibri"/>
        <family val="2"/>
      </rPr>
      <t>⁴</t>
    </r>
  </si>
  <si>
    <r>
      <t>Commonwealth Mass Transit Fund ¹</t>
    </r>
    <r>
      <rPr>
        <b/>
        <sz val="9"/>
        <rFont val="Calibri"/>
        <family val="2"/>
      </rPr>
      <t>⁴</t>
    </r>
  </si>
  <si>
    <r>
      <t>Additional Tax Certain Localities</t>
    </r>
    <r>
      <rPr>
        <b/>
        <sz val="9"/>
        <color rgb="FF7030A0"/>
        <rFont val="Arial"/>
        <family val="2"/>
      </rPr>
      <t>¹</t>
    </r>
    <r>
      <rPr>
        <b/>
        <sz val="9"/>
        <color rgb="FF7030A0"/>
        <rFont val="Calibri"/>
        <family val="2"/>
      </rPr>
      <t>⁵</t>
    </r>
  </si>
  <si>
    <t>13. For FY 2020 and prior years, the HMO fund amounts have been adjusted to include all SUT revenue deposited in the HMO fund; for this reason, the HMOF numbers reported in prior years may differ.</t>
  </si>
  <si>
    <r>
      <t>Directory</t>
    </r>
    <r>
      <rPr>
        <sz val="10"/>
        <rFont val="Arial"/>
        <family val="2"/>
      </rPr>
      <t xml:space="preserve"> ……………………………………...……………………....………………….……………………………………………………………………….…………………..……………………………..    </t>
    </r>
  </si>
  <si>
    <r>
      <t>State Sales &amp; Use Tax (transportation funds)</t>
    </r>
    <r>
      <rPr>
        <sz val="12"/>
        <rFont val="Calibri"/>
        <family val="2"/>
      </rPr>
      <t>⁶</t>
    </r>
  </si>
  <si>
    <t>1. Number of returns and amounts are for income tax returns processed during FY2021 regardless of taxable year. For most credits, returns for multiple taxable years were processed during the fiscal year. The total for each return may include carryovers from prior years.</t>
  </si>
  <si>
    <t>2. If a return was amended or audited during the fiscal year, only the additional credit amount (or reduction) is included.</t>
  </si>
  <si>
    <t>3. The amount shown for the Coalfields Employment Enhancement Tax credit includes the amount refunded to taxpayers, as well as that deposited with the Coalfields Economic Development Authority.</t>
  </si>
  <si>
    <t>4. A refundable tax credit is one which is not limited by the amount of the taxpayer's tax liability.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</si>
</sst>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3">
    <numFmt numFmtId="5" formatCode="&quot;$&quot;#,##0_);\(&quot;$&quot;#,##0\)"/>
    <numFmt numFmtId="8" formatCode="&quot;$&quot;#,##0.00_);[Red]\(&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409]#,##0"/>
    <numFmt numFmtId="165" formatCode="[$$-409]#,##0.00"/>
    <numFmt numFmtId="166" formatCode="0.0"/>
    <numFmt numFmtId="167" formatCode="&quot;$&quot;#,##0"/>
    <numFmt numFmtId="168" formatCode="&quot;$&quot;#,##0.00"/>
    <numFmt numFmtId="169" formatCode="0.0%"/>
    <numFmt numFmtId="170" formatCode="#,##0.0"/>
    <numFmt numFmtId="171" formatCode="0.0000%"/>
    <numFmt numFmtId="172" formatCode="0.000"/>
    <numFmt numFmtId="173" formatCode="&quot;$&quot;#,##0.0"/>
    <numFmt numFmtId="174" formatCode="#,##0.0_);\(#,##0.0\)"/>
    <numFmt numFmtId="175" formatCode="[$$-409]#,##0_);\([$$-409]#,##0\)"/>
    <numFmt numFmtId="176" formatCode="0.00\ %"/>
    <numFmt numFmtId="177" formatCode="General_)"/>
    <numFmt numFmtId="178" formatCode="0.000%"/>
    <numFmt numFmtId="179" formatCode="_(* #,##0_);_(* \(#,##0\);_(* &quot;-&quot;??_);_(@_)"/>
    <numFmt numFmtId="180" formatCode="#,##0;\-#,##0;0"/>
  </numFmts>
  <fonts count="166">
    <font>
      <sz val="10"/>
      <name val="Arial"/>
    </font>
    <font>
      <sz val="11"/>
      <color theme="1"/>
      <name val="Calibri"/>
      <family val="2"/>
      <scheme val="minor"/>
    </font>
    <font>
      <sz val="10"/>
      <name val="Arial"/>
      <family val="2"/>
    </font>
    <font>
      <sz val="12"/>
      <name val="Arial"/>
      <family val="2"/>
    </font>
    <font>
      <sz val="12"/>
      <name val="COUR"/>
    </font>
    <font>
      <b/>
      <sz val="12"/>
      <name val="Arial"/>
      <family val="2"/>
    </font>
    <font>
      <b/>
      <sz val="12"/>
      <name val="Arial"/>
      <family val="2"/>
    </font>
    <font>
      <sz val="12"/>
      <name val="Arial"/>
      <family val="2"/>
    </font>
    <font>
      <b/>
      <sz val="12"/>
      <color indexed="8"/>
      <name val="Arial"/>
      <family val="2"/>
    </font>
    <font>
      <sz val="12"/>
      <color indexed="8"/>
      <name val="Arial"/>
      <family val="2"/>
    </font>
    <font>
      <sz val="10"/>
      <name val="Arial"/>
      <family val="2"/>
    </font>
    <font>
      <sz val="8"/>
      <name val="Arial"/>
      <family val="2"/>
    </font>
    <font>
      <sz val="10"/>
      <name val="COUR"/>
    </font>
    <font>
      <b/>
      <u/>
      <sz val="12"/>
      <name val="Arial"/>
      <family val="2"/>
    </font>
    <font>
      <b/>
      <sz val="10"/>
      <color indexed="8"/>
      <name val="Arial"/>
      <family val="2"/>
    </font>
    <font>
      <b/>
      <sz val="10"/>
      <name val="Arial"/>
      <family val="2"/>
    </font>
    <font>
      <sz val="10"/>
      <color indexed="8"/>
      <name val="Arial"/>
      <family val="2"/>
    </font>
    <font>
      <sz val="10"/>
      <name val="Arial "/>
    </font>
    <font>
      <sz val="10"/>
      <name val="Arial "/>
      <family val="2"/>
    </font>
    <font>
      <sz val="11"/>
      <name val="Arial"/>
      <family val="2"/>
    </font>
    <font>
      <b/>
      <sz val="14"/>
      <name val="Arial"/>
      <family val="2"/>
    </font>
    <font>
      <sz val="9"/>
      <name val="Arial"/>
      <family val="2"/>
    </font>
    <font>
      <b/>
      <sz val="10"/>
      <name val="Arial"/>
      <family val="2"/>
    </font>
    <font>
      <b/>
      <sz val="9"/>
      <name val="Arial"/>
      <family val="2"/>
    </font>
    <font>
      <sz val="14"/>
      <name val="Arial"/>
      <family val="2"/>
    </font>
    <font>
      <b/>
      <sz val="10"/>
      <color indexed="8"/>
      <name val="Arial"/>
      <family val="2"/>
    </font>
    <font>
      <sz val="10"/>
      <name val="Bookman Old Style"/>
      <family val="1"/>
    </font>
    <font>
      <sz val="10"/>
      <color indexed="8"/>
      <name val="Arial"/>
      <family val="2"/>
    </font>
    <font>
      <b/>
      <u/>
      <sz val="10"/>
      <name val="Arial"/>
      <family val="2"/>
    </font>
    <font>
      <b/>
      <sz val="11"/>
      <name val="Arial"/>
      <family val="2"/>
    </font>
    <font>
      <b/>
      <sz val="8"/>
      <name val="Arial"/>
      <family val="2"/>
    </font>
    <font>
      <sz val="8"/>
      <name val="Arial"/>
      <family val="2"/>
    </font>
    <font>
      <sz val="12"/>
      <name val="Times New Roman"/>
      <family val="1"/>
    </font>
    <font>
      <u/>
      <sz val="9"/>
      <name val="Arial"/>
      <family val="2"/>
    </font>
    <font>
      <b/>
      <sz val="10"/>
      <name val="COUR"/>
    </font>
    <font>
      <u/>
      <sz val="11"/>
      <name val="Arial"/>
      <family val="2"/>
    </font>
    <font>
      <b/>
      <sz val="16"/>
      <name val="Arial"/>
      <family val="2"/>
    </font>
    <font>
      <sz val="16"/>
      <name val="Arial"/>
      <family val="2"/>
    </font>
    <font>
      <sz val="10"/>
      <name val="Arial"/>
      <family val="2"/>
    </font>
    <font>
      <b/>
      <sz val="14"/>
      <name val="Arial"/>
      <family val="2"/>
    </font>
    <font>
      <sz val="10"/>
      <color indexed="47"/>
      <name val="Arial"/>
      <family val="2"/>
    </font>
    <font>
      <b/>
      <sz val="10"/>
      <color indexed="12"/>
      <name val="Arial"/>
      <family val="2"/>
    </font>
    <font>
      <sz val="10"/>
      <name val="Courier"/>
      <family val="3"/>
    </font>
    <font>
      <sz val="10"/>
      <color indexed="9"/>
      <name val="Arial"/>
      <family val="2"/>
    </font>
    <font>
      <sz val="9"/>
      <color indexed="9"/>
      <name val="Arial"/>
      <family val="2"/>
    </font>
    <font>
      <sz val="9"/>
      <name val="Bookman Old Style"/>
      <family val="1"/>
    </font>
    <font>
      <b/>
      <sz val="12"/>
      <name val="Arial "/>
    </font>
    <font>
      <b/>
      <sz val="10"/>
      <name val="Arial "/>
    </font>
    <font>
      <sz val="11"/>
      <color theme="1"/>
      <name val="Calibri"/>
      <family val="2"/>
      <scheme val="minor"/>
    </font>
    <font>
      <sz val="10"/>
      <color theme="0"/>
      <name val="Arial"/>
      <family val="2"/>
    </font>
    <font>
      <sz val="12"/>
      <color theme="0"/>
      <name val="Arial"/>
      <family val="2"/>
    </font>
    <font>
      <sz val="10"/>
      <name val="Arial"/>
      <family val="2"/>
    </font>
    <font>
      <i/>
      <sz val="10"/>
      <name val="Arial"/>
      <family val="2"/>
    </font>
    <font>
      <sz val="10"/>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2"/>
      <color rgb="FFFF0000"/>
      <name val="Arial"/>
      <family val="2"/>
    </font>
    <font>
      <sz val="11"/>
      <name val="Arial "/>
    </font>
    <font>
      <sz val="10"/>
      <color theme="1"/>
      <name val="Arial"/>
      <family val="2"/>
    </font>
    <font>
      <b/>
      <sz val="12"/>
      <color theme="1"/>
      <name val="Arial"/>
      <family val="2"/>
    </font>
    <font>
      <sz val="12"/>
      <color rgb="FFC00000"/>
      <name val="Arial"/>
      <family val="2"/>
    </font>
    <font>
      <sz val="12"/>
      <color theme="1"/>
      <name val="Arial"/>
      <family val="2"/>
    </font>
    <font>
      <sz val="9"/>
      <color theme="1"/>
      <name val="Arial"/>
      <family val="2"/>
    </font>
    <font>
      <i/>
      <sz val="10"/>
      <color theme="0" tint="-0.499984740745262"/>
      <name val="Arial "/>
    </font>
    <font>
      <sz val="10"/>
      <color rgb="FFC00000"/>
      <name val="Arial"/>
      <family val="2"/>
    </font>
    <font>
      <sz val="9"/>
      <color rgb="FFC00000"/>
      <name val="Arial"/>
      <family val="2"/>
    </font>
    <font>
      <i/>
      <sz val="10"/>
      <color rgb="FFC00000"/>
      <name val="Arial"/>
      <family val="2"/>
    </font>
    <font>
      <i/>
      <sz val="9"/>
      <color rgb="FFC00000"/>
      <name val="Arial"/>
      <family val="2"/>
    </font>
    <font>
      <sz val="8"/>
      <color rgb="FFC00000"/>
      <name val="Arial"/>
      <family val="2"/>
    </font>
    <font>
      <b/>
      <sz val="9"/>
      <color indexed="8"/>
      <name val="Arial"/>
      <family val="2"/>
    </font>
    <font>
      <sz val="10"/>
      <color theme="0"/>
      <name val="Arial "/>
      <family val="2"/>
    </font>
    <font>
      <sz val="10"/>
      <color theme="1"/>
      <name val="Arial "/>
      <family val="2"/>
    </font>
    <font>
      <b/>
      <sz val="10"/>
      <color theme="1"/>
      <name val="Arial"/>
      <family val="2"/>
    </font>
    <font>
      <b/>
      <sz val="9"/>
      <color theme="1"/>
      <name val="Arial"/>
      <family val="2"/>
    </font>
    <font>
      <sz val="14"/>
      <color theme="1"/>
      <name val="Arial"/>
      <family val="2"/>
    </font>
    <font>
      <sz val="8"/>
      <color theme="1"/>
      <name val="Arial"/>
      <family val="2"/>
    </font>
    <font>
      <u/>
      <sz val="10"/>
      <color theme="10"/>
      <name val="Arial"/>
      <family val="2"/>
    </font>
    <font>
      <sz val="11"/>
      <color theme="1"/>
      <name val="Arial"/>
      <family val="2"/>
    </font>
    <font>
      <sz val="10"/>
      <color theme="1"/>
      <name val="COUR"/>
    </font>
    <font>
      <sz val="10"/>
      <color theme="0" tint="-0.499984740745262"/>
      <name val="Arial"/>
      <family val="2"/>
    </font>
    <font>
      <sz val="10"/>
      <color rgb="FFC00000"/>
      <name val="Arial "/>
      <family val="2"/>
    </font>
    <font>
      <b/>
      <sz val="11"/>
      <color theme="1"/>
      <name val="Arial"/>
      <family val="2"/>
    </font>
    <font>
      <sz val="12"/>
      <color theme="0" tint="-0.499984740745262"/>
      <name val="Arial"/>
      <family val="2"/>
    </font>
    <font>
      <b/>
      <sz val="8"/>
      <color theme="1"/>
      <name val="Arial"/>
      <family val="2"/>
    </font>
    <font>
      <sz val="10"/>
      <color theme="0" tint="-0.499984740745262"/>
      <name val="Arial "/>
      <family val="2"/>
    </font>
    <font>
      <sz val="10"/>
      <name val="Segoe UI"/>
      <family val="2"/>
    </font>
    <font>
      <b/>
      <sz val="9"/>
      <color theme="0" tint="-0.499984740745262"/>
      <name val="Arial"/>
      <family val="2"/>
    </font>
    <font>
      <b/>
      <sz val="10"/>
      <color theme="0" tint="-0.499984740745262"/>
      <name val="Arial"/>
      <family val="2"/>
    </font>
    <font>
      <i/>
      <sz val="12"/>
      <color theme="0"/>
      <name val="Arial"/>
      <family val="2"/>
    </font>
    <font>
      <sz val="8.5"/>
      <name val="Arial"/>
      <family val="2"/>
    </font>
    <font>
      <i/>
      <sz val="10"/>
      <color theme="0" tint="-0.249977111117893"/>
      <name val="Arial"/>
      <family val="2"/>
    </font>
    <font>
      <sz val="12"/>
      <color theme="0" tint="-0.249977111117893"/>
      <name val="Arial"/>
      <family val="2"/>
    </font>
    <font>
      <sz val="10"/>
      <color rgb="FFFFFFFF"/>
      <name val="Arial"/>
      <family val="2"/>
    </font>
    <font>
      <vertAlign val="superscript"/>
      <sz val="10"/>
      <color indexed="8"/>
      <name val="Arial"/>
      <family val="2"/>
    </font>
    <font>
      <vertAlign val="superscript"/>
      <sz val="10"/>
      <name val="Arial"/>
      <family val="2"/>
    </font>
    <font>
      <i/>
      <sz val="12"/>
      <color theme="0" tint="-0.249977111117893"/>
      <name val="Arial"/>
      <family val="2"/>
    </font>
    <font>
      <sz val="10"/>
      <color theme="0" tint="-0.249977111117893"/>
      <name val="Arial"/>
      <family val="2"/>
    </font>
    <font>
      <i/>
      <sz val="10"/>
      <color theme="0" tint="-0.249977111117893"/>
      <name val="Arial "/>
    </font>
    <font>
      <sz val="10"/>
      <color theme="0" tint="-0.249977111117893"/>
      <name val="COUR"/>
    </font>
    <font>
      <b/>
      <sz val="10"/>
      <color theme="0" tint="-0.249977111117893"/>
      <name val="Arial"/>
      <family val="2"/>
    </font>
    <font>
      <sz val="10"/>
      <color theme="0"/>
      <name val="COUR"/>
    </font>
    <font>
      <vertAlign val="superscript"/>
      <sz val="12"/>
      <color indexed="8"/>
      <name val="Arial"/>
      <family val="2"/>
    </font>
    <font>
      <b/>
      <sz val="9"/>
      <color rgb="FFC00000"/>
      <name val="Arial"/>
      <family val="2"/>
    </font>
    <font>
      <sz val="9"/>
      <color theme="0" tint="-0.249977111117893"/>
      <name val="Arial"/>
      <family val="2"/>
    </font>
    <font>
      <sz val="9"/>
      <color theme="0" tint="-0.499984740745262"/>
      <name val="Arial"/>
      <family val="2"/>
    </font>
    <font>
      <sz val="10"/>
      <color theme="0" tint="-0.14999847407452621"/>
      <name val="Arial"/>
      <family val="2"/>
    </font>
    <font>
      <b/>
      <sz val="12"/>
      <color theme="0" tint="-0.34998626667073579"/>
      <name val="Arial"/>
      <family val="2"/>
    </font>
    <font>
      <sz val="12"/>
      <color theme="0" tint="-0.34998626667073579"/>
      <name val="Arial"/>
      <family val="2"/>
    </font>
    <font>
      <i/>
      <sz val="10"/>
      <color theme="0" tint="-0.34998626667073579"/>
      <name val="Arial"/>
      <family val="2"/>
    </font>
    <font>
      <i/>
      <sz val="12"/>
      <color theme="0" tint="-0.34998626667073579"/>
      <name val="Arial"/>
      <family val="2"/>
    </font>
    <font>
      <i/>
      <sz val="10"/>
      <color theme="0" tint="-0.14999847407452621"/>
      <name val="Arial"/>
      <family val="2"/>
    </font>
    <font>
      <b/>
      <sz val="12"/>
      <color theme="0"/>
      <name val="Arial"/>
      <family val="2"/>
    </font>
    <font>
      <i/>
      <sz val="12"/>
      <color theme="0" tint="-0.499984740745262"/>
      <name val="Arial"/>
      <family val="2"/>
    </font>
    <font>
      <i/>
      <sz val="9"/>
      <color theme="0"/>
      <name val="Arial"/>
      <family val="2"/>
    </font>
    <font>
      <b/>
      <sz val="12"/>
      <color theme="0" tint="-0.499984740745262"/>
      <name val="Arial"/>
      <family val="2"/>
    </font>
    <font>
      <b/>
      <sz val="9"/>
      <color theme="0"/>
      <name val="Arial"/>
      <family val="2"/>
    </font>
    <font>
      <sz val="8"/>
      <color theme="0" tint="-0.499984740745262"/>
      <name val="Arial"/>
      <family val="2"/>
    </font>
    <font>
      <sz val="9"/>
      <color rgb="FFFF0000"/>
      <name val="Arial"/>
      <family val="2"/>
    </font>
    <font>
      <sz val="10"/>
      <name val="Arial Narrow"/>
      <family val="2"/>
    </font>
    <font>
      <sz val="10"/>
      <color theme="1"/>
      <name val="Arial Narrow"/>
      <family val="2"/>
    </font>
    <font>
      <sz val="9"/>
      <name val="Arial Narrow"/>
      <family val="2"/>
    </font>
    <font>
      <b/>
      <sz val="10"/>
      <color rgb="FFC00000"/>
      <name val="Arial"/>
      <family val="2"/>
    </font>
    <font>
      <sz val="10"/>
      <color rgb="FFFF0000"/>
      <name val="Arial Narrow"/>
      <family val="2"/>
    </font>
    <font>
      <b/>
      <sz val="10"/>
      <color theme="0" tint="-0.499984740745262"/>
      <name val="Arial Narrow"/>
      <family val="2"/>
    </font>
    <font>
      <b/>
      <sz val="10"/>
      <name val="Arial Narrow"/>
      <family val="2"/>
    </font>
    <font>
      <sz val="10"/>
      <color theme="0" tint="-0.499984740745262"/>
      <name val="Arial Narrow"/>
      <family val="2"/>
    </font>
    <font>
      <sz val="10"/>
      <color theme="0"/>
      <name val="Arial Narrow"/>
      <family val="2"/>
    </font>
    <font>
      <b/>
      <sz val="9"/>
      <name val="Arial Narrow"/>
      <family val="2"/>
    </font>
    <font>
      <sz val="10"/>
      <color rgb="FF000000"/>
      <name val="Arial"/>
      <family val="2"/>
    </font>
    <font>
      <sz val="9"/>
      <color rgb="FF0070C0"/>
      <name val="Arial Narrow"/>
      <family val="2"/>
    </font>
    <font>
      <sz val="9"/>
      <color indexed="81"/>
      <name val="Tahoma"/>
      <family val="2"/>
    </font>
    <font>
      <b/>
      <sz val="9"/>
      <color indexed="81"/>
      <name val="Tahoma"/>
      <family val="2"/>
    </font>
    <font>
      <sz val="12"/>
      <color indexed="8"/>
      <name val="Calibri"/>
      <family val="2"/>
    </font>
    <font>
      <sz val="12"/>
      <color theme="0" tint="-0.499984740745262"/>
      <name val="COUR"/>
    </font>
    <font>
      <sz val="8"/>
      <color theme="0" tint="-4.9989318521683403E-2"/>
      <name val="COUR"/>
    </font>
    <font>
      <sz val="10"/>
      <color rgb="FFC00000"/>
      <name val="Arial Narrow"/>
      <family val="2"/>
    </font>
    <font>
      <sz val="10"/>
      <color theme="0" tint="-0.34998626667073579"/>
      <name val="Arial Narrow"/>
      <family val="2"/>
    </font>
    <font>
      <sz val="10"/>
      <color theme="0" tint="-0.499984740745262"/>
      <name val="COUR"/>
    </font>
    <font>
      <u/>
      <sz val="10"/>
      <name val="Arial Narrow"/>
      <family val="2"/>
    </font>
    <font>
      <sz val="9"/>
      <color theme="3"/>
      <name val="Arial"/>
      <family val="2"/>
    </font>
    <font>
      <sz val="10"/>
      <color theme="0" tint="-0.249977111117893"/>
      <name val="Arial Narrow"/>
      <family val="2"/>
    </font>
    <font>
      <i/>
      <sz val="10"/>
      <name val="Arial Narrow"/>
      <family val="2"/>
    </font>
    <font>
      <b/>
      <u/>
      <sz val="10"/>
      <name val="Arial Narrow"/>
      <family val="2"/>
    </font>
    <font>
      <sz val="8"/>
      <color rgb="FFFFFFFF"/>
      <name val="Arial Narrow"/>
      <family val="2"/>
    </font>
    <font>
      <i/>
      <sz val="10"/>
      <color theme="1"/>
      <name val="Arial Narrow"/>
      <family val="2"/>
    </font>
    <font>
      <sz val="8"/>
      <color rgb="FFC00000"/>
      <name val="Arial Narrow"/>
      <family val="2"/>
    </font>
    <font>
      <vertAlign val="superscript"/>
      <sz val="10"/>
      <name val="Arial Narrow"/>
      <family val="2"/>
    </font>
    <font>
      <b/>
      <sz val="14"/>
      <color theme="1"/>
      <name val="Arial"/>
      <family val="2"/>
    </font>
    <font>
      <b/>
      <sz val="9"/>
      <name val="Calibri"/>
      <family val="2"/>
    </font>
    <font>
      <b/>
      <sz val="9"/>
      <color rgb="FF7030A0"/>
      <name val="Arial"/>
      <family val="2"/>
    </font>
    <font>
      <b/>
      <sz val="9"/>
      <color rgb="FF7030A0"/>
      <name val="Calibri"/>
      <family val="2"/>
    </font>
    <font>
      <sz val="12"/>
      <name val="Calibri"/>
      <family val="2"/>
    </font>
  </fonts>
  <fills count="39">
    <fill>
      <patternFill patternType="none"/>
    </fill>
    <fill>
      <patternFill patternType="gray125"/>
    </fill>
    <fill>
      <patternFill patternType="solid">
        <fgColor indexed="9"/>
        <bgColor indexed="8"/>
      </patternFill>
    </fill>
    <fill>
      <patternFill patternType="solid">
        <fgColor indexed="9"/>
        <bgColor indexed="9"/>
      </patternFill>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FFFF99"/>
        <bgColor indexed="64"/>
      </patternFill>
    </fill>
    <fill>
      <patternFill patternType="solid">
        <fgColor rgb="FFFFFFFF"/>
        <bgColor rgb="FFFFFFFF"/>
      </patternFill>
    </fill>
  </fills>
  <borders count="55">
    <border>
      <left/>
      <right/>
      <top/>
      <bottom/>
      <diagonal/>
    </border>
    <border>
      <left/>
      <right/>
      <top/>
      <bottom style="thin">
        <color indexed="64"/>
      </bottom>
      <diagonal/>
    </border>
    <border>
      <left/>
      <right/>
      <top style="thin">
        <color indexed="64"/>
      </top>
      <bottom style="double">
        <color indexed="64"/>
      </bottom>
      <diagonal/>
    </border>
    <border>
      <left/>
      <right/>
      <top style="double">
        <color indexed="64"/>
      </top>
      <bottom/>
      <diagonal/>
    </border>
    <border>
      <left/>
      <right/>
      <top style="double">
        <color indexed="8"/>
      </top>
      <bottom/>
      <diagonal/>
    </border>
    <border>
      <left/>
      <right/>
      <top style="thin">
        <color indexed="64"/>
      </top>
      <bottom style="double">
        <color indexed="8"/>
      </bottom>
      <diagonal/>
    </border>
    <border>
      <left/>
      <right/>
      <top style="medium">
        <color indexed="8"/>
      </top>
      <bottom/>
      <diagonal/>
    </border>
    <border>
      <left/>
      <right/>
      <top/>
      <bottom style="thin">
        <color indexed="8"/>
      </bottom>
      <diagonal/>
    </border>
    <border>
      <left/>
      <right/>
      <top style="thin">
        <color indexed="8"/>
      </top>
      <bottom style="thin">
        <color indexed="8"/>
      </bottom>
      <diagonal/>
    </border>
    <border>
      <left/>
      <right/>
      <top/>
      <bottom style="medium">
        <color indexed="8"/>
      </bottom>
      <diagonal/>
    </border>
    <border>
      <left/>
      <right/>
      <top style="thick">
        <color indexed="64"/>
      </top>
      <bottom/>
      <diagonal/>
    </border>
    <border>
      <left/>
      <right/>
      <top/>
      <bottom style="double">
        <color indexed="64"/>
      </bottom>
      <diagonal/>
    </border>
    <border>
      <left/>
      <right/>
      <top/>
      <bottom style="thick">
        <color indexed="64"/>
      </bottom>
      <diagonal/>
    </border>
    <border>
      <left/>
      <right/>
      <top style="thin">
        <color indexed="64"/>
      </top>
      <bottom/>
      <diagonal/>
    </border>
    <border>
      <left/>
      <right/>
      <top style="thick">
        <color indexed="64"/>
      </top>
      <bottom style="thin">
        <color indexed="64"/>
      </bottom>
      <diagonal/>
    </border>
    <border>
      <left/>
      <right/>
      <top style="thin">
        <color indexed="64"/>
      </top>
      <bottom style="thin">
        <color indexed="64"/>
      </bottom>
      <diagonal/>
    </border>
    <border>
      <left/>
      <right/>
      <top style="medium">
        <color indexed="64"/>
      </top>
      <bottom/>
      <diagonal/>
    </border>
    <border>
      <left/>
      <right/>
      <top style="medium">
        <color indexed="8"/>
      </top>
      <bottom style="thin">
        <color indexed="8"/>
      </bottom>
      <diagonal/>
    </border>
    <border>
      <left/>
      <right/>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8"/>
      </left>
      <right/>
      <top style="medium">
        <color indexed="8"/>
      </top>
      <bottom/>
      <diagonal/>
    </border>
    <border>
      <left style="medium">
        <color indexed="8"/>
      </left>
      <right/>
      <top/>
      <bottom/>
      <diagonal/>
    </border>
    <border>
      <left style="medium">
        <color indexed="8"/>
      </left>
      <right/>
      <top/>
      <bottom style="thin">
        <color indexed="8"/>
      </bottom>
      <diagonal/>
    </border>
    <border>
      <left style="medium">
        <color indexed="8"/>
      </left>
      <right/>
      <top style="thin">
        <color indexed="8"/>
      </top>
      <bottom style="thin">
        <color indexed="8"/>
      </bottom>
      <diagonal/>
    </border>
    <border>
      <left/>
      <right style="medium">
        <color indexed="8"/>
      </right>
      <top style="medium">
        <color indexed="8"/>
      </top>
      <bottom/>
      <diagonal/>
    </border>
    <border>
      <left/>
      <right style="medium">
        <color indexed="8"/>
      </right>
      <top/>
      <bottom/>
      <diagonal/>
    </border>
    <border>
      <left/>
      <right style="medium">
        <color indexed="8"/>
      </right>
      <top/>
      <bottom style="thin">
        <color indexed="8"/>
      </bottom>
      <diagonal/>
    </border>
    <border>
      <left/>
      <right style="medium">
        <color indexed="8"/>
      </right>
      <top style="thin">
        <color indexed="8"/>
      </top>
      <bottom style="thin">
        <color indexed="8"/>
      </bottom>
      <diagonal/>
    </border>
    <border>
      <left/>
      <right/>
      <top style="thin">
        <color theme="0"/>
      </top>
      <bottom/>
      <diagonal/>
    </border>
    <border>
      <left style="thin">
        <color theme="0"/>
      </left>
      <right/>
      <top/>
      <bottom/>
      <diagonal/>
    </border>
    <border>
      <left/>
      <right/>
      <top/>
      <bottom style="thin">
        <color auto="1"/>
      </bottom>
      <diagonal/>
    </border>
    <border>
      <left/>
      <right/>
      <top style="thin">
        <color indexed="8"/>
      </top>
      <bottom style="double">
        <color auto="1"/>
      </bottom>
      <diagonal/>
    </border>
    <border>
      <left style="medium">
        <color indexed="64"/>
      </left>
      <right style="medium">
        <color indexed="64"/>
      </right>
      <top style="thin">
        <color indexed="64"/>
      </top>
      <bottom style="double">
        <color auto="1"/>
      </bottom>
      <diagonal/>
    </border>
    <border>
      <left/>
      <right/>
      <top style="medium">
        <color auto="1"/>
      </top>
      <bottom/>
      <diagonal/>
    </border>
    <border>
      <left/>
      <right/>
      <top/>
      <bottom style="thin">
        <color rgb="FFFFFFFF"/>
      </bottom>
      <diagonal/>
    </border>
    <border>
      <left/>
      <right/>
      <top style="medium">
        <color auto="1"/>
      </top>
      <bottom style="thin">
        <color auto="1"/>
      </bottom>
      <diagonal/>
    </border>
  </borders>
  <cellStyleXfs count="92">
    <xf numFmtId="0" fontId="0" fillId="0" borderId="0"/>
    <xf numFmtId="43" fontId="38" fillId="0" borderId="0" applyFont="0" applyFill="0" applyBorder="0" applyAlignment="0" applyProtection="0"/>
    <xf numFmtId="43" fontId="48" fillId="0" borderId="0" applyFont="0" applyFill="0" applyBorder="0" applyAlignment="0" applyProtection="0"/>
    <xf numFmtId="44" fontId="2" fillId="0" borderId="0" applyFont="0" applyFill="0" applyBorder="0" applyAlignment="0" applyProtection="0"/>
    <xf numFmtId="44" fontId="10" fillId="0" borderId="0" applyFont="0" applyFill="0" applyBorder="0" applyAlignment="0" applyProtection="0"/>
    <xf numFmtId="44" fontId="38" fillId="0" borderId="0" applyFont="0" applyFill="0" applyBorder="0" applyAlignment="0" applyProtection="0"/>
    <xf numFmtId="44" fontId="10" fillId="0" borderId="0" applyFont="0" applyFill="0" applyBorder="0" applyProtection="0"/>
    <xf numFmtId="0" fontId="48" fillId="0" borderId="0"/>
    <xf numFmtId="0" fontId="10" fillId="0" borderId="0"/>
    <xf numFmtId="0" fontId="7" fillId="0" borderId="0"/>
    <xf numFmtId="0" fontId="10" fillId="0" borderId="0"/>
    <xf numFmtId="0" fontId="3" fillId="0" borderId="0"/>
    <xf numFmtId="0" fontId="3" fillId="0" borderId="0"/>
    <xf numFmtId="0" fontId="2" fillId="0" borderId="0"/>
    <xf numFmtId="0" fontId="3" fillId="0" borderId="0"/>
    <xf numFmtId="0" fontId="7" fillId="0" borderId="0"/>
    <xf numFmtId="0" fontId="3" fillId="0" borderId="0"/>
    <xf numFmtId="0" fontId="7" fillId="0" borderId="0"/>
    <xf numFmtId="8" fontId="7" fillId="0" borderId="0"/>
    <xf numFmtId="0" fontId="3" fillId="0" borderId="0"/>
    <xf numFmtId="0" fontId="38" fillId="0" borderId="0"/>
    <xf numFmtId="0" fontId="38" fillId="0" borderId="0"/>
    <xf numFmtId="0" fontId="17" fillId="0" borderId="0"/>
    <xf numFmtId="0" fontId="17" fillId="0" borderId="0"/>
    <xf numFmtId="0" fontId="3" fillId="0" borderId="0"/>
    <xf numFmtId="0" fontId="38" fillId="0" borderId="0"/>
    <xf numFmtId="0" fontId="7" fillId="0" borderId="0"/>
    <xf numFmtId="0" fontId="10" fillId="0" borderId="0"/>
    <xf numFmtId="0" fontId="17" fillId="0" borderId="0"/>
    <xf numFmtId="0" fontId="38" fillId="0" borderId="0"/>
    <xf numFmtId="0" fontId="38" fillId="0" borderId="0"/>
    <xf numFmtId="177" fontId="42" fillId="0" borderId="0"/>
    <xf numFmtId="0" fontId="10" fillId="0" borderId="0"/>
    <xf numFmtId="0" fontId="10" fillId="0" borderId="0"/>
    <xf numFmtId="0" fontId="38" fillId="0" borderId="0"/>
    <xf numFmtId="0" fontId="10" fillId="0" borderId="0"/>
    <xf numFmtId="9" fontId="2" fillId="0" borderId="0" applyFont="0" applyFill="0" applyBorder="0" applyAlignment="0" applyProtection="0"/>
    <xf numFmtId="9" fontId="38" fillId="0" borderId="0" applyFont="0" applyFill="0" applyBorder="0" applyAlignment="0" applyProtection="0"/>
    <xf numFmtId="9" fontId="10" fillId="0" borderId="0" applyFont="0" applyFill="0" applyBorder="0" applyAlignment="0" applyProtection="0"/>
    <xf numFmtId="9" fontId="48" fillId="0" borderId="0" applyFont="0" applyFill="0" applyBorder="0" applyAlignment="0" applyProtection="0"/>
    <xf numFmtId="0" fontId="2" fillId="0" borderId="0"/>
    <xf numFmtId="43" fontId="53" fillId="0" borderId="0" applyFont="0" applyFill="0" applyBorder="0" applyAlignment="0" applyProtection="0"/>
    <xf numFmtId="0" fontId="54" fillId="0" borderId="0" applyNumberFormat="0" applyFill="0" applyBorder="0" applyAlignment="0" applyProtection="0"/>
    <xf numFmtId="0" fontId="55" fillId="0" borderId="30" applyNumberFormat="0" applyFill="0" applyAlignment="0" applyProtection="0"/>
    <xf numFmtId="0" fontId="56" fillId="0" borderId="31" applyNumberFormat="0" applyFill="0" applyAlignment="0" applyProtection="0"/>
    <xf numFmtId="0" fontId="57" fillId="0" borderId="32" applyNumberFormat="0" applyFill="0" applyAlignment="0" applyProtection="0"/>
    <xf numFmtId="0" fontId="57" fillId="0" borderId="0" applyNumberFormat="0" applyFill="0" applyBorder="0" applyAlignment="0" applyProtection="0"/>
    <xf numFmtId="0" fontId="58" fillId="5" borderId="0" applyNumberFormat="0" applyBorder="0" applyAlignment="0" applyProtection="0"/>
    <xf numFmtId="0" fontId="59" fillId="6" borderId="0" applyNumberFormat="0" applyBorder="0" applyAlignment="0" applyProtection="0"/>
    <xf numFmtId="0" fontId="60" fillId="7" borderId="0" applyNumberFormat="0" applyBorder="0" applyAlignment="0" applyProtection="0"/>
    <xf numFmtId="0" fontId="61" fillId="8" borderId="33" applyNumberFormat="0" applyAlignment="0" applyProtection="0"/>
    <xf numFmtId="0" fontId="62" fillId="9" borderId="34" applyNumberFormat="0" applyAlignment="0" applyProtection="0"/>
    <xf numFmtId="0" fontId="63" fillId="9" borderId="33" applyNumberFormat="0" applyAlignment="0" applyProtection="0"/>
    <xf numFmtId="0" fontId="64" fillId="0" borderId="35" applyNumberFormat="0" applyFill="0" applyAlignment="0" applyProtection="0"/>
    <xf numFmtId="0" fontId="65" fillId="10" borderId="36" applyNumberFormat="0" applyAlignment="0" applyProtection="0"/>
    <xf numFmtId="0" fontId="66" fillId="0" borderId="0" applyNumberFormat="0" applyFill="0" applyBorder="0" applyAlignment="0" applyProtection="0"/>
    <xf numFmtId="0" fontId="67" fillId="0" borderId="0" applyNumberFormat="0" applyFill="0" applyBorder="0" applyAlignment="0" applyProtection="0"/>
    <xf numFmtId="0" fontId="68" fillId="0" borderId="38" applyNumberFormat="0" applyFill="0" applyAlignment="0" applyProtection="0"/>
    <xf numFmtId="0" fontId="69"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69" fillId="15" borderId="0" applyNumberFormat="0" applyBorder="0" applyAlignment="0" applyProtection="0"/>
    <xf numFmtId="0" fontId="69"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69" fillId="19" borderId="0" applyNumberFormat="0" applyBorder="0" applyAlignment="0" applyProtection="0"/>
    <xf numFmtId="0" fontId="69"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69" fillId="23" borderId="0" applyNumberFormat="0" applyBorder="0" applyAlignment="0" applyProtection="0"/>
    <xf numFmtId="0" fontId="69"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69" fillId="27" borderId="0" applyNumberFormat="0" applyBorder="0" applyAlignment="0" applyProtection="0"/>
    <xf numFmtId="0" fontId="69"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69" fillId="31" borderId="0" applyNumberFormat="0" applyBorder="0" applyAlignment="0" applyProtection="0"/>
    <xf numFmtId="0" fontId="69" fillId="32"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69" fillId="35" borderId="0" applyNumberFormat="0" applyBorder="0" applyAlignment="0" applyProtection="0"/>
    <xf numFmtId="0" fontId="1" fillId="0" borderId="0"/>
    <xf numFmtId="0" fontId="1" fillId="11" borderId="37" applyNumberFormat="0" applyFont="0" applyAlignment="0" applyProtection="0"/>
    <xf numFmtId="0" fontId="17" fillId="0" borderId="0"/>
    <xf numFmtId="44" fontId="17" fillId="0" borderId="0" applyFont="0" applyFill="0" applyBorder="0" applyAlignment="0" applyProtection="0"/>
    <xf numFmtId="0" fontId="90" fillId="0" borderId="0" applyNumberFormat="0" applyFill="0" applyBorder="0" applyAlignment="0" applyProtection="0">
      <alignment vertical="top"/>
      <protection locked="0"/>
    </xf>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Protection="0"/>
    <xf numFmtId="0" fontId="3" fillId="0" borderId="0"/>
  </cellStyleXfs>
  <cellXfs count="1446">
    <xf numFmtId="0" fontId="0" fillId="0" borderId="0" xfId="0"/>
    <xf numFmtId="0" fontId="3" fillId="0" borderId="0" xfId="0" applyNumberFormat="1" applyFont="1" applyAlignment="1"/>
    <xf numFmtId="0" fontId="5" fillId="0" borderId="0" xfId="0" applyNumberFormat="1" applyFont="1" applyAlignment="1">
      <alignment horizontal="center"/>
    </xf>
    <xf numFmtId="167" fontId="3" fillId="0" borderId="0" xfId="12" applyNumberFormat="1" applyFont="1" applyAlignment="1"/>
    <xf numFmtId="3" fontId="3" fillId="0" borderId="0" xfId="12" applyNumberFormat="1" applyFont="1" applyAlignment="1"/>
    <xf numFmtId="0" fontId="5" fillId="0" borderId="0" xfId="0" applyNumberFormat="1" applyFont="1" applyAlignment="1"/>
    <xf numFmtId="0" fontId="10" fillId="0" borderId="0" xfId="0" applyNumberFormat="1" applyFont="1" applyFill="1" applyAlignment="1"/>
    <xf numFmtId="0" fontId="5" fillId="0" borderId="0" xfId="0" applyFont="1" applyBorder="1" applyAlignment="1">
      <alignment horizontal="center"/>
    </xf>
    <xf numFmtId="10" fontId="3" fillId="0" borderId="0" xfId="0" applyNumberFormat="1" applyFont="1" applyAlignment="1"/>
    <xf numFmtId="0" fontId="2" fillId="0" borderId="0" xfId="0" applyNumberFormat="1" applyFont="1" applyAlignment="1"/>
    <xf numFmtId="0" fontId="6" fillId="0" borderId="0" xfId="0" applyNumberFormat="1" applyFont="1" applyAlignment="1"/>
    <xf numFmtId="0" fontId="12" fillId="0" borderId="0" xfId="0" applyNumberFormat="1" applyFont="1" applyAlignment="1"/>
    <xf numFmtId="10" fontId="6" fillId="0" borderId="0" xfId="0" applyNumberFormat="1" applyFont="1" applyAlignment="1">
      <alignment horizontal="center"/>
    </xf>
    <xf numFmtId="10" fontId="3" fillId="0" borderId="0" xfId="0" applyNumberFormat="1" applyFont="1" applyAlignment="1">
      <alignment horizontal="center"/>
    </xf>
    <xf numFmtId="0" fontId="5" fillId="0" borderId="0" xfId="0" applyFont="1"/>
    <xf numFmtId="164" fontId="3" fillId="0" borderId="0" xfId="0" applyNumberFormat="1" applyFont="1" applyAlignment="1">
      <alignment horizontal="right"/>
    </xf>
    <xf numFmtId="0" fontId="0" fillId="0" borderId="0" xfId="0" applyBorder="1"/>
    <xf numFmtId="0" fontId="5" fillId="0" borderId="2" xfId="0" applyFont="1" applyBorder="1"/>
    <xf numFmtId="167" fontId="5" fillId="0" borderId="2" xfId="0" applyNumberFormat="1" applyFont="1" applyBorder="1"/>
    <xf numFmtId="164" fontId="3" fillId="0" borderId="0" xfId="0" applyNumberFormat="1" applyFont="1" applyBorder="1" applyAlignment="1">
      <alignment horizontal="right"/>
    </xf>
    <xf numFmtId="10" fontId="2" fillId="0" borderId="0" xfId="0" applyNumberFormat="1" applyFont="1" applyAlignment="1">
      <alignment horizontal="center"/>
    </xf>
    <xf numFmtId="10" fontId="3" fillId="0" borderId="0" xfId="0" applyNumberFormat="1" applyFont="1" applyBorder="1" applyAlignment="1">
      <alignment horizontal="center"/>
    </xf>
    <xf numFmtId="10" fontId="2" fillId="0" borderId="0" xfId="36" applyNumberFormat="1"/>
    <xf numFmtId="10" fontId="2" fillId="0" borderId="0" xfId="0" applyNumberFormat="1" applyFont="1" applyAlignment="1"/>
    <xf numFmtId="0" fontId="5" fillId="0" borderId="0" xfId="0" applyNumberFormat="1" applyFont="1" applyBorder="1" applyAlignment="1">
      <alignment horizontal="center"/>
    </xf>
    <xf numFmtId="3" fontId="2" fillId="0" borderId="0" xfId="0" applyNumberFormat="1" applyFont="1" applyAlignment="1"/>
    <xf numFmtId="0" fontId="15" fillId="0" borderId="0" xfId="0" applyNumberFormat="1" applyFont="1" applyAlignment="1"/>
    <xf numFmtId="0" fontId="5" fillId="0" borderId="0" xfId="14" applyFont="1" applyProtection="1"/>
    <xf numFmtId="37" fontId="21" fillId="0" borderId="0" xfId="14" applyNumberFormat="1" applyFont="1" applyProtection="1"/>
    <xf numFmtId="39" fontId="21" fillId="0" borderId="0" xfId="14" applyNumberFormat="1" applyFont="1" applyProtection="1"/>
    <xf numFmtId="0" fontId="2" fillId="0" borderId="0" xfId="13"/>
    <xf numFmtId="37" fontId="10" fillId="0" borderId="0" xfId="14" applyNumberFormat="1" applyFont="1" applyProtection="1"/>
    <xf numFmtId="39" fontId="10" fillId="0" borderId="0" xfId="14" applyNumberFormat="1" applyFont="1" applyProtection="1"/>
    <xf numFmtId="39" fontId="22" fillId="0" borderId="6" xfId="14" applyNumberFormat="1" applyFont="1" applyBorder="1" applyAlignment="1" applyProtection="1">
      <alignment horizontal="right"/>
    </xf>
    <xf numFmtId="39" fontId="22" fillId="0" borderId="6" xfId="14" applyNumberFormat="1" applyFont="1" applyBorder="1" applyAlignment="1" applyProtection="1">
      <alignment horizontal="center"/>
    </xf>
    <xf numFmtId="37" fontId="22" fillId="0" borderId="6" xfId="14" applyNumberFormat="1" applyFont="1" applyBorder="1" applyAlignment="1" applyProtection="1">
      <alignment horizontal="right"/>
    </xf>
    <xf numFmtId="37" fontId="22" fillId="0" borderId="7" xfId="14" applyNumberFormat="1" applyFont="1" applyBorder="1" applyAlignment="1" applyProtection="1">
      <alignment horizontal="right"/>
    </xf>
    <xf numFmtId="39" fontId="22" fillId="0" borderId="7" xfId="14" applyNumberFormat="1" applyFont="1" applyBorder="1" applyAlignment="1" applyProtection="1">
      <alignment horizontal="right"/>
    </xf>
    <xf numFmtId="39" fontId="22" fillId="0" borderId="7" xfId="14" applyNumberFormat="1" applyFont="1" applyBorder="1" applyAlignment="1" applyProtection="1">
      <alignment horizontal="center"/>
    </xf>
    <xf numFmtId="37" fontId="22" fillId="0" borderId="0" xfId="14" applyNumberFormat="1" applyFont="1" applyBorder="1" applyAlignment="1" applyProtection="1">
      <alignment horizontal="right"/>
    </xf>
    <xf numFmtId="39" fontId="22" fillId="0" borderId="0" xfId="14" applyNumberFormat="1" applyFont="1" applyBorder="1" applyAlignment="1" applyProtection="1">
      <alignment horizontal="right"/>
    </xf>
    <xf numFmtId="0" fontId="10" fillId="0" borderId="0" xfId="14" applyFont="1" applyAlignment="1" applyProtection="1">
      <alignment horizontal="left"/>
    </xf>
    <xf numFmtId="3" fontId="10" fillId="0" borderId="0" xfId="14" applyNumberFormat="1" applyFont="1" applyProtection="1"/>
    <xf numFmtId="169" fontId="10" fillId="0" borderId="0" xfId="36" applyNumberFormat="1" applyFont="1"/>
    <xf numFmtId="167" fontId="10" fillId="0" borderId="0" xfId="14" applyNumberFormat="1" applyFont="1" applyAlignment="1" applyProtection="1">
      <alignment horizontal="right"/>
    </xf>
    <xf numFmtId="5" fontId="10" fillId="0" borderId="0" xfId="14" applyNumberFormat="1" applyFont="1" applyAlignment="1" applyProtection="1">
      <alignment horizontal="right"/>
    </xf>
    <xf numFmtId="169" fontId="10" fillId="0" borderId="0" xfId="14" applyNumberFormat="1" applyFont="1" applyAlignment="1" applyProtection="1">
      <alignment horizontal="right"/>
    </xf>
    <xf numFmtId="3" fontId="10" fillId="0" borderId="0" xfId="14" applyNumberFormat="1" applyFont="1" applyAlignment="1" applyProtection="1">
      <alignment horizontal="right"/>
    </xf>
    <xf numFmtId="37" fontId="10" fillId="0" borderId="0" xfId="14" applyNumberFormat="1" applyFont="1" applyAlignment="1" applyProtection="1">
      <alignment horizontal="right"/>
    </xf>
    <xf numFmtId="169" fontId="10" fillId="0" borderId="0" xfId="14" applyNumberFormat="1" applyFont="1" applyProtection="1"/>
    <xf numFmtId="3" fontId="10" fillId="0" borderId="8" xfId="14" applyNumberFormat="1" applyFont="1" applyBorder="1" applyProtection="1"/>
    <xf numFmtId="37" fontId="10" fillId="0" borderId="8" xfId="14" applyNumberFormat="1" applyFont="1" applyBorder="1" applyProtection="1"/>
    <xf numFmtId="169" fontId="10" fillId="0" borderId="8" xfId="14" applyNumberFormat="1" applyFont="1" applyBorder="1" applyProtection="1"/>
    <xf numFmtId="167" fontId="10" fillId="0" borderId="8" xfId="14" applyNumberFormat="1" applyFont="1" applyBorder="1" applyProtection="1"/>
    <xf numFmtId="5" fontId="10" fillId="0" borderId="8" xfId="14" applyNumberFormat="1" applyFont="1" applyBorder="1" applyProtection="1"/>
    <xf numFmtId="0" fontId="10" fillId="0" borderId="0" xfId="14" applyFont="1" applyBorder="1" applyAlignment="1" applyProtection="1">
      <alignment horizontal="left"/>
    </xf>
    <xf numFmtId="37" fontId="10" fillId="0" borderId="0" xfId="14" applyNumberFormat="1" applyFont="1" applyBorder="1" applyProtection="1"/>
    <xf numFmtId="169" fontId="10" fillId="0" borderId="0" xfId="14" applyNumberFormat="1" applyFont="1" applyBorder="1" applyProtection="1"/>
    <xf numFmtId="5" fontId="10" fillId="0" borderId="0" xfId="14" applyNumberFormat="1" applyFont="1" applyBorder="1" applyProtection="1"/>
    <xf numFmtId="10" fontId="10" fillId="0" borderId="0" xfId="14" applyNumberFormat="1" applyFont="1" applyProtection="1"/>
    <xf numFmtId="0" fontId="22" fillId="0" borderId="8" xfId="14" applyFont="1" applyBorder="1" applyAlignment="1" applyProtection="1">
      <alignment horizontal="left"/>
    </xf>
    <xf numFmtId="37" fontId="22" fillId="0" borderId="8" xfId="14" applyNumberFormat="1" applyFont="1" applyBorder="1" applyProtection="1"/>
    <xf numFmtId="9" fontId="22" fillId="0" borderId="8" xfId="14" applyNumberFormat="1" applyFont="1" applyBorder="1" applyProtection="1"/>
    <xf numFmtId="5" fontId="22" fillId="0" borderId="8" xfId="14" applyNumberFormat="1" applyFont="1" applyBorder="1" applyProtection="1"/>
    <xf numFmtId="169" fontId="22" fillId="0" borderId="8" xfId="14" applyNumberFormat="1" applyFont="1" applyBorder="1" applyProtection="1"/>
    <xf numFmtId="167" fontId="22" fillId="0" borderId="8" xfId="14" applyNumberFormat="1" applyFont="1" applyBorder="1" applyProtection="1"/>
    <xf numFmtId="37" fontId="23" fillId="0" borderId="0" xfId="14" applyNumberFormat="1" applyFont="1" applyBorder="1" applyProtection="1"/>
    <xf numFmtId="9" fontId="23" fillId="0" borderId="0" xfId="14" applyNumberFormat="1" applyFont="1" applyBorder="1" applyProtection="1"/>
    <xf numFmtId="5" fontId="23" fillId="0" borderId="0" xfId="14" applyNumberFormat="1" applyFont="1" applyBorder="1" applyProtection="1"/>
    <xf numFmtId="0" fontId="3" fillId="0" borderId="0" xfId="16"/>
    <xf numFmtId="0" fontId="5" fillId="0" borderId="0" xfId="16" applyFont="1"/>
    <xf numFmtId="0" fontId="7" fillId="0" borderId="9" xfId="16" applyFont="1" applyBorder="1"/>
    <xf numFmtId="0" fontId="7" fillId="0" borderId="0" xfId="16" applyFont="1"/>
    <xf numFmtId="0" fontId="10" fillId="0" borderId="0" xfId="16" applyFont="1" applyAlignment="1" applyProtection="1">
      <alignment horizontal="center"/>
    </xf>
    <xf numFmtId="10" fontId="7" fillId="0" borderId="0" xfId="36" applyNumberFormat="1" applyFont="1"/>
    <xf numFmtId="0" fontId="21" fillId="0" borderId="0" xfId="16" applyFont="1"/>
    <xf numFmtId="0" fontId="29" fillId="0" borderId="0" xfId="16" applyFont="1" applyAlignment="1">
      <alignment horizontal="center"/>
    </xf>
    <xf numFmtId="4" fontId="5" fillId="0" borderId="0" xfId="0" applyNumberFormat="1" applyFont="1" applyAlignment="1"/>
    <xf numFmtId="3" fontId="5" fillId="0" borderId="0" xfId="0" applyNumberFormat="1" applyFont="1" applyAlignment="1"/>
    <xf numFmtId="4" fontId="15" fillId="0" borderId="0" xfId="0" applyNumberFormat="1" applyFont="1" applyAlignment="1"/>
    <xf numFmtId="3" fontId="2" fillId="0" borderId="0" xfId="0" applyNumberFormat="1" applyFont="1" applyBorder="1" applyAlignment="1"/>
    <xf numFmtId="0" fontId="12" fillId="0" borderId="10" xfId="0" applyNumberFormat="1" applyFont="1" applyFill="1" applyBorder="1" applyAlignment="1"/>
    <xf numFmtId="0" fontId="14" fillId="0" borderId="10" xfId="0" applyNumberFormat="1" applyFont="1" applyFill="1" applyBorder="1" applyAlignment="1">
      <alignment horizontal="center"/>
    </xf>
    <xf numFmtId="0" fontId="22" fillId="0" borderId="10" xfId="0" applyNumberFormat="1" applyFont="1" applyFill="1" applyBorder="1" applyAlignment="1">
      <alignment horizontal="center"/>
    </xf>
    <xf numFmtId="0" fontId="34" fillId="0" borderId="10" xfId="0" applyNumberFormat="1" applyFont="1" applyFill="1" applyBorder="1" applyAlignment="1">
      <alignment horizontal="center"/>
    </xf>
    <xf numFmtId="3" fontId="14" fillId="0" borderId="1" xfId="0" applyNumberFormat="1" applyFont="1" applyFill="1" applyBorder="1" applyAlignment="1">
      <alignment horizontal="center"/>
    </xf>
    <xf numFmtId="167" fontId="22" fillId="0" borderId="1" xfId="0" applyNumberFormat="1" applyFont="1" applyFill="1" applyBorder="1" applyAlignment="1">
      <alignment horizontal="center"/>
    </xf>
    <xf numFmtId="0" fontId="14" fillId="0" borderId="1" xfId="0" applyNumberFormat="1" applyFont="1" applyFill="1" applyBorder="1" applyAlignment="1">
      <alignment horizontal="center"/>
    </xf>
    <xf numFmtId="4" fontId="15" fillId="0" borderId="1" xfId="0" applyNumberFormat="1" applyFont="1" applyFill="1" applyBorder="1" applyAlignment="1">
      <alignment horizontal="center"/>
    </xf>
    <xf numFmtId="1" fontId="16" fillId="0" borderId="0" xfId="0" applyNumberFormat="1" applyFont="1" applyFill="1" applyAlignment="1">
      <alignment horizontal="center"/>
    </xf>
    <xf numFmtId="3" fontId="2" fillId="0" borderId="0" xfId="0" applyNumberFormat="1" applyFont="1" applyFill="1" applyAlignment="1"/>
    <xf numFmtId="3" fontId="2" fillId="0" borderId="0" xfId="0" applyNumberFormat="1" applyFont="1" applyFill="1" applyBorder="1" applyAlignment="1"/>
    <xf numFmtId="1" fontId="16" fillId="0" borderId="0" xfId="0" applyNumberFormat="1" applyFont="1" applyFill="1" applyBorder="1" applyAlignment="1">
      <alignment horizontal="center"/>
    </xf>
    <xf numFmtId="0" fontId="20" fillId="0" borderId="0" xfId="0" applyNumberFormat="1" applyFont="1" applyAlignment="1"/>
    <xf numFmtId="0" fontId="2" fillId="0" borderId="0" xfId="0" applyFont="1"/>
    <xf numFmtId="0" fontId="35" fillId="0" borderId="0" xfId="0" applyFont="1" applyAlignment="1">
      <alignment horizontal="centerContinuous"/>
    </xf>
    <xf numFmtId="0" fontId="19" fillId="0" borderId="0" xfId="0" applyFont="1"/>
    <xf numFmtId="0" fontId="29" fillId="0" borderId="0" xfId="0" applyFont="1"/>
    <xf numFmtId="0" fontId="19" fillId="0" borderId="0" xfId="0" applyFont="1" applyBorder="1"/>
    <xf numFmtId="0" fontId="19" fillId="0" borderId="0" xfId="0" applyFont="1" applyBorder="1" applyAlignment="1"/>
    <xf numFmtId="0" fontId="19" fillId="0" borderId="11" xfId="0" applyFont="1" applyBorder="1"/>
    <xf numFmtId="0" fontId="7" fillId="0" borderId="0" xfId="0" applyFont="1"/>
    <xf numFmtId="0" fontId="36" fillId="0" borderId="0" xfId="0" applyFont="1" applyAlignment="1"/>
    <xf numFmtId="0" fontId="37" fillId="0" borderId="0" xfId="0" applyFont="1" applyAlignment="1"/>
    <xf numFmtId="0" fontId="5" fillId="0" borderId="0" xfId="0" applyFont="1" applyAlignment="1"/>
    <xf numFmtId="0" fontId="7" fillId="0" borderId="0" xfId="0" applyFont="1" applyAlignment="1"/>
    <xf numFmtId="0" fontId="24" fillId="0" borderId="0" xfId="0" applyFont="1" applyAlignment="1"/>
    <xf numFmtId="0" fontId="0" fillId="0" borderId="0" xfId="0" applyAlignment="1">
      <alignment vertical="center"/>
    </xf>
    <xf numFmtId="0" fontId="5" fillId="0" borderId="0" xfId="0" applyFont="1" applyAlignment="1">
      <alignment vertical="center"/>
    </xf>
    <xf numFmtId="0" fontId="0" fillId="0" borderId="12" xfId="0" applyBorder="1" applyAlignment="1">
      <alignment vertical="center"/>
    </xf>
    <xf numFmtId="0" fontId="0" fillId="0" borderId="12" xfId="0" applyBorder="1"/>
    <xf numFmtId="0" fontId="7" fillId="0" borderId="0" xfId="26"/>
    <xf numFmtId="0" fontId="5" fillId="0" borderId="0" xfId="15" applyFont="1" applyProtection="1"/>
    <xf numFmtId="0" fontId="7" fillId="0" borderId="0" xfId="26" applyBorder="1"/>
    <xf numFmtId="0" fontId="7" fillId="0" borderId="14" xfId="26" applyBorder="1" applyAlignment="1">
      <alignment horizontal="center"/>
    </xf>
    <xf numFmtId="0" fontId="7" fillId="0" borderId="0" xfId="26" applyBorder="1" applyAlignment="1">
      <alignment horizontal="center"/>
    </xf>
    <xf numFmtId="0" fontId="7" fillId="0" borderId="0" xfId="26" applyAlignment="1">
      <alignment horizontal="center"/>
    </xf>
    <xf numFmtId="10" fontId="7" fillId="0" borderId="0" xfId="37" applyNumberFormat="1" applyFont="1"/>
    <xf numFmtId="3" fontId="7" fillId="0" borderId="0" xfId="26" applyNumberFormat="1" applyAlignment="1"/>
    <xf numFmtId="3" fontId="7" fillId="0" borderId="0" xfId="26" applyNumberFormat="1" applyFont="1" applyFill="1" applyAlignment="1"/>
    <xf numFmtId="0" fontId="7" fillId="0" borderId="0" xfId="26" applyFill="1" applyBorder="1" applyAlignment="1">
      <alignment horizontal="center"/>
    </xf>
    <xf numFmtId="3" fontId="7" fillId="0" borderId="0" xfId="26" applyNumberFormat="1"/>
    <xf numFmtId="3" fontId="7" fillId="0" borderId="0" xfId="26" applyNumberFormat="1" applyAlignment="1">
      <alignment horizontal="center"/>
    </xf>
    <xf numFmtId="3" fontId="7" fillId="0" borderId="0" xfId="26" applyNumberFormat="1" applyFont="1" applyFill="1" applyAlignment="1">
      <alignment horizontal="center"/>
    </xf>
    <xf numFmtId="0" fontId="38" fillId="0" borderId="15" xfId="29" applyFont="1" applyFill="1" applyBorder="1" applyAlignment="1"/>
    <xf numFmtId="0" fontId="22" fillId="0" borderId="15" xfId="29" applyFont="1" applyFill="1" applyBorder="1" applyAlignment="1">
      <alignment horizontal="center"/>
    </xf>
    <xf numFmtId="0" fontId="38" fillId="0" borderId="0" xfId="29" applyFill="1" applyBorder="1" applyAlignment="1"/>
    <xf numFmtId="5" fontId="38" fillId="0" borderId="0" xfId="29" applyNumberFormat="1" applyFont="1" applyFill="1" applyBorder="1" applyAlignment="1"/>
    <xf numFmtId="5" fontId="38" fillId="0" borderId="0" xfId="29" applyNumberFormat="1" applyFont="1" applyFill="1" applyBorder="1" applyAlignment="1">
      <alignment horizontal="right"/>
    </xf>
    <xf numFmtId="0" fontId="38" fillId="0" borderId="0" xfId="29" applyFill="1" applyBorder="1" applyAlignment="1">
      <alignment horizontal="left"/>
    </xf>
    <xf numFmtId="37" fontId="38" fillId="0" borderId="0" xfId="29" applyNumberFormat="1" applyFont="1" applyFill="1" applyBorder="1" applyAlignment="1"/>
    <xf numFmtId="37" fontId="38" fillId="0" borderId="0" xfId="29" applyNumberFormat="1" applyFont="1" applyFill="1" applyBorder="1" applyAlignment="1">
      <alignment horizontal="right"/>
    </xf>
    <xf numFmtId="0" fontId="22" fillId="0" borderId="13" xfId="29" applyFont="1" applyFill="1" applyBorder="1" applyAlignment="1"/>
    <xf numFmtId="5" fontId="22" fillId="0" borderId="13" xfId="29" applyNumberFormat="1" applyFont="1" applyFill="1" applyBorder="1" applyAlignment="1"/>
    <xf numFmtId="5" fontId="22" fillId="0" borderId="0" xfId="29" applyNumberFormat="1" applyFont="1" applyFill="1" applyBorder="1" applyAlignment="1"/>
    <xf numFmtId="5" fontId="38" fillId="0" borderId="0" xfId="29" applyNumberFormat="1" applyFill="1" applyBorder="1" applyAlignment="1"/>
    <xf numFmtId="0" fontId="38" fillId="0" borderId="0" xfId="29" applyFont="1" applyFill="1" applyBorder="1" applyAlignment="1"/>
    <xf numFmtId="5" fontId="22" fillId="0" borderId="15" xfId="29" applyNumberFormat="1" applyFont="1" applyFill="1" applyBorder="1" applyAlignment="1"/>
    <xf numFmtId="0" fontId="0" fillId="0" borderId="0" xfId="0" applyNumberFormat="1" applyFont="1" applyAlignment="1"/>
    <xf numFmtId="0" fontId="39" fillId="0" borderId="0" xfId="0" applyNumberFormat="1" applyFont="1" applyAlignment="1"/>
    <xf numFmtId="0" fontId="0" fillId="0" borderId="16" xfId="0" applyNumberFormat="1" applyFont="1" applyBorder="1" applyAlignment="1"/>
    <xf numFmtId="0" fontId="6" fillId="0" borderId="1" xfId="0" applyNumberFormat="1" applyFont="1" applyBorder="1" applyAlignment="1">
      <alignment horizontal="center"/>
    </xf>
    <xf numFmtId="0" fontId="6" fillId="0" borderId="1" xfId="0" applyNumberFormat="1" applyFont="1" applyBorder="1" applyAlignment="1"/>
    <xf numFmtId="0" fontId="0" fillId="0" borderId="0" xfId="0" applyNumberFormat="1" applyFont="1" applyAlignment="1">
      <alignment horizontal="center"/>
    </xf>
    <xf numFmtId="0" fontId="0" fillId="0" borderId="0" xfId="0" applyNumberFormat="1"/>
    <xf numFmtId="164" fontId="9" fillId="0" borderId="0" xfId="0" applyNumberFormat="1" applyFont="1" applyFill="1" applyAlignment="1">
      <alignment horizontal="center"/>
    </xf>
    <xf numFmtId="3" fontId="0" fillId="0" borderId="0" xfId="0" applyNumberFormat="1" applyFont="1" applyAlignment="1"/>
    <xf numFmtId="3" fontId="0" fillId="0" borderId="0" xfId="0" applyNumberFormat="1" applyAlignment="1"/>
    <xf numFmtId="0" fontId="40" fillId="0" borderId="0" xfId="0" applyNumberFormat="1" applyFont="1" applyFill="1" applyBorder="1" applyAlignment="1">
      <alignment vertical="center"/>
    </xf>
    <xf numFmtId="42" fontId="0" fillId="0" borderId="0" xfId="0" applyNumberFormat="1" applyFont="1" applyAlignment="1"/>
    <xf numFmtId="4" fontId="0" fillId="0" borderId="0" xfId="0" applyNumberFormat="1" applyFont="1" applyAlignment="1"/>
    <xf numFmtId="0" fontId="0" fillId="0" borderId="0" xfId="0" applyNumberFormat="1" applyFont="1" applyBorder="1" applyAlignment="1"/>
    <xf numFmtId="0" fontId="15" fillId="0" borderId="0" xfId="22" applyNumberFormat="1" applyFont="1" applyFill="1" applyBorder="1" applyAlignment="1">
      <alignment horizontal="right" vertical="center" wrapText="1"/>
    </xf>
    <xf numFmtId="0" fontId="15" fillId="0" borderId="15" xfId="22" applyNumberFormat="1" applyFont="1" applyFill="1" applyBorder="1" applyAlignment="1">
      <alignment horizontal="right" vertical="center"/>
    </xf>
    <xf numFmtId="3" fontId="15" fillId="0" borderId="15" xfId="22" applyNumberFormat="1" applyFont="1" applyFill="1" applyBorder="1" applyAlignment="1">
      <alignment horizontal="right" vertical="center"/>
    </xf>
    <xf numFmtId="167" fontId="15" fillId="0" borderId="15" xfId="22" applyNumberFormat="1" applyFont="1" applyFill="1" applyBorder="1" applyAlignment="1">
      <alignment horizontal="right" vertical="center"/>
    </xf>
    <xf numFmtId="3" fontId="10" fillId="4" borderId="0" xfId="32" applyNumberFormat="1" applyFont="1" applyFill="1" applyBorder="1"/>
    <xf numFmtId="3" fontId="10" fillId="4" borderId="0" xfId="32" applyNumberFormat="1" applyFont="1" applyFill="1"/>
    <xf numFmtId="0" fontId="10" fillId="4" borderId="0" xfId="32" applyFont="1" applyFill="1"/>
    <xf numFmtId="0" fontId="38" fillId="0" borderId="0" xfId="25"/>
    <xf numFmtId="0" fontId="20" fillId="0" borderId="0" xfId="25" applyFont="1" applyAlignment="1">
      <alignment horizontal="right"/>
    </xf>
    <xf numFmtId="0" fontId="38" fillId="0" borderId="0" xfId="25" applyAlignment="1"/>
    <xf numFmtId="0" fontId="38" fillId="0" borderId="0" xfId="25" applyAlignment="1">
      <alignment horizontal="right"/>
    </xf>
    <xf numFmtId="0" fontId="22" fillId="0" borderId="0" xfId="25" applyFont="1"/>
    <xf numFmtId="0" fontId="5" fillId="0" borderId="0" xfId="25" applyFont="1" applyAlignment="1"/>
    <xf numFmtId="0" fontId="38" fillId="0" borderId="0" xfId="25" applyAlignment="1">
      <alignment wrapText="1"/>
    </xf>
    <xf numFmtId="0" fontId="38" fillId="0" borderId="0" xfId="25" applyAlignment="1">
      <alignment horizontal="right" wrapText="1"/>
    </xf>
    <xf numFmtId="0" fontId="22" fillId="0" borderId="17" xfId="25" applyFont="1" applyBorder="1" applyAlignment="1">
      <alignment horizontal="centerContinuous"/>
    </xf>
    <xf numFmtId="0" fontId="22" fillId="0" borderId="16" xfId="25" applyFont="1" applyBorder="1"/>
    <xf numFmtId="0" fontId="22" fillId="0" borderId="0" xfId="25" applyFont="1" applyAlignment="1">
      <alignment horizontal="right"/>
    </xf>
    <xf numFmtId="0" fontId="22" fillId="0" borderId="1" xfId="25" applyFont="1" applyBorder="1" applyAlignment="1">
      <alignment horizontal="right"/>
    </xf>
    <xf numFmtId="3" fontId="38" fillId="0" borderId="0" xfId="25" applyNumberFormat="1" applyAlignment="1">
      <alignment horizontal="right"/>
    </xf>
    <xf numFmtId="167" fontId="38" fillId="0" borderId="0" xfId="25" applyNumberFormat="1"/>
    <xf numFmtId="3" fontId="38" fillId="0" borderId="0" xfId="25" applyNumberFormat="1"/>
    <xf numFmtId="0" fontId="0" fillId="0" borderId="0" xfId="25" applyFont="1" applyAlignment="1"/>
    <xf numFmtId="3" fontId="38" fillId="0" borderId="0" xfId="25" applyNumberFormat="1" applyFont="1"/>
    <xf numFmtId="0" fontId="38" fillId="0" borderId="15" xfId="25" applyBorder="1"/>
    <xf numFmtId="0" fontId="22" fillId="0" borderId="15" xfId="25" applyFont="1" applyBorder="1"/>
    <xf numFmtId="3" fontId="22" fillId="0" borderId="15" xfId="25" applyNumberFormat="1" applyFont="1" applyBorder="1" applyAlignment="1">
      <alignment horizontal="right"/>
    </xf>
    <xf numFmtId="167" fontId="22" fillId="0" borderId="15" xfId="25" applyNumberFormat="1" applyFont="1" applyBorder="1"/>
    <xf numFmtId="168" fontId="38" fillId="0" borderId="0" xfId="25" applyNumberFormat="1"/>
    <xf numFmtId="0" fontId="38" fillId="0" borderId="0" xfId="25" applyFont="1"/>
    <xf numFmtId="0" fontId="10" fillId="0" borderId="0" xfId="25" applyFont="1"/>
    <xf numFmtId="0" fontId="20" fillId="0" borderId="0" xfId="20" applyFont="1"/>
    <xf numFmtId="0" fontId="10" fillId="0" borderId="0" xfId="20" applyFont="1"/>
    <xf numFmtId="0" fontId="5" fillId="0" borderId="0" xfId="20" applyFont="1"/>
    <xf numFmtId="0" fontId="22" fillId="0" borderId="19" xfId="20" applyFont="1" applyBorder="1" applyAlignment="1">
      <alignment horizontal="center"/>
    </xf>
    <xf numFmtId="0" fontId="10" fillId="0" borderId="26" xfId="20" applyFont="1" applyBorder="1" applyAlignment="1">
      <alignment horizontal="center"/>
    </xf>
    <xf numFmtId="3" fontId="10" fillId="0" borderId="25" xfId="19" applyNumberFormat="1" applyFont="1" applyBorder="1" applyAlignment="1"/>
    <xf numFmtId="3" fontId="10" fillId="0" borderId="0" xfId="19" applyNumberFormat="1" applyFont="1" applyBorder="1" applyAlignment="1"/>
    <xf numFmtId="3" fontId="10" fillId="0" borderId="0" xfId="19" applyNumberFormat="1" applyFont="1" applyFill="1" applyBorder="1" applyAlignment="1"/>
    <xf numFmtId="3" fontId="10" fillId="0" borderId="25" xfId="19" applyNumberFormat="1" applyFont="1" applyFill="1" applyBorder="1" applyAlignment="1"/>
    <xf numFmtId="3" fontId="10" fillId="0" borderId="0" xfId="20" applyNumberFormat="1" applyFont="1" applyBorder="1" applyAlignment="1"/>
    <xf numFmtId="0" fontId="10" fillId="0" borderId="26" xfId="20" applyFont="1" applyFill="1" applyBorder="1" applyAlignment="1">
      <alignment horizontal="center"/>
    </xf>
    <xf numFmtId="3" fontId="10" fillId="0" borderId="25" xfId="20" applyNumberFormat="1" applyFont="1" applyBorder="1" applyAlignment="1"/>
    <xf numFmtId="3" fontId="38" fillId="0" borderId="0" xfId="25" applyNumberFormat="1" applyBorder="1" applyAlignment="1"/>
    <xf numFmtId="3" fontId="38" fillId="0" borderId="25" xfId="25" applyNumberFormat="1" applyBorder="1" applyAlignment="1"/>
    <xf numFmtId="0" fontId="38" fillId="0" borderId="26" xfId="25" applyBorder="1" applyAlignment="1">
      <alignment horizontal="center"/>
    </xf>
    <xf numFmtId="0" fontId="5" fillId="0" borderId="0" xfId="25" applyFont="1" applyAlignment="1">
      <alignment horizontal="center"/>
    </xf>
    <xf numFmtId="0" fontId="21" fillId="0" borderId="0" xfId="21" applyFont="1" applyAlignment="1">
      <alignment horizontal="centerContinuous"/>
    </xf>
    <xf numFmtId="3" fontId="21" fillId="0" borderId="0" xfId="21" applyNumberFormat="1" applyFont="1" applyAlignment="1">
      <alignment horizontal="centerContinuous"/>
    </xf>
    <xf numFmtId="0" fontId="21" fillId="0" borderId="0" xfId="21" applyFont="1"/>
    <xf numFmtId="0" fontId="45" fillId="0" borderId="0" xfId="21" applyFont="1"/>
    <xf numFmtId="0" fontId="5" fillId="0" borderId="0" xfId="21" applyFont="1" applyAlignment="1">
      <alignment horizontal="left"/>
    </xf>
    <xf numFmtId="0" fontId="10" fillId="0" borderId="0" xfId="21" applyFont="1"/>
    <xf numFmtId="3" fontId="10" fillId="0" borderId="0" xfId="21" applyNumberFormat="1" applyFont="1"/>
    <xf numFmtId="0" fontId="10" fillId="0" borderId="16" xfId="21" applyFont="1" applyBorder="1"/>
    <xf numFmtId="0" fontId="22" fillId="0" borderId="6" xfId="21" applyFont="1" applyBorder="1" applyAlignment="1">
      <alignment horizontal="center" wrapText="1"/>
    </xf>
    <xf numFmtId="0" fontId="26" fillId="0" borderId="0" xfId="21" applyFont="1"/>
    <xf numFmtId="167" fontId="10" fillId="0" borderId="0" xfId="21" applyNumberFormat="1" applyFont="1" applyFill="1" applyBorder="1"/>
    <xf numFmtId="167" fontId="10" fillId="0" borderId="0" xfId="21" applyNumberFormat="1" applyFont="1" applyBorder="1"/>
    <xf numFmtId="3" fontId="10" fillId="0" borderId="0" xfId="21" applyNumberFormat="1" applyFont="1" applyBorder="1"/>
    <xf numFmtId="0" fontId="10" fillId="0" borderId="0" xfId="21" applyNumberFormat="1" applyFont="1" applyFill="1" applyBorder="1" applyAlignment="1">
      <alignment horizontal="left"/>
    </xf>
    <xf numFmtId="0" fontId="22" fillId="0" borderId="0" xfId="21" applyFont="1" applyBorder="1"/>
    <xf numFmtId="164" fontId="10" fillId="0" borderId="0" xfId="21" applyNumberFormat="1" applyFont="1" applyBorder="1"/>
    <xf numFmtId="3" fontId="22" fillId="0" borderId="15" xfId="21" applyNumberFormat="1" applyFont="1" applyBorder="1"/>
    <xf numFmtId="3" fontId="22" fillId="0" borderId="0" xfId="21" applyNumberFormat="1" applyFont="1" applyBorder="1"/>
    <xf numFmtId="167" fontId="22" fillId="0" borderId="0" xfId="5" applyNumberFormat="1" applyFont="1" applyBorder="1"/>
    <xf numFmtId="164" fontId="22" fillId="0" borderId="0" xfId="21" applyNumberFormat="1" applyFont="1" applyBorder="1"/>
    <xf numFmtId="167" fontId="22" fillId="0" borderId="0" xfId="21" applyNumberFormat="1" applyFont="1" applyBorder="1"/>
    <xf numFmtId="3" fontId="45" fillId="0" borderId="0" xfId="21" applyNumberFormat="1" applyFont="1"/>
    <xf numFmtId="10" fontId="49" fillId="0" borderId="0" xfId="36" applyNumberFormat="1" applyFont="1"/>
    <xf numFmtId="3" fontId="18" fillId="0" borderId="0" xfId="28" applyNumberFormat="1" applyFont="1" applyFill="1"/>
    <xf numFmtId="0" fontId="33" fillId="0" borderId="0" xfId="0" applyFont="1"/>
    <xf numFmtId="0" fontId="21" fillId="0" borderId="0" xfId="0" applyFont="1"/>
    <xf numFmtId="0" fontId="22" fillId="0" borderId="0" xfId="0" applyFont="1"/>
    <xf numFmtId="0" fontId="21" fillId="0" borderId="0" xfId="0" quotePrefix="1" applyFont="1" applyAlignment="1">
      <alignment horizontal="right"/>
    </xf>
    <xf numFmtId="0" fontId="21" fillId="0" borderId="0" xfId="0" applyFont="1" applyAlignment="1">
      <alignment horizontal="right"/>
    </xf>
    <xf numFmtId="3" fontId="3" fillId="0" borderId="0" xfId="8" applyNumberFormat="1" applyFont="1" applyFill="1" applyAlignment="1"/>
    <xf numFmtId="0" fontId="3" fillId="0" borderId="0" xfId="8" applyFont="1" applyFill="1"/>
    <xf numFmtId="10" fontId="3" fillId="0" borderId="0" xfId="8" applyNumberFormat="1" applyFont="1" applyFill="1" applyAlignment="1"/>
    <xf numFmtId="0" fontId="3" fillId="0" borderId="0" xfId="8" applyNumberFormat="1" applyFont="1" applyFill="1" applyAlignment="1"/>
    <xf numFmtId="0" fontId="3" fillId="0" borderId="0" xfId="8" applyNumberFormat="1" applyFont="1" applyAlignment="1"/>
    <xf numFmtId="0" fontId="4" fillId="0" borderId="0" xfId="8" applyNumberFormat="1" applyFont="1" applyAlignment="1"/>
    <xf numFmtId="0" fontId="5" fillId="0" borderId="0" xfId="8" applyNumberFormat="1" applyFont="1" applyFill="1" applyAlignment="1">
      <alignment horizontal="center"/>
    </xf>
    <xf numFmtId="0" fontId="8" fillId="0" borderId="0" xfId="8" applyNumberFormat="1" applyFont="1" applyFill="1" applyAlignment="1">
      <alignment horizontal="left"/>
    </xf>
    <xf numFmtId="10" fontId="5" fillId="0" borderId="0" xfId="8" applyNumberFormat="1" applyFont="1" applyFill="1" applyAlignment="1">
      <alignment horizontal="center"/>
    </xf>
    <xf numFmtId="3" fontId="8" fillId="0" borderId="0" xfId="8" applyNumberFormat="1" applyFont="1" applyFill="1" applyAlignment="1">
      <alignment horizontal="right"/>
    </xf>
    <xf numFmtId="3" fontId="9" fillId="0" borderId="0" xfId="8" applyNumberFormat="1" applyFont="1" applyFill="1" applyAlignment="1">
      <alignment horizontal="right"/>
    </xf>
    <xf numFmtId="0" fontId="9" fillId="0" borderId="0" xfId="8" applyNumberFormat="1" applyFont="1" applyFill="1" applyAlignment="1">
      <alignment horizontal="left"/>
    </xf>
    <xf numFmtId="164" fontId="3" fillId="0" borderId="0" xfId="8" applyNumberFormat="1" applyFont="1" applyFill="1" applyAlignment="1"/>
    <xf numFmtId="10" fontId="9" fillId="0" borderId="0" xfId="8" applyNumberFormat="1" applyFont="1" applyFill="1" applyAlignment="1">
      <alignment horizontal="right" vertical="center"/>
    </xf>
    <xf numFmtId="0" fontId="4" fillId="0" borderId="0" xfId="8" applyNumberFormat="1" applyFont="1" applyFill="1" applyAlignment="1"/>
    <xf numFmtId="10" fontId="4" fillId="0" borderId="0" xfId="8" applyNumberFormat="1" applyFont="1" applyFill="1" applyAlignment="1"/>
    <xf numFmtId="164" fontId="5" fillId="0" borderId="0" xfId="8" applyNumberFormat="1" applyFont="1" applyFill="1" applyAlignment="1"/>
    <xf numFmtId="0" fontId="5" fillId="0" borderId="0" xfId="8" applyFont="1" applyFill="1"/>
    <xf numFmtId="10" fontId="8" fillId="0" borderId="0" xfId="8" applyNumberFormat="1" applyFont="1" applyFill="1" applyAlignment="1">
      <alignment horizontal="right" vertical="center"/>
    </xf>
    <xf numFmtId="10" fontId="3" fillId="0" borderId="0" xfId="8" applyNumberFormat="1" applyFont="1" applyFill="1" applyAlignment="1">
      <alignment horizontal="right" vertical="center"/>
    </xf>
    <xf numFmtId="3" fontId="3" fillId="0" borderId="0" xfId="8" applyNumberFormat="1" applyFont="1" applyAlignment="1"/>
    <xf numFmtId="0" fontId="9" fillId="0" borderId="0" xfId="8" applyNumberFormat="1" applyFont="1" applyFill="1" applyBorder="1" applyAlignment="1">
      <alignment horizontal="left"/>
    </xf>
    <xf numFmtId="164" fontId="9" fillId="0" borderId="0" xfId="8" applyNumberFormat="1" applyFont="1" applyFill="1" applyBorder="1" applyAlignment="1">
      <alignment horizontal="right"/>
    </xf>
    <xf numFmtId="0" fontId="3" fillId="0" borderId="0" xfId="8" applyFont="1" applyFill="1" applyBorder="1"/>
    <xf numFmtId="10" fontId="3" fillId="0" borderId="0" xfId="8" applyNumberFormat="1" applyFont="1" applyFill="1" applyBorder="1" applyAlignment="1">
      <alignment horizontal="right" vertical="center"/>
    </xf>
    <xf numFmtId="0" fontId="8" fillId="0" borderId="15" xfId="8" applyNumberFormat="1" applyFont="1" applyFill="1" applyBorder="1" applyAlignment="1">
      <alignment horizontal="left"/>
    </xf>
    <xf numFmtId="164" fontId="5" fillId="0" borderId="15" xfId="8" applyNumberFormat="1" applyFont="1" applyFill="1" applyBorder="1" applyAlignment="1"/>
    <xf numFmtId="0" fontId="5" fillId="0" borderId="15" xfId="8" applyFont="1" applyFill="1" applyBorder="1"/>
    <xf numFmtId="10" fontId="8" fillId="0" borderId="15" xfId="8" applyNumberFormat="1" applyFont="1" applyFill="1" applyBorder="1" applyAlignment="1">
      <alignment horizontal="right" vertical="center"/>
    </xf>
    <xf numFmtId="0" fontId="3" fillId="0" borderId="0" xfId="8" applyNumberFormat="1" applyFont="1" applyFill="1" applyBorder="1"/>
    <xf numFmtId="0" fontId="4" fillId="0" borderId="0" xfId="8" applyNumberFormat="1" applyFont="1" applyFill="1" applyBorder="1" applyAlignment="1"/>
    <xf numFmtId="3" fontId="3" fillId="0" borderId="0" xfId="8" applyNumberFormat="1" applyFont="1" applyFill="1" applyBorder="1" applyAlignment="1"/>
    <xf numFmtId="0" fontId="10" fillId="0" borderId="0" xfId="8" applyNumberFormat="1" applyFont="1" applyFill="1" applyAlignment="1"/>
    <xf numFmtId="0" fontId="10" fillId="0" borderId="0" xfId="8" applyFont="1" applyFill="1"/>
    <xf numFmtId="3" fontId="10" fillId="0" borderId="0" xfId="8" applyNumberFormat="1" applyFont="1" applyFill="1" applyAlignment="1"/>
    <xf numFmtId="10" fontId="10" fillId="0" borderId="0" xfId="8" applyNumberFormat="1" applyFont="1" applyFill="1" applyAlignment="1"/>
    <xf numFmtId="0" fontId="10" fillId="0" borderId="0" xfId="8" applyNumberFormat="1" applyFont="1" applyFill="1" applyAlignment="1">
      <alignment vertical="center" wrapText="1"/>
    </xf>
    <xf numFmtId="10" fontId="3" fillId="0" borderId="0" xfId="8" applyNumberFormat="1" applyFont="1" applyAlignment="1"/>
    <xf numFmtId="3" fontId="10" fillId="0" borderId="0" xfId="22" applyNumberFormat="1" applyFont="1" applyFill="1" applyBorder="1" applyAlignment="1">
      <alignment horizontal="right" vertical="center"/>
    </xf>
    <xf numFmtId="3" fontId="10" fillId="0" borderId="0" xfId="35" applyNumberFormat="1" applyFont="1" applyFill="1" applyAlignment="1">
      <alignment horizontal="right"/>
    </xf>
    <xf numFmtId="0" fontId="10" fillId="0" borderId="0" xfId="35" applyNumberFormat="1" applyFont="1" applyFill="1" applyAlignment="1">
      <alignment horizontal="center"/>
    </xf>
    <xf numFmtId="167" fontId="10" fillId="0" borderId="0" xfId="35" applyNumberFormat="1" applyFill="1"/>
    <xf numFmtId="167" fontId="10" fillId="0" borderId="0" xfId="35" applyNumberFormat="1" applyFont="1" applyFill="1" applyAlignment="1">
      <alignment horizontal="right"/>
    </xf>
    <xf numFmtId="10" fontId="0" fillId="0" borderId="0" xfId="36" applyNumberFormat="1" applyFont="1"/>
    <xf numFmtId="171" fontId="2" fillId="0" borderId="0" xfId="13" applyNumberFormat="1"/>
    <xf numFmtId="169" fontId="10" fillId="0" borderId="0" xfId="36" applyNumberFormat="1" applyFont="1" applyProtection="1"/>
    <xf numFmtId="0" fontId="19" fillId="0" borderId="0" xfId="0" applyFont="1" applyAlignment="1">
      <alignment vertical="center"/>
    </xf>
    <xf numFmtId="169" fontId="10" fillId="0" borderId="8" xfId="14" applyNumberFormat="1" applyFont="1" applyFill="1" applyBorder="1" applyProtection="1"/>
    <xf numFmtId="3" fontId="2" fillId="0" borderId="0" xfId="11" applyNumberFormat="1" applyFont="1" applyFill="1"/>
    <xf numFmtId="164" fontId="2" fillId="0" borderId="1" xfId="11" applyNumberFormat="1" applyFont="1" applyFill="1" applyBorder="1" applyAlignment="1"/>
    <xf numFmtId="37" fontId="38" fillId="0" borderId="0" xfId="29" applyNumberFormat="1" applyFill="1"/>
    <xf numFmtId="3" fontId="10" fillId="0" borderId="0" xfId="11" applyNumberFormat="1" applyFont="1" applyFill="1"/>
    <xf numFmtId="3" fontId="2" fillId="0" borderId="0" xfId="11" applyNumberFormat="1" applyFont="1" applyFill="1" applyBorder="1"/>
    <xf numFmtId="3" fontId="38" fillId="0" borderId="0" xfId="25" applyNumberFormat="1" applyFill="1" applyAlignment="1">
      <alignment horizontal="right"/>
    </xf>
    <xf numFmtId="3" fontId="38" fillId="0" borderId="0" xfId="25" applyNumberFormat="1" applyFill="1"/>
    <xf numFmtId="167" fontId="2" fillId="0" borderId="0" xfId="34" applyNumberFormat="1" applyFont="1" applyFill="1"/>
    <xf numFmtId="167" fontId="2" fillId="0" borderId="0" xfId="11" applyNumberFormat="1" applyFont="1" applyFill="1"/>
    <xf numFmtId="3" fontId="10" fillId="4" borderId="0" xfId="38" applyNumberFormat="1" applyFont="1" applyFill="1"/>
    <xf numFmtId="169" fontId="10" fillId="4" borderId="0" xfId="36" applyNumberFormat="1" applyFont="1" applyFill="1"/>
    <xf numFmtId="167" fontId="10" fillId="4" borderId="0" xfId="38" applyNumberFormat="1" applyFont="1" applyFill="1"/>
    <xf numFmtId="0" fontId="2" fillId="4" borderId="0" xfId="32" applyFont="1" applyFill="1"/>
    <xf numFmtId="169" fontId="2" fillId="4" borderId="0" xfId="36" applyNumberFormat="1" applyFont="1" applyFill="1"/>
    <xf numFmtId="0" fontId="15" fillId="0" borderId="0" xfId="0" applyFont="1" applyFill="1"/>
    <xf numFmtId="0" fontId="21" fillId="0" borderId="0" xfId="0" applyFont="1" applyFill="1"/>
    <xf numFmtId="3" fontId="2" fillId="0" borderId="0" xfId="0" applyNumberFormat="1" applyFont="1"/>
    <xf numFmtId="0" fontId="10" fillId="4" borderId="0" xfId="33" applyFont="1" applyFill="1" applyBorder="1"/>
    <xf numFmtId="3" fontId="10" fillId="4" borderId="0" xfId="33" applyNumberFormat="1" applyFont="1" applyFill="1" applyBorder="1" applyAlignment="1"/>
    <xf numFmtId="0" fontId="2" fillId="0" borderId="0" xfId="14" applyFont="1" applyProtection="1"/>
    <xf numFmtId="0" fontId="20" fillId="0" borderId="0" xfId="84" applyFont="1" applyFill="1" applyAlignment="1"/>
    <xf numFmtId="0" fontId="18" fillId="0" borderId="0" xfId="84" applyFont="1" applyFill="1"/>
    <xf numFmtId="0" fontId="5" fillId="0" borderId="0" xfId="84" applyFont="1" applyFill="1" applyAlignment="1"/>
    <xf numFmtId="0" fontId="17" fillId="0" borderId="0" xfId="84" applyFill="1"/>
    <xf numFmtId="0" fontId="17" fillId="0" borderId="0" xfId="84" applyFill="1" applyAlignment="1">
      <alignment horizontal="center"/>
    </xf>
    <xf numFmtId="0" fontId="18" fillId="0" borderId="0" xfId="84" applyFont="1" applyFill="1" applyAlignment="1">
      <alignment wrapText="1"/>
    </xf>
    <xf numFmtId="0" fontId="17" fillId="0" borderId="0" xfId="84" applyFill="1" applyAlignment="1">
      <alignment wrapText="1"/>
    </xf>
    <xf numFmtId="0" fontId="17" fillId="0" borderId="0" xfId="84" applyFill="1" applyAlignment="1">
      <alignment horizontal="center" wrapText="1"/>
    </xf>
    <xf numFmtId="0" fontId="71" fillId="0" borderId="0" xfId="84" applyFont="1" applyFill="1" applyAlignment="1">
      <alignment horizontal="center"/>
    </xf>
    <xf numFmtId="0" fontId="71" fillId="0" borderId="0" xfId="84" applyFont="1" applyFill="1" applyAlignment="1">
      <alignment horizontal="right"/>
    </xf>
    <xf numFmtId="167" fontId="71" fillId="0" borderId="0" xfId="84" applyNumberFormat="1" applyFont="1" applyFill="1"/>
    <xf numFmtId="3" fontId="71" fillId="0" borderId="0" xfId="84" applyNumberFormat="1" applyFont="1" applyFill="1"/>
    <xf numFmtId="0" fontId="72" fillId="0" borderId="0" xfId="0" applyNumberFormat="1" applyFont="1" applyAlignment="1"/>
    <xf numFmtId="0" fontId="2" fillId="0" borderId="0" xfId="11" applyFont="1" applyFill="1"/>
    <xf numFmtId="0" fontId="2" fillId="0" borderId="0" xfId="11" applyFont="1" applyFill="1" applyBorder="1"/>
    <xf numFmtId="3" fontId="75" fillId="0" borderId="0" xfId="8" applyNumberFormat="1" applyFont="1" applyFill="1" applyAlignment="1"/>
    <xf numFmtId="0" fontId="75" fillId="0" borderId="0" xfId="8" applyFont="1" applyFill="1"/>
    <xf numFmtId="10" fontId="75" fillId="0" borderId="0" xfId="8" applyNumberFormat="1" applyFont="1" applyFill="1" applyAlignment="1">
      <alignment horizontal="right" vertical="center"/>
    </xf>
    <xf numFmtId="0" fontId="20" fillId="0" borderId="0" xfId="11" applyNumberFormat="1" applyFont="1" applyFill="1" applyAlignment="1"/>
    <xf numFmtId="0" fontId="21" fillId="0" borderId="0" xfId="11" applyNumberFormat="1" applyFont="1" applyFill="1" applyAlignment="1"/>
    <xf numFmtId="164" fontId="21" fillId="0" borderId="0" xfId="11" applyNumberFormat="1" applyFont="1" applyFill="1" applyAlignment="1"/>
    <xf numFmtId="0" fontId="5" fillId="0" borderId="0" xfId="11" applyNumberFormat="1" applyFont="1" applyFill="1" applyAlignment="1"/>
    <xf numFmtId="3" fontId="5" fillId="0" borderId="0" xfId="11" applyNumberFormat="1" applyFont="1" applyFill="1" applyAlignment="1"/>
    <xf numFmtId="0" fontId="21" fillId="0" borderId="0" xfId="11" applyNumberFormat="1" applyFont="1" applyFill="1" applyAlignment="1">
      <alignment horizontal="center"/>
    </xf>
    <xf numFmtId="0" fontId="15" fillId="0" borderId="6" xfId="11" applyNumberFormat="1" applyFont="1" applyFill="1" applyBorder="1" applyAlignment="1">
      <alignment horizontal="center"/>
    </xf>
    <xf numFmtId="164" fontId="15" fillId="0" borderId="6" xfId="11" applyNumberFormat="1" applyFont="1" applyFill="1" applyBorder="1" applyAlignment="1">
      <alignment horizontal="left"/>
    </xf>
    <xf numFmtId="164" fontId="15" fillId="0" borderId="6" xfId="11" applyNumberFormat="1" applyFont="1" applyFill="1" applyBorder="1" applyAlignment="1">
      <alignment horizontal="center"/>
    </xf>
    <xf numFmtId="0" fontId="2" fillId="0" borderId="0" xfId="11" applyNumberFormat="1" applyFont="1" applyFill="1" applyAlignment="1"/>
    <xf numFmtId="0" fontId="15" fillId="0" borderId="0" xfId="11" applyNumberFormat="1" applyFont="1" applyFill="1" applyAlignment="1">
      <alignment horizontal="center"/>
    </xf>
    <xf numFmtId="164" fontId="15" fillId="0" borderId="0" xfId="11" applyNumberFormat="1" applyFont="1" applyFill="1" applyAlignment="1">
      <alignment horizontal="center"/>
    </xf>
    <xf numFmtId="0" fontId="15" fillId="0" borderId="1" xfId="11" applyNumberFormat="1" applyFont="1" applyFill="1" applyBorder="1" applyAlignment="1">
      <alignment horizontal="center"/>
    </xf>
    <xf numFmtId="167" fontId="2" fillId="0" borderId="0" xfId="11" applyNumberFormat="1" applyFont="1" applyFill="1" applyAlignment="1"/>
    <xf numFmtId="3" fontId="2" fillId="0" borderId="0" xfId="34" applyNumberFormat="1" applyFont="1" applyFill="1"/>
    <xf numFmtId="3" fontId="2" fillId="0" borderId="0" xfId="34" applyNumberFormat="1" applyFont="1" applyFill="1" applyBorder="1"/>
    <xf numFmtId="0" fontId="20" fillId="0" borderId="0" xfId="11" applyNumberFormat="1" applyFont="1" applyFill="1" applyBorder="1" applyAlignment="1"/>
    <xf numFmtId="164" fontId="21" fillId="0" borderId="0" xfId="11" applyNumberFormat="1" applyFont="1" applyFill="1" applyBorder="1" applyAlignment="1"/>
    <xf numFmtId="164" fontId="44" fillId="0" borderId="0" xfId="11" applyNumberFormat="1" applyFont="1" applyFill="1" applyAlignment="1"/>
    <xf numFmtId="0" fontId="15" fillId="0" borderId="6" xfId="11" applyNumberFormat="1" applyFont="1" applyFill="1" applyBorder="1" applyAlignment="1"/>
    <xf numFmtId="0" fontId="21" fillId="0" borderId="0" xfId="11" applyFont="1" applyFill="1" applyBorder="1"/>
    <xf numFmtId="0" fontId="3" fillId="0" borderId="0" xfId="11" applyFill="1"/>
    <xf numFmtId="167" fontId="21" fillId="0" borderId="0" xfId="11" applyNumberFormat="1" applyFont="1" applyFill="1" applyAlignment="1"/>
    <xf numFmtId="0" fontId="15" fillId="0" borderId="15" xfId="11" applyNumberFormat="1" applyFont="1" applyFill="1" applyBorder="1" applyAlignment="1"/>
    <xf numFmtId="167" fontId="15" fillId="0" borderId="15" xfId="11" applyNumberFormat="1" applyFont="1" applyFill="1" applyBorder="1"/>
    <xf numFmtId="0" fontId="15" fillId="0" borderId="0" xfId="11" applyNumberFormat="1" applyFont="1" applyFill="1" applyAlignment="1"/>
    <xf numFmtId="0" fontId="15" fillId="0" borderId="0" xfId="11" applyNumberFormat="1" applyFont="1" applyFill="1" applyBorder="1" applyAlignment="1"/>
    <xf numFmtId="164" fontId="15" fillId="0" borderId="0" xfId="11" applyNumberFormat="1" applyFont="1" applyFill="1" applyBorder="1" applyAlignment="1"/>
    <xf numFmtId="0" fontId="2" fillId="0" borderId="0" xfId="11" applyNumberFormat="1" applyFont="1" applyFill="1" applyBorder="1" applyAlignment="1"/>
    <xf numFmtId="3" fontId="24" fillId="0" borderId="0" xfId="11" applyNumberFormat="1" applyFont="1" applyFill="1" applyBorder="1"/>
    <xf numFmtId="0" fontId="24" fillId="0" borderId="0" xfId="11" applyNumberFormat="1" applyFont="1" applyFill="1" applyAlignment="1"/>
    <xf numFmtId="3" fontId="21" fillId="0" borderId="0" xfId="11" applyNumberFormat="1" applyFont="1" applyFill="1" applyBorder="1"/>
    <xf numFmtId="3" fontId="21" fillId="0" borderId="0" xfId="11" applyNumberFormat="1" applyFont="1" applyFill="1"/>
    <xf numFmtId="164" fontId="2" fillId="0" borderId="0" xfId="11" applyNumberFormat="1" applyFont="1" applyFill="1" applyBorder="1" applyAlignment="1"/>
    <xf numFmtId="5" fontId="22" fillId="0" borderId="15" xfId="29" applyNumberFormat="1" applyFont="1" applyFill="1" applyBorder="1"/>
    <xf numFmtId="169" fontId="77" fillId="0" borderId="0" xfId="36" applyNumberFormat="1" applyFont="1" applyFill="1"/>
    <xf numFmtId="164" fontId="3" fillId="0" borderId="0" xfId="0" applyNumberFormat="1" applyFont="1" applyFill="1" applyAlignment="1">
      <alignment horizontal="right"/>
    </xf>
    <xf numFmtId="3" fontId="3" fillId="0" borderId="0" xfId="0" applyNumberFormat="1" applyFont="1" applyFill="1" applyAlignment="1">
      <alignment horizontal="right"/>
    </xf>
    <xf numFmtId="167" fontId="5" fillId="0" borderId="2" xfId="0" applyNumberFormat="1" applyFont="1" applyFill="1" applyBorder="1"/>
    <xf numFmtId="0" fontId="10" fillId="0" borderId="0" xfId="14" applyFont="1" applyFill="1" applyAlignment="1" applyProtection="1">
      <alignment horizontal="left"/>
    </xf>
    <xf numFmtId="167" fontId="10" fillId="0" borderId="0" xfId="19" applyNumberFormat="1" applyFont="1" applyBorder="1" applyAlignment="1"/>
    <xf numFmtId="167" fontId="7" fillId="0" borderId="0" xfId="26" applyNumberFormat="1" applyAlignment="1"/>
    <xf numFmtId="5" fontId="10" fillId="0" borderId="0" xfId="16" applyNumberFormat="1" applyFont="1" applyProtection="1"/>
    <xf numFmtId="167" fontId="2" fillId="0" borderId="0" xfId="0" applyNumberFormat="1" applyFont="1" applyFill="1" applyAlignment="1"/>
    <xf numFmtId="167" fontId="2" fillId="0" borderId="0" xfId="0" applyNumberFormat="1" applyFont="1" applyAlignment="1"/>
    <xf numFmtId="0" fontId="74" fillId="0" borderId="0" xfId="8" applyFont="1" applyFill="1"/>
    <xf numFmtId="0" fontId="79" fillId="0" borderId="0" xfId="0" applyFont="1"/>
    <xf numFmtId="3" fontId="78" fillId="0" borderId="0" xfId="0" applyNumberFormat="1" applyFont="1" applyAlignment="1"/>
    <xf numFmtId="164" fontId="75" fillId="0" borderId="0" xfId="8" applyNumberFormat="1" applyFont="1" applyFill="1" applyAlignment="1"/>
    <xf numFmtId="0" fontId="75" fillId="0" borderId="0" xfId="8" applyNumberFormat="1" applyFont="1" applyFill="1" applyAlignment="1"/>
    <xf numFmtId="0" fontId="80" fillId="0" borderId="0" xfId="8" applyNumberFormat="1" applyFont="1" applyFill="1" applyAlignment="1"/>
    <xf numFmtId="0" fontId="78" fillId="0" borderId="9" xfId="16" applyFont="1" applyBorder="1"/>
    <xf numFmtId="4" fontId="3" fillId="0" borderId="0" xfId="8" applyNumberFormat="1" applyFont="1" applyFill="1" applyAlignment="1"/>
    <xf numFmtId="0" fontId="81" fillId="0" borderId="0" xfId="14" applyFont="1" applyBorder="1" applyAlignment="1" applyProtection="1">
      <alignment horizontal="left"/>
    </xf>
    <xf numFmtId="5" fontId="10" fillId="0" borderId="0" xfId="16" applyNumberFormat="1" applyFont="1" applyAlignment="1" applyProtection="1">
      <alignment horizontal="right"/>
    </xf>
    <xf numFmtId="0" fontId="82" fillId="0" borderId="0" xfId="0" applyFont="1"/>
    <xf numFmtId="2" fontId="4" fillId="0" borderId="0" xfId="8" applyNumberFormat="1" applyFont="1" applyFill="1" applyBorder="1" applyAlignment="1"/>
    <xf numFmtId="3" fontId="72" fillId="0" borderId="0" xfId="22" applyNumberFormat="1" applyFont="1" applyFill="1" applyBorder="1" applyAlignment="1">
      <alignment horizontal="right" vertical="center"/>
    </xf>
    <xf numFmtId="0" fontId="2" fillId="0" borderId="0" xfId="0" applyFont="1" applyBorder="1"/>
    <xf numFmtId="0" fontId="49" fillId="0" borderId="0" xfId="0" applyNumberFormat="1" applyFont="1" applyAlignment="1"/>
    <xf numFmtId="0" fontId="80" fillId="0" borderId="0" xfId="0" applyNumberFormat="1" applyFont="1" applyAlignment="1"/>
    <xf numFmtId="3" fontId="72" fillId="0" borderId="0" xfId="11" applyNumberFormat="1" applyFont="1" applyFill="1"/>
    <xf numFmtId="0" fontId="76" fillId="0" borderId="0" xfId="11" applyNumberFormat="1" applyFont="1" applyFill="1" applyAlignment="1"/>
    <xf numFmtId="164" fontId="86" fillId="0" borderId="6" xfId="11" applyNumberFormat="1" applyFont="1" applyFill="1" applyBorder="1" applyAlignment="1">
      <alignment horizontal="center"/>
    </xf>
    <xf numFmtId="164" fontId="86" fillId="0" borderId="0" xfId="11" applyNumberFormat="1" applyFont="1" applyFill="1" applyAlignment="1">
      <alignment horizontal="center"/>
    </xf>
    <xf numFmtId="3" fontId="72" fillId="0" borderId="0" xfId="11" applyNumberFormat="1" applyFont="1" applyFill="1" applyBorder="1"/>
    <xf numFmtId="0" fontId="72" fillId="0" borderId="0" xfId="11" applyNumberFormat="1" applyFont="1" applyFill="1" applyBorder="1" applyAlignment="1"/>
    <xf numFmtId="3" fontId="88" fillId="0" borderId="0" xfId="11" applyNumberFormat="1" applyFont="1" applyFill="1" applyBorder="1"/>
    <xf numFmtId="3" fontId="76" fillId="0" borderId="0" xfId="11" applyNumberFormat="1" applyFont="1" applyFill="1" applyBorder="1"/>
    <xf numFmtId="3" fontId="76" fillId="0" borderId="0" xfId="11" applyNumberFormat="1" applyFont="1" applyFill="1"/>
    <xf numFmtId="37" fontId="15" fillId="0" borderId="7" xfId="14" applyNumberFormat="1" applyFont="1" applyBorder="1" applyAlignment="1" applyProtection="1">
      <alignment horizontal="right"/>
    </xf>
    <xf numFmtId="37" fontId="15" fillId="0" borderId="0" xfId="14" applyNumberFormat="1" applyFont="1" applyBorder="1" applyAlignment="1" applyProtection="1">
      <alignment horizontal="center"/>
    </xf>
    <xf numFmtId="39" fontId="15" fillId="0" borderId="0" xfId="14" applyNumberFormat="1" applyFont="1" applyBorder="1" applyAlignment="1" applyProtection="1">
      <alignment horizontal="right"/>
    </xf>
    <xf numFmtId="37" fontId="15" fillId="0" borderId="40" xfId="14" applyNumberFormat="1" applyFont="1" applyBorder="1" applyAlignment="1" applyProtection="1">
      <alignment horizontal="center"/>
    </xf>
    <xf numFmtId="37" fontId="15" fillId="0" borderId="0" xfId="14" applyNumberFormat="1" applyFont="1" applyBorder="1" applyAlignment="1" applyProtection="1">
      <alignment horizontal="right"/>
    </xf>
    <xf numFmtId="0" fontId="2" fillId="0" borderId="0" xfId="14" applyFont="1" applyFill="1" applyAlignment="1" applyProtection="1">
      <alignment horizontal="left"/>
    </xf>
    <xf numFmtId="39" fontId="15" fillId="0" borderId="45" xfId="14" applyNumberFormat="1" applyFont="1" applyBorder="1" applyAlignment="1" applyProtection="1">
      <alignment horizontal="right"/>
    </xf>
    <xf numFmtId="39" fontId="15" fillId="0" borderId="44" xfId="14" applyNumberFormat="1" applyFont="1" applyBorder="1" applyAlignment="1" applyProtection="1">
      <alignment horizontal="right"/>
    </xf>
    <xf numFmtId="39" fontId="15" fillId="0" borderId="7" xfId="14" applyNumberFormat="1" applyFont="1" applyBorder="1" applyAlignment="1" applyProtection="1">
      <alignment horizontal="right"/>
    </xf>
    <xf numFmtId="3" fontId="85" fillId="0" borderId="0" xfId="28" applyNumberFormat="1" applyFont="1" applyFill="1"/>
    <xf numFmtId="3" fontId="72" fillId="4" borderId="0" xfId="38" applyNumberFormat="1" applyFont="1" applyFill="1"/>
    <xf numFmtId="0" fontId="91" fillId="0" borderId="0" xfId="0" applyFont="1"/>
    <xf numFmtId="0" fontId="90" fillId="0" borderId="0" xfId="86" applyAlignment="1" applyProtection="1"/>
    <xf numFmtId="37" fontId="15" fillId="0" borderId="0" xfId="14" applyNumberFormat="1" applyFont="1" applyBorder="1" applyProtection="1"/>
    <xf numFmtId="37" fontId="2" fillId="0" borderId="0" xfId="14" applyNumberFormat="1" applyFont="1" applyProtection="1"/>
    <xf numFmtId="39" fontId="2" fillId="0" borderId="0" xfId="14" applyNumberFormat="1" applyFont="1" applyProtection="1"/>
    <xf numFmtId="179" fontId="38" fillId="0" borderId="0" xfId="41" applyNumberFormat="1" applyFont="1" applyAlignment="1">
      <alignment horizontal="right"/>
    </xf>
    <xf numFmtId="167" fontId="0" fillId="0" borderId="0" xfId="0" applyNumberFormat="1" applyAlignment="1"/>
    <xf numFmtId="39" fontId="15" fillId="0" borderId="6" xfId="14" applyNumberFormat="1" applyFont="1" applyBorder="1" applyAlignment="1" applyProtection="1">
      <alignment horizontal="center"/>
    </xf>
    <xf numFmtId="39" fontId="15" fillId="0" borderId="0" xfId="14" applyNumberFormat="1" applyFont="1" applyBorder="1" applyAlignment="1" applyProtection="1">
      <alignment horizontal="center"/>
    </xf>
    <xf numFmtId="39" fontId="15" fillId="0" borderId="7" xfId="14" applyNumberFormat="1" applyFont="1" applyBorder="1" applyAlignment="1" applyProtection="1">
      <alignment horizontal="center"/>
    </xf>
    <xf numFmtId="3" fontId="2" fillId="0" borderId="0" xfId="14" applyNumberFormat="1" applyFont="1" applyBorder="1" applyProtection="1"/>
    <xf numFmtId="167" fontId="2" fillId="0" borderId="0" xfId="14" applyNumberFormat="1" applyFont="1" applyBorder="1" applyProtection="1"/>
    <xf numFmtId="37" fontId="2" fillId="0" borderId="0" xfId="14" applyNumberFormat="1" applyFont="1" applyBorder="1" applyProtection="1"/>
    <xf numFmtId="10" fontId="2" fillId="0" borderId="44" xfId="36" applyNumberFormat="1" applyFont="1" applyBorder="1"/>
    <xf numFmtId="169" fontId="2" fillId="0" borderId="0" xfId="36" applyNumberFormat="1" applyFont="1"/>
    <xf numFmtId="3" fontId="2" fillId="0" borderId="40" xfId="14" applyNumberFormat="1" applyFont="1" applyBorder="1" applyProtection="1"/>
    <xf numFmtId="10" fontId="2" fillId="0" borderId="0" xfId="36" applyNumberFormat="1" applyFont="1" applyBorder="1"/>
    <xf numFmtId="169" fontId="2" fillId="0" borderId="44" xfId="14" applyNumberFormat="1" applyFont="1" applyBorder="1" applyProtection="1"/>
    <xf numFmtId="169" fontId="2" fillId="0" borderId="0" xfId="14" applyNumberFormat="1" applyFont="1" applyProtection="1"/>
    <xf numFmtId="37" fontId="2" fillId="0" borderId="40" xfId="14" applyNumberFormat="1" applyFont="1" applyBorder="1" applyProtection="1"/>
    <xf numFmtId="169" fontId="2" fillId="0" borderId="0" xfId="14" applyNumberFormat="1" applyFont="1" applyBorder="1" applyProtection="1"/>
    <xf numFmtId="3" fontId="2" fillId="0" borderId="8" xfId="14" applyNumberFormat="1" applyFont="1" applyBorder="1" applyProtection="1"/>
    <xf numFmtId="167" fontId="2" fillId="0" borderId="8" xfId="14" applyNumberFormat="1" applyFont="1" applyBorder="1" applyProtection="1"/>
    <xf numFmtId="10" fontId="2" fillId="0" borderId="46" xfId="14" applyNumberFormat="1" applyFont="1" applyBorder="1" applyProtection="1"/>
    <xf numFmtId="169" fontId="2" fillId="0" borderId="8" xfId="14" applyNumberFormat="1" applyFont="1" applyBorder="1" applyProtection="1"/>
    <xf numFmtId="3" fontId="2" fillId="0" borderId="42" xfId="14" applyNumberFormat="1" applyFont="1" applyBorder="1" applyProtection="1"/>
    <xf numFmtId="10" fontId="2" fillId="0" borderId="8" xfId="14" applyNumberFormat="1" applyFont="1" applyBorder="1" applyProtection="1"/>
    <xf numFmtId="1" fontId="2" fillId="0" borderId="0" xfId="14" applyNumberFormat="1" applyFont="1" applyBorder="1" applyProtection="1"/>
    <xf numFmtId="3" fontId="2" fillId="0" borderId="0" xfId="41" applyNumberFormat="1" applyFont="1" applyBorder="1" applyProtection="1"/>
    <xf numFmtId="10" fontId="2" fillId="0" borderId="0" xfId="14" applyNumberFormat="1" applyFont="1" applyProtection="1"/>
    <xf numFmtId="1" fontId="2" fillId="0" borderId="40" xfId="14" applyNumberFormat="1" applyFont="1" applyBorder="1" applyProtection="1"/>
    <xf numFmtId="10" fontId="2" fillId="0" borderId="44" xfId="14" applyNumberFormat="1" applyFont="1" applyBorder="1" applyProtection="1"/>
    <xf numFmtId="10" fontId="2" fillId="0" borderId="0" xfId="14" applyNumberFormat="1" applyFont="1" applyBorder="1" applyProtection="1"/>
    <xf numFmtId="37" fontId="38" fillId="0" borderId="49" xfId="29" applyNumberFormat="1" applyFont="1" applyFill="1" applyBorder="1" applyAlignment="1"/>
    <xf numFmtId="0" fontId="78" fillId="0" borderId="0" xfId="14" applyFont="1" applyProtection="1"/>
    <xf numFmtId="3" fontId="15" fillId="0" borderId="50" xfId="14" applyNumberFormat="1" applyFont="1" applyBorder="1" applyProtection="1"/>
    <xf numFmtId="167" fontId="15" fillId="0" borderId="50" xfId="14" applyNumberFormat="1" applyFont="1" applyBorder="1" applyProtection="1"/>
    <xf numFmtId="169" fontId="15" fillId="0" borderId="50" xfId="36" applyNumberFormat="1" applyFont="1" applyBorder="1" applyProtection="1"/>
    <xf numFmtId="9" fontId="15" fillId="0" borderId="51" xfId="14" applyNumberFormat="1" applyFont="1" applyBorder="1" applyProtection="1"/>
    <xf numFmtId="0" fontId="78" fillId="0" borderId="0" xfId="0" applyNumberFormat="1" applyFont="1" applyAlignment="1"/>
    <xf numFmtId="3" fontId="20" fillId="0" borderId="0" xfId="35" applyNumberFormat="1" applyFont="1" applyFill="1" applyAlignment="1"/>
    <xf numFmtId="0" fontId="10" fillId="0" borderId="0" xfId="35" applyNumberFormat="1" applyFont="1" applyFill="1" applyAlignment="1"/>
    <xf numFmtId="0" fontId="18" fillId="0" borderId="0" xfId="22" applyFont="1" applyFill="1"/>
    <xf numFmtId="0" fontId="18" fillId="0" borderId="16" xfId="22" applyFont="1" applyFill="1" applyBorder="1"/>
    <xf numFmtId="0" fontId="5" fillId="0" borderId="16" xfId="35" applyNumberFormat="1" applyFont="1" applyFill="1" applyBorder="1" applyAlignment="1"/>
    <xf numFmtId="0" fontId="5" fillId="0" borderId="16" xfId="35" applyNumberFormat="1" applyFont="1" applyFill="1" applyBorder="1" applyAlignment="1">
      <alignment horizontal="center"/>
    </xf>
    <xf numFmtId="0" fontId="5" fillId="0" borderId="0" xfId="35" applyNumberFormat="1" applyFont="1" applyFill="1" applyBorder="1" applyAlignment="1">
      <alignment horizontal="center"/>
    </xf>
    <xf numFmtId="0" fontId="5" fillId="0" borderId="0" xfId="35" applyNumberFormat="1" applyFont="1" applyFill="1" applyBorder="1" applyAlignment="1"/>
    <xf numFmtId="0" fontId="5" fillId="0" borderId="0" xfId="35" applyNumberFormat="1" applyFont="1" applyFill="1" applyAlignment="1">
      <alignment horizontal="center"/>
    </xf>
    <xf numFmtId="3" fontId="5" fillId="0" borderId="1" xfId="35" applyNumberFormat="1" applyFont="1" applyFill="1" applyBorder="1" applyAlignment="1">
      <alignment horizontal="center"/>
    </xf>
    <xf numFmtId="0" fontId="5" fillId="0" borderId="1" xfId="35" applyNumberFormat="1" applyFont="1" applyFill="1" applyBorder="1" applyAlignment="1">
      <alignment horizontal="center"/>
    </xf>
    <xf numFmtId="3" fontId="5" fillId="0" borderId="1" xfId="35" applyNumberFormat="1" applyFont="1" applyFill="1" applyBorder="1" applyAlignment="1">
      <alignment horizontal="right"/>
    </xf>
    <xf numFmtId="0" fontId="18" fillId="0" borderId="0" xfId="22" applyFont="1" applyFill="1" applyBorder="1"/>
    <xf numFmtId="0" fontId="5" fillId="0" borderId="0" xfId="35" applyNumberFormat="1" applyFont="1" applyFill="1" applyAlignment="1"/>
    <xf numFmtId="167" fontId="18" fillId="0" borderId="0" xfId="22" applyNumberFormat="1" applyFont="1" applyFill="1"/>
    <xf numFmtId="0" fontId="20" fillId="0" borderId="0" xfId="35" applyNumberFormat="1" applyFont="1" applyFill="1" applyAlignment="1"/>
    <xf numFmtId="0" fontId="84" fillId="0" borderId="0" xfId="22" applyFont="1" applyFill="1"/>
    <xf numFmtId="0" fontId="10" fillId="0" borderId="0" xfId="35" applyNumberFormat="1" applyFont="1" applyFill="1" applyAlignment="1">
      <alignment horizontal="right"/>
    </xf>
    <xf numFmtId="0" fontId="94" fillId="0" borderId="0" xfId="22" applyFont="1" applyFill="1"/>
    <xf numFmtId="0" fontId="10" fillId="0" borderId="0" xfId="35" applyFill="1"/>
    <xf numFmtId="0" fontId="85" fillId="0" borderId="0" xfId="22" applyFont="1" applyFill="1"/>
    <xf numFmtId="167" fontId="86" fillId="0" borderId="0" xfId="11" applyNumberFormat="1" applyFont="1" applyFill="1"/>
    <xf numFmtId="179" fontId="18" fillId="0" borderId="0" xfId="41" applyNumberFormat="1" applyFont="1" applyFill="1"/>
    <xf numFmtId="3" fontId="2" fillId="0" borderId="0" xfId="11" applyNumberFormat="1" applyFont="1" applyFill="1" applyAlignment="1"/>
    <xf numFmtId="3" fontId="72" fillId="0" borderId="0" xfId="11" applyNumberFormat="1" applyFont="1" applyFill="1" applyAlignment="1"/>
    <xf numFmtId="0" fontId="72" fillId="0" borderId="0" xfId="11" applyNumberFormat="1" applyFont="1" applyFill="1" applyAlignment="1"/>
    <xf numFmtId="3" fontId="72" fillId="0" borderId="0" xfId="11" applyNumberFormat="1" applyFont="1" applyFill="1" applyBorder="1" applyAlignment="1"/>
    <xf numFmtId="3" fontId="5" fillId="0" borderId="0" xfId="11" applyNumberFormat="1" applyFont="1" applyFill="1" applyBorder="1" applyAlignment="1"/>
    <xf numFmtId="3" fontId="2" fillId="0" borderId="0" xfId="11" applyNumberFormat="1" applyFont="1" applyFill="1" applyBorder="1" applyAlignment="1"/>
    <xf numFmtId="0" fontId="3" fillId="0" borderId="0" xfId="11" applyFill="1" applyBorder="1"/>
    <xf numFmtId="0" fontId="15" fillId="0" borderId="19" xfId="11" applyNumberFormat="1" applyFont="1" applyFill="1" applyBorder="1" applyAlignment="1"/>
    <xf numFmtId="0" fontId="15" fillId="0" borderId="20" xfId="11" applyNumberFormat="1" applyFont="1" applyFill="1" applyBorder="1" applyAlignment="1">
      <alignment horizontal="center"/>
    </xf>
    <xf numFmtId="3" fontId="15" fillId="0" borderId="20" xfId="11" applyNumberFormat="1" applyFont="1" applyFill="1" applyBorder="1" applyAlignment="1">
      <alignment horizontal="center"/>
    </xf>
    <xf numFmtId="0" fontId="15" fillId="0" borderId="13" xfId="11" applyNumberFormat="1" applyFont="1" applyFill="1" applyBorder="1" applyAlignment="1">
      <alignment horizontal="center"/>
    </xf>
    <xf numFmtId="3" fontId="15" fillId="0" borderId="13" xfId="11" applyNumberFormat="1" applyFont="1" applyFill="1" applyBorder="1" applyAlignment="1"/>
    <xf numFmtId="0" fontId="15" fillId="0" borderId="13" xfId="11" applyNumberFormat="1" applyFont="1" applyFill="1" applyBorder="1" applyAlignment="1"/>
    <xf numFmtId="3" fontId="15" fillId="0" borderId="21" xfId="11" applyNumberFormat="1" applyFont="1" applyFill="1" applyBorder="1" applyAlignment="1"/>
    <xf numFmtId="3" fontId="15" fillId="0" borderId="13" xfId="11" applyNumberFormat="1" applyFont="1" applyFill="1" applyBorder="1" applyAlignment="1">
      <alignment horizontal="center"/>
    </xf>
    <xf numFmtId="3" fontId="15" fillId="0" borderId="22" xfId="11" applyNumberFormat="1" applyFont="1" applyFill="1" applyBorder="1" applyAlignment="1">
      <alignment horizontal="center"/>
    </xf>
    <xf numFmtId="3" fontId="86" fillId="0" borderId="13" xfId="11" applyNumberFormat="1" applyFont="1" applyFill="1" applyBorder="1" applyAlignment="1">
      <alignment horizontal="center"/>
    </xf>
    <xf numFmtId="0" fontId="86" fillId="0" borderId="13" xfId="11" applyNumberFormat="1" applyFont="1" applyFill="1" applyBorder="1" applyAlignment="1">
      <alignment horizontal="center"/>
    </xf>
    <xf numFmtId="3" fontId="15" fillId="0" borderId="1" xfId="11" applyNumberFormat="1" applyFont="1" applyFill="1" applyBorder="1" applyAlignment="1">
      <alignment horizontal="center"/>
    </xf>
    <xf numFmtId="3" fontId="15" fillId="0" borderId="23" xfId="11" applyNumberFormat="1" applyFont="1" applyFill="1" applyBorder="1" applyAlignment="1">
      <alignment horizontal="center"/>
    </xf>
    <xf numFmtId="3" fontId="15" fillId="0" borderId="24" xfId="11" applyNumberFormat="1" applyFont="1" applyFill="1" applyBorder="1" applyAlignment="1">
      <alignment horizontal="center"/>
    </xf>
    <xf numFmtId="3" fontId="86" fillId="0" borderId="1" xfId="11" applyNumberFormat="1" applyFont="1" applyFill="1" applyBorder="1" applyAlignment="1">
      <alignment horizontal="center"/>
    </xf>
    <xf numFmtId="0" fontId="86" fillId="0" borderId="1" xfId="11" applyNumberFormat="1" applyFont="1" applyFill="1" applyBorder="1" applyAlignment="1">
      <alignment horizontal="center"/>
    </xf>
    <xf numFmtId="167" fontId="2" fillId="0" borderId="0" xfId="11" applyNumberFormat="1" applyFont="1" applyFill="1" applyBorder="1"/>
    <xf numFmtId="3" fontId="2" fillId="0" borderId="25" xfId="11" applyNumberFormat="1" applyFont="1" applyFill="1" applyBorder="1"/>
    <xf numFmtId="3" fontId="2" fillId="0" borderId="26" xfId="11" applyNumberFormat="1" applyFont="1" applyFill="1" applyBorder="1"/>
    <xf numFmtId="0" fontId="5" fillId="0" borderId="0" xfId="11" applyNumberFormat="1" applyFont="1" applyFill="1" applyBorder="1" applyAlignment="1"/>
    <xf numFmtId="3" fontId="43" fillId="0" borderId="0" xfId="11" applyNumberFormat="1" applyFont="1" applyFill="1" applyBorder="1" applyAlignment="1"/>
    <xf numFmtId="3" fontId="49" fillId="0" borderId="0" xfId="11" applyNumberFormat="1" applyFont="1" applyFill="1" applyBorder="1" applyAlignment="1"/>
    <xf numFmtId="0" fontId="15" fillId="0" borderId="0" xfId="11" applyNumberFormat="1" applyFont="1" applyFill="1" applyBorder="1" applyAlignment="1">
      <alignment horizontal="center"/>
    </xf>
    <xf numFmtId="3" fontId="15" fillId="0" borderId="0" xfId="11" applyNumberFormat="1" applyFont="1" applyFill="1" applyBorder="1" applyAlignment="1"/>
    <xf numFmtId="3" fontId="15" fillId="0" borderId="25" xfId="11" applyNumberFormat="1" applyFont="1" applyFill="1" applyBorder="1" applyAlignment="1"/>
    <xf numFmtId="3" fontId="15" fillId="0" borderId="0" xfId="11" applyNumberFormat="1" applyFont="1" applyFill="1" applyBorder="1" applyAlignment="1">
      <alignment horizontal="center"/>
    </xf>
    <xf numFmtId="3" fontId="15" fillId="0" borderId="26" xfId="11" applyNumberFormat="1" applyFont="1" applyFill="1" applyBorder="1" applyAlignment="1">
      <alignment horizontal="center"/>
    </xf>
    <xf numFmtId="3" fontId="86" fillId="0" borderId="0" xfId="11" applyNumberFormat="1" applyFont="1" applyFill="1" applyBorder="1" applyAlignment="1">
      <alignment horizontal="center"/>
    </xf>
    <xf numFmtId="3" fontId="72" fillId="0" borderId="0" xfId="11" applyNumberFormat="1" applyFont="1" applyFill="1" applyAlignment="1">
      <alignment horizontal="right"/>
    </xf>
    <xf numFmtId="3" fontId="72" fillId="0" borderId="25" xfId="11" applyNumberFormat="1" applyFont="1" applyFill="1" applyBorder="1"/>
    <xf numFmtId="3" fontId="72" fillId="0" borderId="26" xfId="11" applyNumberFormat="1" applyFont="1" applyFill="1" applyBorder="1"/>
    <xf numFmtId="3" fontId="2" fillId="0" borderId="1" xfId="11" applyNumberFormat="1" applyFont="1" applyFill="1" applyBorder="1"/>
    <xf numFmtId="3" fontId="2" fillId="0" borderId="23" xfId="11" applyNumberFormat="1" applyFont="1" applyFill="1" applyBorder="1"/>
    <xf numFmtId="3" fontId="2" fillId="0" borderId="24" xfId="11" applyNumberFormat="1" applyFont="1" applyFill="1" applyBorder="1"/>
    <xf numFmtId="3" fontId="72" fillId="0" borderId="1" xfId="11" applyNumberFormat="1" applyFont="1" applyFill="1" applyBorder="1"/>
    <xf numFmtId="3" fontId="15" fillId="0" borderId="15" xfId="11" applyNumberFormat="1" applyFont="1" applyFill="1" applyBorder="1"/>
    <xf numFmtId="167" fontId="15" fillId="0" borderId="27" xfId="11" applyNumberFormat="1" applyFont="1" applyFill="1" applyBorder="1"/>
    <xf numFmtId="3" fontId="15" fillId="0" borderId="28" xfId="11" applyNumberFormat="1" applyFont="1" applyFill="1" applyBorder="1"/>
    <xf numFmtId="3" fontId="15" fillId="0" borderId="27" xfId="11" applyNumberFormat="1" applyFont="1" applyFill="1" applyBorder="1"/>
    <xf numFmtId="3" fontId="86" fillId="0" borderId="15" xfId="11" applyNumberFormat="1" applyFont="1" applyFill="1" applyBorder="1"/>
    <xf numFmtId="0" fontId="2" fillId="0" borderId="1" xfId="11" applyNumberFormat="1" applyFont="1" applyFill="1" applyBorder="1" applyAlignment="1"/>
    <xf numFmtId="0" fontId="2" fillId="0" borderId="24" xfId="11" applyNumberFormat="1" applyFont="1" applyFill="1" applyBorder="1" applyAlignment="1"/>
    <xf numFmtId="0" fontId="2" fillId="0" borderId="23" xfId="11" applyNumberFormat="1" applyFont="1" applyFill="1" applyBorder="1" applyAlignment="1"/>
    <xf numFmtId="0" fontId="72" fillId="0" borderId="1" xfId="11" applyNumberFormat="1" applyFont="1" applyFill="1" applyBorder="1" applyAlignment="1"/>
    <xf numFmtId="3" fontId="72" fillId="0" borderId="1" xfId="11" applyNumberFormat="1" applyFont="1" applyFill="1" applyBorder="1" applyAlignment="1"/>
    <xf numFmtId="3" fontId="15" fillId="0" borderId="0" xfId="11" applyNumberFormat="1" applyFont="1" applyFill="1" applyBorder="1"/>
    <xf numFmtId="167" fontId="15" fillId="0" borderId="24" xfId="11" applyNumberFormat="1" applyFont="1" applyFill="1" applyBorder="1"/>
    <xf numFmtId="167" fontId="15" fillId="0" borderId="13" xfId="11" applyNumberFormat="1" applyFont="1" applyFill="1" applyBorder="1"/>
    <xf numFmtId="3" fontId="15" fillId="0" borderId="25" xfId="11" applyNumberFormat="1" applyFont="1" applyFill="1" applyBorder="1"/>
    <xf numFmtId="167" fontId="15" fillId="0" borderId="0" xfId="11" applyNumberFormat="1" applyFont="1" applyFill="1" applyBorder="1"/>
    <xf numFmtId="3" fontId="15" fillId="0" borderId="26" xfId="11" applyNumberFormat="1" applyFont="1" applyFill="1" applyBorder="1"/>
    <xf numFmtId="3" fontId="86" fillId="0" borderId="0" xfId="11" applyNumberFormat="1" applyFont="1" applyFill="1" applyBorder="1"/>
    <xf numFmtId="0" fontId="21" fillId="0" borderId="0" xfId="11" applyFont="1" applyFill="1"/>
    <xf numFmtId="0" fontId="75" fillId="0" borderId="0" xfId="11" applyFont="1" applyFill="1"/>
    <xf numFmtId="3" fontId="20" fillId="0" borderId="0" xfId="11" applyNumberFormat="1" applyFont="1" applyFill="1" applyAlignment="1"/>
    <xf numFmtId="3" fontId="10" fillId="0" borderId="0" xfId="11" applyNumberFormat="1" applyFont="1" applyFill="1" applyAlignment="1"/>
    <xf numFmtId="3" fontId="10" fillId="0" borderId="0" xfId="11" applyNumberFormat="1" applyFont="1" applyFill="1" applyBorder="1" applyAlignment="1"/>
    <xf numFmtId="3" fontId="22" fillId="0" borderId="16" xfId="11" applyNumberFormat="1" applyFont="1" applyFill="1" applyBorder="1" applyAlignment="1">
      <alignment horizontal="center"/>
    </xf>
    <xf numFmtId="3" fontId="22" fillId="0" borderId="1" xfId="11" applyNumberFormat="1" applyFont="1" applyFill="1" applyBorder="1" applyAlignment="1">
      <alignment horizontal="center"/>
    </xf>
    <xf numFmtId="167" fontId="10" fillId="0" borderId="0" xfId="11" applyNumberFormat="1" applyFont="1" applyFill="1"/>
    <xf numFmtId="3" fontId="10" fillId="0" borderId="0" xfId="11" applyNumberFormat="1" applyFont="1" applyFill="1" applyBorder="1"/>
    <xf numFmtId="3" fontId="20" fillId="0" borderId="0" xfId="11" applyNumberFormat="1" applyFont="1" applyFill="1" applyBorder="1" applyAlignment="1"/>
    <xf numFmtId="3" fontId="7" fillId="0" borderId="0" xfId="11" applyNumberFormat="1" applyFont="1" applyFill="1" applyBorder="1" applyAlignment="1"/>
    <xf numFmtId="0" fontId="7" fillId="0" borderId="0" xfId="11" applyFont="1" applyFill="1"/>
    <xf numFmtId="3" fontId="22" fillId="0" borderId="15" xfId="11" applyNumberFormat="1" applyFont="1" applyFill="1" applyBorder="1" applyAlignment="1"/>
    <xf numFmtId="167" fontId="22" fillId="0" borderId="15" xfId="11" applyNumberFormat="1" applyFont="1" applyFill="1" applyBorder="1"/>
    <xf numFmtId="3" fontId="10" fillId="0" borderId="1" xfId="11" applyNumberFormat="1" applyFont="1" applyFill="1" applyBorder="1" applyAlignment="1"/>
    <xf numFmtId="3" fontId="22" fillId="0" borderId="15" xfId="11" applyNumberFormat="1" applyFont="1" applyFill="1" applyBorder="1"/>
    <xf numFmtId="0" fontId="95" fillId="0" borderId="0" xfId="0" applyFont="1"/>
    <xf numFmtId="37" fontId="20" fillId="4" borderId="0" xfId="17" applyNumberFormat="1" applyFont="1" applyFill="1" applyAlignment="1" applyProtection="1">
      <alignment horizontal="left"/>
    </xf>
    <xf numFmtId="4" fontId="26" fillId="4" borderId="0" xfId="17" applyNumberFormat="1" applyFont="1" applyFill="1" applyProtection="1"/>
    <xf numFmtId="0" fontId="10" fillId="4" borderId="0" xfId="33" applyFont="1" applyFill="1"/>
    <xf numFmtId="37" fontId="5" fillId="4" borderId="0" xfId="17" applyNumberFormat="1" applyFont="1" applyFill="1" applyAlignment="1" applyProtection="1">
      <alignment horizontal="left"/>
    </xf>
    <xf numFmtId="37" fontId="82" fillId="4" borderId="0" xfId="17" applyNumberFormat="1" applyFont="1" applyFill="1" applyAlignment="1" applyProtection="1">
      <alignment horizontal="left"/>
    </xf>
    <xf numFmtId="0" fontId="10" fillId="4" borderId="16" xfId="33" applyFont="1" applyFill="1" applyBorder="1" applyAlignment="1">
      <alignment horizontal="center"/>
    </xf>
    <xf numFmtId="4" fontId="10" fillId="4" borderId="16" xfId="33" applyNumberFormat="1" applyFont="1" applyFill="1" applyBorder="1" applyAlignment="1">
      <alignment horizontal="center"/>
    </xf>
    <xf numFmtId="0" fontId="22" fillId="4" borderId="1" xfId="33" applyFont="1" applyFill="1" applyBorder="1" applyAlignment="1">
      <alignment horizontal="left"/>
    </xf>
    <xf numFmtId="4" fontId="22" fillId="4" borderId="1" xfId="33" applyNumberFormat="1" applyFont="1" applyFill="1" applyBorder="1" applyAlignment="1">
      <alignment horizontal="right"/>
    </xf>
    <xf numFmtId="167" fontId="10" fillId="4" borderId="0" xfId="33" applyNumberFormat="1" applyFont="1" applyFill="1" applyBorder="1" applyAlignment="1"/>
    <xf numFmtId="10" fontId="10" fillId="4" borderId="0" xfId="38" applyNumberFormat="1" applyFont="1" applyFill="1"/>
    <xf numFmtId="0" fontId="72" fillId="4" borderId="0" xfId="33" applyFont="1" applyFill="1" applyBorder="1"/>
    <xf numFmtId="5" fontId="22" fillId="4" borderId="8" xfId="17" applyNumberFormat="1" applyFont="1" applyFill="1" applyBorder="1" applyProtection="1"/>
    <xf numFmtId="167" fontId="22" fillId="4" borderId="8" xfId="17" applyNumberFormat="1" applyFont="1" applyFill="1" applyBorder="1" applyProtection="1"/>
    <xf numFmtId="5" fontId="22" fillId="4" borderId="0" xfId="17" applyNumberFormat="1" applyFont="1" applyFill="1" applyBorder="1" applyProtection="1"/>
    <xf numFmtId="3" fontId="10" fillId="4" borderId="0" xfId="33" applyNumberFormat="1" applyFont="1" applyFill="1" applyBorder="1"/>
    <xf numFmtId="0" fontId="10" fillId="4" borderId="13" xfId="33" applyFont="1" applyFill="1" applyBorder="1"/>
    <xf numFmtId="3" fontId="10" fillId="4" borderId="0" xfId="33" applyNumberFormat="1" applyFont="1" applyFill="1"/>
    <xf numFmtId="10" fontId="41" fillId="4" borderId="0" xfId="38" applyNumberFormat="1" applyFont="1" applyFill="1"/>
    <xf numFmtId="3" fontId="51" fillId="4" borderId="0" xfId="0" applyNumberFormat="1" applyFont="1" applyFill="1" applyBorder="1" applyAlignment="1">
      <alignment horizontal="right" vertical="center"/>
    </xf>
    <xf numFmtId="0" fontId="46" fillId="0" borderId="0" xfId="28" applyFont="1" applyFill="1"/>
    <xf numFmtId="0" fontId="18" fillId="0" borderId="0" xfId="28" applyFont="1" applyFill="1"/>
    <xf numFmtId="0" fontId="47" fillId="0" borderId="19" xfId="28" applyFont="1" applyFill="1" applyBorder="1"/>
    <xf numFmtId="0" fontId="47" fillId="0" borderId="19" xfId="28" applyFont="1" applyFill="1" applyBorder="1" applyAlignment="1">
      <alignment horizontal="center"/>
    </xf>
    <xf numFmtId="0" fontId="47" fillId="0" borderId="0" xfId="28" applyFont="1" applyFill="1" applyBorder="1"/>
    <xf numFmtId="0" fontId="47" fillId="0" borderId="0" xfId="28" applyFont="1" applyFill="1" applyBorder="1" applyAlignment="1">
      <alignment horizontal="center"/>
    </xf>
    <xf numFmtId="0" fontId="17" fillId="0" borderId="0" xfId="28" applyFill="1"/>
    <xf numFmtId="167" fontId="18" fillId="0" borderId="0" xfId="28" applyNumberFormat="1" applyFont="1" applyFill="1"/>
    <xf numFmtId="167" fontId="18" fillId="0" borderId="0" xfId="36" applyNumberFormat="1" applyFont="1" applyFill="1"/>
    <xf numFmtId="0" fontId="17" fillId="0" borderId="0" xfId="28" applyFill="1" applyAlignment="1">
      <alignment horizontal="left" indent="1"/>
    </xf>
    <xf numFmtId="0" fontId="47" fillId="0" borderId="15" xfId="28" applyFont="1" applyFill="1" applyBorder="1"/>
    <xf numFmtId="167" fontId="47" fillId="0" borderId="15" xfId="28" applyNumberFormat="1" applyFont="1" applyFill="1" applyBorder="1"/>
    <xf numFmtId="0" fontId="20" fillId="4" borderId="0" xfId="32" applyNumberFormat="1" applyFont="1" applyFill="1" applyAlignment="1"/>
    <xf numFmtId="0" fontId="12" fillId="4" borderId="0" xfId="32" applyNumberFormat="1" applyFont="1" applyFill="1" applyAlignment="1"/>
    <xf numFmtId="167" fontId="12" fillId="4" borderId="0" xfId="38" applyNumberFormat="1" applyFont="1" applyFill="1" applyAlignment="1"/>
    <xf numFmtId="170" fontId="5" fillId="4" borderId="0" xfId="32" applyNumberFormat="1" applyFont="1" applyFill="1" applyAlignment="1"/>
    <xf numFmtId="0" fontId="21" fillId="4" borderId="0" xfId="31" applyNumberFormat="1" applyFont="1" applyFill="1" applyAlignment="1">
      <alignment horizontal="left" wrapText="1"/>
    </xf>
    <xf numFmtId="167" fontId="10" fillId="4" borderId="0" xfId="38" applyNumberFormat="1" applyFont="1" applyFill="1" applyBorder="1"/>
    <xf numFmtId="0" fontId="10" fillId="4" borderId="0" xfId="32" applyFont="1" applyFill="1" applyBorder="1"/>
    <xf numFmtId="167" fontId="10" fillId="4" borderId="0" xfId="32" applyNumberFormat="1" applyFont="1" applyFill="1" applyBorder="1"/>
    <xf numFmtId="167" fontId="10" fillId="4" borderId="0" xfId="32" applyNumberFormat="1" applyFont="1" applyFill="1"/>
    <xf numFmtId="3" fontId="72" fillId="4" borderId="0" xfId="32" applyNumberFormat="1" applyFont="1" applyFill="1" applyBorder="1"/>
    <xf numFmtId="170" fontId="22" fillId="4" borderId="0" xfId="32" applyNumberFormat="1" applyFont="1" applyFill="1" applyAlignment="1">
      <alignment horizontal="left"/>
    </xf>
    <xf numFmtId="0" fontId="10" fillId="4" borderId="0" xfId="32" applyNumberFormat="1" applyFont="1" applyFill="1" applyAlignment="1"/>
    <xf numFmtId="177" fontId="42" fillId="4" borderId="0" xfId="31" applyFill="1"/>
    <xf numFmtId="3" fontId="10" fillId="4" borderId="1" xfId="32" applyNumberFormat="1" applyFont="1" applyFill="1" applyBorder="1"/>
    <xf numFmtId="3" fontId="22" fillId="4" borderId="15" xfId="32" applyNumberFormat="1" applyFont="1" applyFill="1" applyBorder="1" applyAlignment="1"/>
    <xf numFmtId="167" fontId="22" fillId="4" borderId="15" xfId="38" applyNumberFormat="1" applyFont="1" applyFill="1" applyBorder="1"/>
    <xf numFmtId="167" fontId="22" fillId="4" borderId="0" xfId="32" applyNumberFormat="1" applyFont="1" applyFill="1"/>
    <xf numFmtId="0" fontId="10" fillId="4" borderId="15" xfId="32" applyFont="1" applyFill="1" applyBorder="1"/>
    <xf numFmtId="167" fontId="22" fillId="4" borderId="0" xfId="38" applyNumberFormat="1" applyFont="1" applyFill="1"/>
    <xf numFmtId="3" fontId="2" fillId="0" borderId="0" xfId="25" applyNumberFormat="1" applyFont="1" applyFill="1" applyAlignment="1">
      <alignment horizontal="right"/>
    </xf>
    <xf numFmtId="3" fontId="2" fillId="0" borderId="0" xfId="25" applyNumberFormat="1" applyFont="1" applyFill="1"/>
    <xf numFmtId="0" fontId="15" fillId="0" borderId="49" xfId="0" applyFont="1" applyBorder="1" applyAlignment="1">
      <alignment horizontal="center" wrapText="1"/>
    </xf>
    <xf numFmtId="167" fontId="2" fillId="0" borderId="0" xfId="0" applyNumberFormat="1" applyFont="1" applyAlignment="1">
      <alignment horizontal="right"/>
    </xf>
    <xf numFmtId="0" fontId="2" fillId="0" borderId="0" xfId="16" applyNumberFormat="1" applyFont="1" applyAlignment="1" applyProtection="1">
      <alignment horizontal="center"/>
    </xf>
    <xf numFmtId="167" fontId="2" fillId="0" borderId="0" xfId="16" applyNumberFormat="1" applyFont="1" applyAlignment="1" applyProtection="1">
      <alignment horizontal="right"/>
    </xf>
    <xf numFmtId="169" fontId="96" fillId="0" borderId="0" xfId="36" applyNumberFormat="1" applyFont="1"/>
    <xf numFmtId="3" fontId="75" fillId="0" borderId="0" xfId="26" applyNumberFormat="1" applyFont="1"/>
    <xf numFmtId="0" fontId="50" fillId="0" borderId="0" xfId="8" applyFont="1" applyFill="1"/>
    <xf numFmtId="3" fontId="72" fillId="0" borderId="0" xfId="0" applyNumberFormat="1" applyFont="1" applyFill="1" applyBorder="1" applyAlignment="1"/>
    <xf numFmtId="3" fontId="2" fillId="0" borderId="0" xfId="16" applyNumberFormat="1" applyFont="1" applyAlignment="1" applyProtection="1">
      <alignment horizontal="right"/>
    </xf>
    <xf numFmtId="0" fontId="82" fillId="0" borderId="0" xfId="0" applyNumberFormat="1" applyFont="1" applyAlignment="1"/>
    <xf numFmtId="0" fontId="98" fillId="0" borderId="0" xfId="22" applyFont="1" applyFill="1"/>
    <xf numFmtId="0" fontId="99" fillId="0" borderId="0" xfId="0" applyFont="1"/>
    <xf numFmtId="0" fontId="20" fillId="0" borderId="0" xfId="0" applyFont="1" applyAlignment="1">
      <alignment vertical="center"/>
    </xf>
    <xf numFmtId="0" fontId="20" fillId="0" borderId="0" xfId="15" applyFont="1" applyFill="1" applyProtection="1"/>
    <xf numFmtId="0" fontId="20" fillId="0" borderId="0" xfId="14" applyFont="1" applyFill="1" applyProtection="1"/>
    <xf numFmtId="0" fontId="20" fillId="0" borderId="0" xfId="29" applyFont="1" applyFill="1"/>
    <xf numFmtId="3" fontId="75" fillId="0" borderId="0" xfId="12" applyNumberFormat="1" applyFont="1" applyFill="1" applyAlignment="1"/>
    <xf numFmtId="3" fontId="20" fillId="0" borderId="0" xfId="0" applyNumberFormat="1" applyFont="1" applyFill="1" applyAlignment="1"/>
    <xf numFmtId="0" fontId="20" fillId="0" borderId="0" xfId="0" applyNumberFormat="1" applyFont="1" applyFill="1" applyAlignment="1"/>
    <xf numFmtId="0" fontId="20" fillId="0" borderId="0" xfId="25" applyFont="1" applyFill="1" applyAlignment="1"/>
    <xf numFmtId="0" fontId="22" fillId="0" borderId="17" xfId="25" applyFont="1" applyFill="1" applyBorder="1" applyAlignment="1">
      <alignment horizontal="centerContinuous"/>
    </xf>
    <xf numFmtId="0" fontId="20" fillId="0" borderId="0" xfId="21" applyFont="1" applyFill="1" applyAlignment="1">
      <alignment horizontal="left"/>
    </xf>
    <xf numFmtId="0" fontId="20" fillId="0" borderId="0" xfId="16" applyFont="1" applyFill="1"/>
    <xf numFmtId="0" fontId="93" fillId="0" borderId="0" xfId="0" applyNumberFormat="1" applyFont="1" applyAlignment="1"/>
    <xf numFmtId="0" fontId="82" fillId="0" borderId="0" xfId="0" applyNumberFormat="1" applyFont="1" applyFill="1" applyBorder="1" applyAlignment="1"/>
    <xf numFmtId="37" fontId="101" fillId="0" borderId="0" xfId="14" applyNumberFormat="1" applyFont="1" applyBorder="1" applyProtection="1"/>
    <xf numFmtId="9" fontId="100" fillId="0" borderId="0" xfId="14" applyNumberFormat="1" applyFont="1" applyFill="1" applyBorder="1" applyProtection="1"/>
    <xf numFmtId="169" fontId="102" fillId="0" borderId="0" xfId="36" applyNumberFormat="1" applyFont="1"/>
    <xf numFmtId="0" fontId="15" fillId="0" borderId="0" xfId="0" applyFont="1"/>
    <xf numFmtId="0" fontId="38" fillId="0" borderId="0" xfId="29" applyFill="1"/>
    <xf numFmtId="0" fontId="5" fillId="0" borderId="0" xfId="29" applyFont="1" applyFill="1"/>
    <xf numFmtId="0" fontId="52" fillId="0" borderId="0" xfId="29" applyFont="1" applyFill="1"/>
    <xf numFmtId="37" fontId="10" fillId="0" borderId="0" xfId="18" applyNumberFormat="1" applyFont="1" applyFill="1" applyAlignment="1">
      <alignment horizontal="right"/>
    </xf>
    <xf numFmtId="5" fontId="10" fillId="0" borderId="0" xfId="18" applyNumberFormat="1" applyFont="1" applyFill="1"/>
    <xf numFmtId="37" fontId="10" fillId="0" borderId="0" xfId="18" applyNumberFormat="1" applyFont="1" applyFill="1"/>
    <xf numFmtId="0" fontId="22" fillId="0" borderId="15" xfId="29" applyFont="1" applyFill="1" applyBorder="1"/>
    <xf numFmtId="0" fontId="20" fillId="0" borderId="0" xfId="30" applyFont="1" applyFill="1" applyAlignment="1">
      <alignment horizontal="left"/>
    </xf>
    <xf numFmtId="0" fontId="22" fillId="0" borderId="0" xfId="30" applyFont="1" applyFill="1" applyAlignment="1">
      <alignment horizontal="centerContinuous"/>
    </xf>
    <xf numFmtId="0" fontId="38" fillId="0" borderId="0" xfId="30" applyFill="1"/>
    <xf numFmtId="0" fontId="5" fillId="0" borderId="0" xfId="30" applyFont="1" applyFill="1" applyAlignment="1">
      <alignment horizontal="left"/>
    </xf>
    <xf numFmtId="0" fontId="38" fillId="0" borderId="0" xfId="30" applyFill="1" applyAlignment="1">
      <alignment horizontal="centerContinuous"/>
    </xf>
    <xf numFmtId="0" fontId="38" fillId="0" borderId="0" xfId="30" applyFill="1" applyAlignment="1">
      <alignment horizontal="left"/>
    </xf>
    <xf numFmtId="0" fontId="22" fillId="0" borderId="0" xfId="30" applyFont="1" applyFill="1" applyBorder="1" applyAlignment="1">
      <alignment horizontal="center"/>
    </xf>
    <xf numFmtId="0" fontId="38" fillId="0" borderId="0" xfId="29" applyFill="1" applyBorder="1"/>
    <xf numFmtId="0" fontId="38" fillId="0" borderId="0" xfId="30" applyFill="1" applyAlignment="1">
      <alignment horizontal="center"/>
    </xf>
    <xf numFmtId="3" fontId="38" fillId="0" borderId="0" xfId="30" applyNumberFormat="1" applyFill="1"/>
    <xf numFmtId="170" fontId="5" fillId="4" borderId="0" xfId="32" applyNumberFormat="1" applyFont="1" applyFill="1" applyAlignment="1">
      <alignment horizontal="left"/>
    </xf>
    <xf numFmtId="10" fontId="3" fillId="0" borderId="0" xfId="0" applyNumberFormat="1" applyFont="1" applyFill="1" applyAlignment="1">
      <alignment horizontal="right"/>
    </xf>
    <xf numFmtId="10" fontId="3" fillId="0" borderId="1" xfId="0" applyNumberFormat="1" applyFont="1" applyFill="1" applyBorder="1" applyAlignment="1">
      <alignment horizontal="right"/>
    </xf>
    <xf numFmtId="0" fontId="0" fillId="0" borderId="2" xfId="0" applyFill="1" applyBorder="1"/>
    <xf numFmtId="10" fontId="5" fillId="0" borderId="0" xfId="0" applyNumberFormat="1" applyFont="1" applyFill="1" applyBorder="1" applyAlignment="1">
      <alignment horizontal="right"/>
    </xf>
    <xf numFmtId="164" fontId="3" fillId="0" borderId="0" xfId="0" applyNumberFormat="1" applyFont="1" applyFill="1" applyBorder="1" applyAlignment="1">
      <alignment horizontal="right"/>
    </xf>
    <xf numFmtId="10" fontId="3" fillId="0" borderId="3" xfId="0" applyNumberFormat="1" applyFont="1" applyFill="1" applyBorder="1" applyAlignment="1">
      <alignment horizontal="right"/>
    </xf>
    <xf numFmtId="10" fontId="3" fillId="0" borderId="4" xfId="0" applyNumberFormat="1" applyFont="1" applyFill="1" applyBorder="1" applyAlignment="1">
      <alignment horizontal="right"/>
    </xf>
    <xf numFmtId="10" fontId="75" fillId="0" borderId="0" xfId="0" applyNumberFormat="1" applyFont="1" applyFill="1" applyAlignment="1">
      <alignment horizontal="right"/>
    </xf>
    <xf numFmtId="3" fontId="72" fillId="4" borderId="48" xfId="38" applyNumberFormat="1" applyFont="1" applyFill="1" applyBorder="1"/>
    <xf numFmtId="0" fontId="2" fillId="0" borderId="0" xfId="29" applyFont="1" applyFill="1" applyBorder="1" applyAlignment="1">
      <alignment horizontal="left"/>
    </xf>
    <xf numFmtId="0" fontId="2" fillId="0" borderId="0" xfId="29" applyFont="1" applyFill="1" applyBorder="1" applyAlignment="1"/>
    <xf numFmtId="0" fontId="2" fillId="0" borderId="0" xfId="29" applyFont="1" applyFill="1"/>
    <xf numFmtId="0" fontId="2" fillId="0" borderId="0" xfId="0" applyNumberFormat="1" applyFont="1" applyFill="1" applyAlignment="1"/>
    <xf numFmtId="3" fontId="3" fillId="0" borderId="0" xfId="8" quotePrefix="1" applyNumberFormat="1" applyFont="1" applyFill="1" applyAlignment="1"/>
    <xf numFmtId="0" fontId="10" fillId="4" borderId="0" xfId="32" applyFont="1" applyFill="1" applyAlignment="1"/>
    <xf numFmtId="167" fontId="10" fillId="4" borderId="0" xfId="38" applyNumberFormat="1" applyFont="1" applyFill="1" applyAlignment="1"/>
    <xf numFmtId="0" fontId="3" fillId="0" borderId="0" xfId="0" applyFont="1"/>
    <xf numFmtId="0" fontId="72" fillId="0" borderId="0" xfId="29" applyFont="1" applyFill="1" applyBorder="1" applyAlignment="1"/>
    <xf numFmtId="37" fontId="72" fillId="0" borderId="0" xfId="14" applyNumberFormat="1" applyFont="1" applyBorder="1" applyProtection="1"/>
    <xf numFmtId="0" fontId="2" fillId="0" borderId="0" xfId="25" applyFont="1"/>
    <xf numFmtId="10" fontId="105" fillId="0" borderId="0" xfId="0" applyNumberFormat="1" applyFont="1" applyAlignment="1"/>
    <xf numFmtId="3" fontId="18" fillId="0" borderId="0" xfId="22" applyNumberFormat="1" applyFont="1" applyFill="1"/>
    <xf numFmtId="3" fontId="38" fillId="0" borderId="0" xfId="25" applyNumberFormat="1" applyFill="1" applyBorder="1" applyAlignment="1"/>
    <xf numFmtId="0" fontId="16" fillId="0" borderId="0" xfId="21" applyNumberFormat="1" applyFont="1" applyFill="1" applyBorder="1" applyAlignment="1">
      <alignment horizontal="left"/>
    </xf>
    <xf numFmtId="0" fontId="86" fillId="0" borderId="15" xfId="21" applyFont="1" applyBorder="1"/>
    <xf numFmtId="0" fontId="16" fillId="0" borderId="53" xfId="21" applyNumberFormat="1" applyFont="1" applyFill="1" applyBorder="1" applyAlignment="1">
      <alignment horizontal="left"/>
    </xf>
    <xf numFmtId="169" fontId="109" fillId="0" borderId="0" xfId="36" applyNumberFormat="1" applyFont="1"/>
    <xf numFmtId="0" fontId="110" fillId="0" borderId="0" xfId="0" applyFont="1"/>
    <xf numFmtId="169" fontId="104" fillId="0" borderId="0" xfId="36" applyNumberFormat="1" applyFont="1" applyFill="1" applyBorder="1" applyAlignment="1"/>
    <xf numFmtId="10" fontId="110" fillId="0" borderId="0" xfId="36" applyNumberFormat="1" applyFont="1"/>
    <xf numFmtId="0" fontId="110" fillId="0" borderId="0" xfId="16" applyNumberFormat="1" applyFont="1" applyAlignment="1" applyProtection="1">
      <alignment horizontal="center"/>
    </xf>
    <xf numFmtId="167" fontId="110" fillId="0" borderId="0" xfId="16" applyNumberFormat="1" applyFont="1" applyAlignment="1" applyProtection="1">
      <alignment horizontal="right"/>
    </xf>
    <xf numFmtId="3" fontId="110" fillId="0" borderId="0" xfId="0" applyNumberFormat="1" applyFont="1" applyBorder="1" applyAlignment="1"/>
    <xf numFmtId="0" fontId="110" fillId="0" borderId="0" xfId="29" applyFont="1" applyFill="1"/>
    <xf numFmtId="169" fontId="111" fillId="0" borderId="0" xfId="36" applyNumberFormat="1" applyFont="1" applyFill="1"/>
    <xf numFmtId="0" fontId="110" fillId="0" borderId="0" xfId="0" applyNumberFormat="1" applyFont="1" applyAlignment="1"/>
    <xf numFmtId="0" fontId="112" fillId="0" borderId="0" xfId="0" applyNumberFormat="1" applyFont="1" applyAlignment="1"/>
    <xf numFmtId="164" fontId="105" fillId="0" borderId="0" xfId="0" applyNumberFormat="1" applyFont="1" applyAlignment="1">
      <alignment horizontal="right"/>
    </xf>
    <xf numFmtId="168" fontId="110" fillId="0" borderId="0" xfId="0" applyNumberFormat="1" applyFont="1" applyAlignment="1">
      <alignment horizontal="right"/>
    </xf>
    <xf numFmtId="3" fontId="105" fillId="0" borderId="0" xfId="0" applyNumberFormat="1" applyFont="1" applyAlignment="1">
      <alignment horizontal="right"/>
    </xf>
    <xf numFmtId="0" fontId="110" fillId="0" borderId="0" xfId="0" applyFont="1" applyBorder="1"/>
    <xf numFmtId="168" fontId="112" fillId="0" borderId="0" xfId="0" applyNumberFormat="1" applyFont="1" applyAlignment="1"/>
    <xf numFmtId="168" fontId="110" fillId="0" borderId="0" xfId="0" applyNumberFormat="1" applyFont="1" applyAlignment="1"/>
    <xf numFmtId="10" fontId="110" fillId="0" borderId="0" xfId="36" applyNumberFormat="1" applyFont="1" applyAlignment="1"/>
    <xf numFmtId="164" fontId="112" fillId="0" borderId="0" xfId="0" applyNumberFormat="1" applyFont="1" applyAlignment="1"/>
    <xf numFmtId="3" fontId="112" fillId="0" borderId="0" xfId="0" applyNumberFormat="1" applyFont="1" applyAlignment="1"/>
    <xf numFmtId="0" fontId="113" fillId="2" borderId="0" xfId="0" applyNumberFormat="1" applyFont="1" applyFill="1" applyAlignment="1">
      <alignment horizontal="center"/>
    </xf>
    <xf numFmtId="0" fontId="113" fillId="0" borderId="0" xfId="0" applyNumberFormat="1" applyFont="1" applyAlignment="1">
      <alignment horizontal="center"/>
    </xf>
    <xf numFmtId="0" fontId="110" fillId="3" borderId="0" xfId="0" applyNumberFormat="1" applyFont="1" applyFill="1" applyAlignment="1">
      <alignment horizontal="left"/>
    </xf>
    <xf numFmtId="164" fontId="110" fillId="0" borderId="0" xfId="0" applyNumberFormat="1" applyFont="1" applyAlignment="1">
      <alignment horizontal="right"/>
    </xf>
    <xf numFmtId="0" fontId="114" fillId="0" borderId="0" xfId="0" applyNumberFormat="1" applyFont="1" applyAlignment="1"/>
    <xf numFmtId="172" fontId="114" fillId="0" borderId="0" xfId="0" applyNumberFormat="1" applyFont="1" applyAlignment="1"/>
    <xf numFmtId="169" fontId="49" fillId="0" borderId="0" xfId="36" applyNumberFormat="1" applyFont="1" applyAlignment="1"/>
    <xf numFmtId="169" fontId="49" fillId="0" borderId="0" xfId="0" applyNumberFormat="1" applyFont="1" applyAlignment="1"/>
    <xf numFmtId="0" fontId="9" fillId="0" borderId="0" xfId="21" applyNumberFormat="1" applyFont="1" applyFill="1" applyBorder="1" applyAlignment="1">
      <alignment horizontal="left"/>
    </xf>
    <xf numFmtId="0" fontId="108" fillId="0" borderId="0" xfId="21" applyFont="1" applyFill="1" applyAlignment="1">
      <alignment horizontal="left"/>
    </xf>
    <xf numFmtId="0" fontId="2" fillId="0" borderId="0" xfId="21" applyFont="1" applyFill="1" applyAlignment="1">
      <alignment horizontal="left"/>
    </xf>
    <xf numFmtId="167" fontId="3" fillId="0" borderId="0" xfId="12" applyNumberFormat="1" applyFont="1" applyFill="1" applyAlignment="1"/>
    <xf numFmtId="0" fontId="74" fillId="0" borderId="0" xfId="8" applyNumberFormat="1" applyFont="1" applyAlignment="1"/>
    <xf numFmtId="4" fontId="72" fillId="0" borderId="0" xfId="0" applyNumberFormat="1" applyFont="1" applyAlignment="1"/>
    <xf numFmtId="0" fontId="78" fillId="0" borderId="0" xfId="0" applyNumberFormat="1" applyFont="1" applyFill="1" applyAlignment="1"/>
    <xf numFmtId="0" fontId="92" fillId="0" borderId="0" xfId="0" applyNumberFormat="1" applyFont="1" applyAlignment="1"/>
    <xf numFmtId="0" fontId="21" fillId="0" borderId="0" xfId="0" applyFont="1" applyAlignment="1"/>
    <xf numFmtId="0" fontId="0" fillId="0" borderId="0" xfId="0" applyAlignment="1"/>
    <xf numFmtId="167" fontId="21" fillId="0" borderId="0" xfId="3" applyNumberFormat="1" applyFont="1" applyFill="1"/>
    <xf numFmtId="3" fontId="21" fillId="0" borderId="0" xfId="3" applyNumberFormat="1" applyFont="1" applyFill="1"/>
    <xf numFmtId="10" fontId="21" fillId="0" borderId="0" xfId="36" applyNumberFormat="1" applyFont="1" applyFill="1"/>
    <xf numFmtId="0" fontId="119" fillId="0" borderId="0" xfId="0" applyNumberFormat="1" applyFont="1" applyAlignment="1"/>
    <xf numFmtId="0" fontId="93" fillId="0" borderId="0" xfId="29" applyFont="1" applyFill="1"/>
    <xf numFmtId="0" fontId="2" fillId="0" borderId="0" xfId="25" applyFont="1" applyFill="1"/>
    <xf numFmtId="0" fontId="38" fillId="0" borderId="0" xfId="25" applyFill="1"/>
    <xf numFmtId="0" fontId="38" fillId="0" borderId="0" xfId="25" applyFill="1" applyAlignment="1">
      <alignment horizontal="right"/>
    </xf>
    <xf numFmtId="179" fontId="38" fillId="0" borderId="0" xfId="41" applyNumberFormat="1" applyFont="1" applyFill="1"/>
    <xf numFmtId="179" fontId="38" fillId="0" borderId="0" xfId="41" applyNumberFormat="1" applyFont="1" applyFill="1" applyAlignment="1">
      <alignment horizontal="right"/>
    </xf>
    <xf numFmtId="3" fontId="10" fillId="0" borderId="0" xfId="38" applyNumberFormat="1" applyFont="1" applyFill="1"/>
    <xf numFmtId="37" fontId="20" fillId="36" borderId="0" xfId="17" applyNumberFormat="1" applyFont="1" applyFill="1" applyAlignment="1" applyProtection="1">
      <alignment horizontal="left"/>
    </xf>
    <xf numFmtId="0" fontId="10" fillId="36" borderId="0" xfId="17" applyFont="1" applyFill="1" applyAlignment="1" applyProtection="1">
      <alignment horizontal="left"/>
    </xf>
    <xf numFmtId="37" fontId="26" fillId="36" borderId="0" xfId="17" applyNumberFormat="1" applyFont="1" applyFill="1" applyProtection="1"/>
    <xf numFmtId="0" fontId="26" fillId="36" borderId="0" xfId="17" applyFont="1" applyFill="1" applyProtection="1"/>
    <xf numFmtId="37" fontId="10" fillId="36" borderId="0" xfId="17" applyNumberFormat="1" applyFont="1" applyFill="1" applyAlignment="1" applyProtection="1">
      <alignment horizontal="centerContinuous"/>
    </xf>
    <xf numFmtId="37" fontId="15" fillId="36" borderId="0" xfId="17" applyNumberFormat="1" applyFont="1" applyFill="1" applyAlignment="1" applyProtection="1">
      <alignment horizontal="left"/>
    </xf>
    <xf numFmtId="37" fontId="79" fillId="36" borderId="0" xfId="17" applyNumberFormat="1" applyFont="1" applyFill="1" applyAlignment="1" applyProtection="1">
      <alignment horizontal="left"/>
    </xf>
    <xf numFmtId="5" fontId="30" fillId="36" borderId="6" xfId="17" applyNumberFormat="1" applyFont="1" applyFill="1" applyBorder="1" applyProtection="1"/>
    <xf numFmtId="37" fontId="97" fillId="36" borderId="6" xfId="17" applyNumberFormat="1" applyFont="1" applyFill="1" applyBorder="1" applyAlignment="1" applyProtection="1">
      <alignment horizontal="center"/>
    </xf>
    <xf numFmtId="37" fontId="30" fillId="36" borderId="6" xfId="17" applyNumberFormat="1" applyFont="1" applyFill="1" applyBorder="1" applyAlignment="1" applyProtection="1">
      <alignment horizontal="center"/>
    </xf>
    <xf numFmtId="0" fontId="30" fillId="36" borderId="0" xfId="17" applyFont="1" applyFill="1" applyBorder="1" applyProtection="1"/>
    <xf numFmtId="0" fontId="30" fillId="36" borderId="6" xfId="17" applyFont="1" applyFill="1" applyBorder="1" applyProtection="1"/>
    <xf numFmtId="5" fontId="30" fillId="36" borderId="7" xfId="17" applyNumberFormat="1" applyFont="1" applyFill="1" applyBorder="1" applyAlignment="1" applyProtection="1">
      <alignment horizontal="center"/>
    </xf>
    <xf numFmtId="37" fontId="97" fillId="36" borderId="7" xfId="17" applyNumberFormat="1" applyFont="1" applyFill="1" applyBorder="1" applyAlignment="1" applyProtection="1">
      <alignment horizontal="center"/>
    </xf>
    <xf numFmtId="37" fontId="30" fillId="36" borderId="7" xfId="17" applyNumberFormat="1" applyFont="1" applyFill="1" applyBorder="1" applyAlignment="1" applyProtection="1">
      <alignment horizontal="center"/>
    </xf>
    <xf numFmtId="5" fontId="30" fillId="36" borderId="7" xfId="17" applyNumberFormat="1" applyFont="1" applyFill="1" applyBorder="1" applyProtection="1"/>
    <xf numFmtId="5" fontId="31" fillId="36" borderId="0" xfId="17" applyNumberFormat="1" applyFont="1" applyFill="1" applyBorder="1" applyProtection="1"/>
    <xf numFmtId="5" fontId="89" fillId="36" borderId="0" xfId="17" applyNumberFormat="1" applyFont="1" applyFill="1" applyBorder="1" applyProtection="1"/>
    <xf numFmtId="10" fontId="32" fillId="36" borderId="0" xfId="38" applyNumberFormat="1" applyFont="1" applyFill="1" applyBorder="1" applyProtection="1"/>
    <xf numFmtId="0" fontId="31" fillId="36" borderId="0" xfId="17" applyFont="1" applyFill="1" applyBorder="1" applyProtection="1"/>
    <xf numFmtId="10" fontId="32" fillId="36" borderId="0" xfId="38" applyNumberFormat="1" applyFont="1" applyFill="1" applyProtection="1"/>
    <xf numFmtId="37" fontId="11" fillId="36" borderId="0" xfId="27" applyNumberFormat="1" applyFont="1" applyFill="1" applyBorder="1"/>
    <xf numFmtId="37" fontId="31" fillId="36" borderId="0" xfId="17" applyNumberFormat="1" applyFont="1" applyFill="1" applyBorder="1" applyProtection="1"/>
    <xf numFmtId="5" fontId="31" fillId="36" borderId="1" xfId="17" applyNumberFormat="1" applyFont="1" applyFill="1" applyBorder="1" applyProtection="1"/>
    <xf numFmtId="37" fontId="31" fillId="36" borderId="49" xfId="17" applyNumberFormat="1" applyFont="1" applyFill="1" applyBorder="1" applyProtection="1"/>
    <xf numFmtId="0" fontId="31" fillId="36" borderId="1" xfId="17" applyFont="1" applyFill="1" applyBorder="1" applyProtection="1"/>
    <xf numFmtId="4" fontId="10" fillId="36" borderId="0" xfId="27" applyNumberFormat="1" applyFill="1"/>
    <xf numFmtId="37" fontId="31" fillId="36" borderId="0" xfId="17" applyNumberFormat="1" applyFont="1" applyFill="1" applyProtection="1"/>
    <xf numFmtId="0" fontId="31" fillId="36" borderId="0" xfId="17" applyFont="1" applyFill="1" applyProtection="1"/>
    <xf numFmtId="37" fontId="10" fillId="36" borderId="0" xfId="17" applyNumberFormat="1" applyFont="1" applyFill="1" applyProtection="1"/>
    <xf numFmtId="0" fontId="10" fillId="36" borderId="0" xfId="17" applyFont="1" applyFill="1" applyProtection="1"/>
    <xf numFmtId="5" fontId="31" fillId="36" borderId="6" xfId="17" applyNumberFormat="1" applyFont="1" applyFill="1" applyBorder="1" applyProtection="1"/>
    <xf numFmtId="0" fontId="31" fillId="36" borderId="6" xfId="17" applyFont="1" applyFill="1" applyBorder="1" applyProtection="1"/>
    <xf numFmtId="5" fontId="30" fillId="36" borderId="8" xfId="17" applyNumberFormat="1" applyFont="1" applyFill="1" applyBorder="1" applyProtection="1"/>
    <xf numFmtId="0" fontId="30" fillId="36" borderId="8" xfId="17" applyFont="1" applyFill="1" applyBorder="1" applyProtection="1"/>
    <xf numFmtId="0" fontId="79" fillId="36" borderId="0" xfId="17" applyFont="1" applyFill="1" applyProtection="1"/>
    <xf numFmtId="0" fontId="21" fillId="36" borderId="0" xfId="10" applyFont="1" applyFill="1"/>
    <xf numFmtId="0" fontId="103" fillId="36" borderId="0" xfId="10" applyFont="1" applyFill="1"/>
    <xf numFmtId="37" fontId="11" fillId="36" borderId="0" xfId="17" applyNumberFormat="1" applyFont="1" applyFill="1" applyProtection="1"/>
    <xf numFmtId="0" fontId="103" fillId="36" borderId="0" xfId="10" applyFont="1" applyFill="1" applyBorder="1" applyAlignment="1"/>
    <xf numFmtId="0" fontId="0" fillId="36" borderId="0" xfId="0" applyFill="1" applyAlignment="1"/>
    <xf numFmtId="0" fontId="21" fillId="36" borderId="0" xfId="10" applyFont="1" applyFill="1" applyBorder="1" applyAlignment="1"/>
    <xf numFmtId="3" fontId="2" fillId="0" borderId="0" xfId="0" applyNumberFormat="1" applyFont="1" applyAlignment="1">
      <alignment horizontal="right"/>
    </xf>
    <xf numFmtId="10" fontId="121" fillId="0" borderId="0" xfId="0" applyNumberFormat="1" applyFont="1" applyAlignment="1"/>
    <xf numFmtId="10" fontId="123" fillId="0" borderId="0" xfId="0" applyNumberFormat="1" applyFont="1" applyAlignment="1"/>
    <xf numFmtId="10" fontId="96" fillId="0" borderId="0" xfId="0" applyNumberFormat="1" applyFont="1" applyAlignment="1"/>
    <xf numFmtId="169" fontId="96" fillId="0" borderId="0" xfId="0" applyNumberFormat="1" applyFont="1" applyAlignment="1">
      <alignment horizontal="right"/>
    </xf>
    <xf numFmtId="169" fontId="96" fillId="0" borderId="0" xfId="0" applyNumberFormat="1" applyFont="1" applyBorder="1" applyAlignment="1">
      <alignment horizontal="right"/>
    </xf>
    <xf numFmtId="0" fontId="93" fillId="0" borderId="0" xfId="0" applyNumberFormat="1" applyFont="1" applyFill="1" applyBorder="1" applyAlignment="1">
      <alignment vertical="center"/>
    </xf>
    <xf numFmtId="0" fontId="15" fillId="0" borderId="49" xfId="11" applyNumberFormat="1" applyFont="1" applyFill="1" applyBorder="1" applyAlignment="1">
      <alignment horizontal="center"/>
    </xf>
    <xf numFmtId="169" fontId="121" fillId="0" borderId="0" xfId="36" applyNumberFormat="1" applyFont="1"/>
    <xf numFmtId="10" fontId="102" fillId="0" borderId="0" xfId="0" applyNumberFormat="1" applyFont="1" applyFill="1" applyAlignment="1"/>
    <xf numFmtId="9" fontId="49" fillId="0" borderId="0" xfId="36" applyFont="1" applyAlignment="1"/>
    <xf numFmtId="0" fontId="49" fillId="0" borderId="0" xfId="0" applyNumberFormat="1" applyFont="1" applyFill="1" applyAlignment="1"/>
    <xf numFmtId="169" fontId="124" fillId="0" borderId="0" xfId="36" applyNumberFormat="1" applyFont="1" applyFill="1"/>
    <xf numFmtId="167" fontId="38" fillId="0" borderId="0" xfId="25" applyNumberFormat="1" applyFill="1"/>
    <xf numFmtId="3" fontId="38" fillId="0" borderId="0" xfId="25" applyNumberFormat="1" applyFont="1" applyFill="1"/>
    <xf numFmtId="10" fontId="75" fillId="0" borderId="1" xfId="0" applyNumberFormat="1" applyFont="1" applyFill="1" applyBorder="1" applyAlignment="1">
      <alignment horizontal="right"/>
    </xf>
    <xf numFmtId="10" fontId="73" fillId="0" borderId="0" xfId="0" applyNumberFormat="1" applyFont="1" applyFill="1" applyBorder="1" applyAlignment="1">
      <alignment horizontal="right"/>
    </xf>
    <xf numFmtId="10" fontId="5" fillId="0" borderId="5" xfId="0" applyNumberFormat="1" applyFont="1" applyFill="1" applyBorder="1" applyAlignment="1">
      <alignment horizontal="right"/>
    </xf>
    <xf numFmtId="3" fontId="5" fillId="0" borderId="0" xfId="35" applyNumberFormat="1" applyFont="1" applyFill="1" applyAlignment="1"/>
    <xf numFmtId="37" fontId="31" fillId="0" borderId="0" xfId="17" applyNumberFormat="1" applyFont="1" applyFill="1" applyBorder="1" applyProtection="1"/>
    <xf numFmtId="0" fontId="2" fillId="0" borderId="0" xfId="0" applyFont="1" applyAlignment="1">
      <alignment wrapText="1"/>
    </xf>
    <xf numFmtId="37" fontId="31" fillId="4" borderId="0" xfId="17" applyNumberFormat="1" applyFont="1" applyFill="1" applyBorder="1" applyProtection="1"/>
    <xf numFmtId="0" fontId="2" fillId="4" borderId="0" xfId="33" applyFont="1" applyFill="1" applyBorder="1"/>
    <xf numFmtId="0" fontId="70" fillId="0" borderId="0" xfId="8" applyNumberFormat="1" applyFont="1" applyFill="1" applyAlignment="1">
      <alignment horizontal="left"/>
    </xf>
    <xf numFmtId="169" fontId="49" fillId="0" borderId="0" xfId="36" applyNumberFormat="1" applyFont="1" applyFill="1" applyBorder="1" applyAlignment="1">
      <alignment vertical="center"/>
    </xf>
    <xf numFmtId="10" fontId="84" fillId="0" borderId="0" xfId="38" applyNumberFormat="1" applyFont="1" applyFill="1"/>
    <xf numFmtId="10" fontId="84" fillId="0" borderId="0" xfId="22" applyNumberFormat="1" applyFont="1" applyFill="1"/>
    <xf numFmtId="169" fontId="126" fillId="0" borderId="0" xfId="36" applyNumberFormat="1" applyFont="1"/>
    <xf numFmtId="37" fontId="22" fillId="0" borderId="0" xfId="14" applyNumberFormat="1" applyFont="1" applyFill="1" applyBorder="1" applyAlignment="1" applyProtection="1">
      <alignment horizontal="right"/>
    </xf>
    <xf numFmtId="167" fontId="10" fillId="0" borderId="0" xfId="14" applyNumberFormat="1" applyFont="1" applyFill="1" applyAlignment="1" applyProtection="1">
      <alignment horizontal="right"/>
    </xf>
    <xf numFmtId="3" fontId="10" fillId="0" borderId="0" xfId="14" applyNumberFormat="1" applyFont="1" applyFill="1" applyAlignment="1" applyProtection="1">
      <alignment horizontal="right"/>
    </xf>
    <xf numFmtId="37" fontId="10" fillId="0" borderId="0" xfId="14" applyNumberFormat="1" applyFont="1" applyFill="1" applyProtection="1"/>
    <xf numFmtId="167" fontId="10" fillId="0" borderId="8" xfId="14" applyNumberFormat="1" applyFont="1" applyFill="1" applyBorder="1" applyProtection="1"/>
    <xf numFmtId="5" fontId="10" fillId="0" borderId="0" xfId="14" applyNumberFormat="1" applyFont="1" applyFill="1" applyBorder="1" applyProtection="1"/>
    <xf numFmtId="3" fontId="10" fillId="0" borderId="0" xfId="14" applyNumberFormat="1" applyFont="1" applyFill="1" applyProtection="1"/>
    <xf numFmtId="167" fontId="22" fillId="0" borderId="8" xfId="14" applyNumberFormat="1" applyFont="1" applyFill="1" applyBorder="1" applyProtection="1"/>
    <xf numFmtId="0" fontId="50" fillId="0" borderId="0" xfId="16" applyFont="1" applyAlignment="1" applyProtection="1">
      <alignment horizontal="center"/>
    </xf>
    <xf numFmtId="169" fontId="127" fillId="0" borderId="0" xfId="36" applyNumberFormat="1" applyFont="1" applyProtection="1"/>
    <xf numFmtId="0" fontId="50" fillId="0" borderId="0" xfId="16" applyFont="1"/>
    <xf numFmtId="3" fontId="0" fillId="0" borderId="0" xfId="0" applyNumberFormat="1"/>
    <xf numFmtId="3" fontId="5" fillId="0" borderId="0" xfId="35" applyNumberFormat="1" applyFont="1" applyFill="1" applyAlignment="1"/>
    <xf numFmtId="0" fontId="10" fillId="0" borderId="0" xfId="8" applyNumberFormat="1" applyFont="1" applyFill="1" applyAlignment="1">
      <alignment horizontal="left" vertical="center"/>
    </xf>
    <xf numFmtId="4" fontId="2" fillId="0" borderId="0" xfId="0" applyNumberFormat="1" applyFont="1" applyAlignment="1"/>
    <xf numFmtId="0" fontId="128" fillId="0" borderId="0" xfId="0" applyNumberFormat="1" applyFont="1" applyAlignment="1"/>
    <xf numFmtId="0" fontId="93" fillId="0" borderId="0" xfId="0" applyNumberFormat="1" applyFont="1" applyAlignment="1">
      <alignment horizontal="center"/>
    </xf>
    <xf numFmtId="0" fontId="128" fillId="0" borderId="0" xfId="0" applyFont="1" applyBorder="1" applyAlignment="1">
      <alignment horizontal="center"/>
    </xf>
    <xf numFmtId="167" fontId="2" fillId="0" borderId="0" xfId="22" applyNumberFormat="1" applyFont="1" applyFill="1" applyBorder="1" applyAlignment="1">
      <alignment horizontal="right" vertical="center"/>
    </xf>
    <xf numFmtId="3" fontId="2" fillId="0" borderId="0" xfId="22" applyNumberFormat="1" applyFont="1" applyFill="1" applyBorder="1" applyAlignment="1">
      <alignment horizontal="right" vertical="center"/>
    </xf>
    <xf numFmtId="0" fontId="5" fillId="0" borderId="15" xfId="35" applyNumberFormat="1" applyFont="1" applyFill="1" applyBorder="1" applyAlignment="1">
      <alignment horizontal="centerContinuous" wrapText="1"/>
    </xf>
    <xf numFmtId="0" fontId="5" fillId="0" borderId="15" xfId="35" applyNumberFormat="1" applyFont="1" applyFill="1" applyBorder="1" applyAlignment="1">
      <alignment horizontal="centerContinuous"/>
    </xf>
    <xf numFmtId="0" fontId="5" fillId="0" borderId="15" xfId="35" applyNumberFormat="1" applyFont="1" applyFill="1" applyBorder="1" applyAlignment="1">
      <alignment horizontal="right" wrapText="1"/>
    </xf>
    <xf numFmtId="3" fontId="10" fillId="0" borderId="0" xfId="22" applyNumberFormat="1" applyFont="1" applyFill="1" applyBorder="1" applyAlignment="1">
      <alignment horizontal="right"/>
    </xf>
    <xf numFmtId="0" fontId="10" fillId="0" borderId="0" xfId="35" applyNumberFormat="1" applyFont="1" applyFill="1" applyAlignment="1">
      <alignment horizontal="center" vertical="top"/>
    </xf>
    <xf numFmtId="3" fontId="72" fillId="0" borderId="0" xfId="22" applyNumberFormat="1" applyFont="1" applyFill="1" applyBorder="1" applyAlignment="1">
      <alignment horizontal="right" vertical="top"/>
    </xf>
    <xf numFmtId="164" fontId="15" fillId="0" borderId="49" xfId="11" applyNumberFormat="1" applyFont="1" applyFill="1" applyBorder="1" applyAlignment="1">
      <alignment horizontal="center"/>
    </xf>
    <xf numFmtId="164" fontId="86" fillId="0" borderId="49" xfId="11" applyNumberFormat="1" applyFont="1" applyFill="1" applyBorder="1" applyAlignment="1">
      <alignment horizontal="center"/>
    </xf>
    <xf numFmtId="0" fontId="76" fillId="0" borderId="0" xfId="11" applyFont="1" applyFill="1" applyBorder="1"/>
    <xf numFmtId="3" fontId="86" fillId="0" borderId="0" xfId="11" applyNumberFormat="1" applyFont="1" applyFill="1"/>
    <xf numFmtId="0" fontId="87" fillId="0" borderId="0" xfId="11" applyNumberFormat="1" applyFont="1" applyFill="1" applyBorder="1" applyAlignment="1"/>
    <xf numFmtId="0" fontId="87" fillId="0" borderId="0" xfId="11" applyNumberFormat="1" applyFont="1" applyFill="1" applyAlignment="1"/>
    <xf numFmtId="164" fontId="129" fillId="0" borderId="0" xfId="11" applyNumberFormat="1" applyFont="1" applyFill="1" applyAlignment="1"/>
    <xf numFmtId="3" fontId="2" fillId="0" borderId="15" xfId="11" applyNumberFormat="1" applyFont="1" applyFill="1" applyBorder="1"/>
    <xf numFmtId="167" fontId="2" fillId="0" borderId="13" xfId="11" applyNumberFormat="1" applyFont="1" applyFill="1" applyBorder="1"/>
    <xf numFmtId="167" fontId="2" fillId="0" borderId="27" xfId="11" applyNumberFormat="1" applyFont="1" applyFill="1" applyBorder="1"/>
    <xf numFmtId="3" fontId="2" fillId="0" borderId="28" xfId="11" applyNumberFormat="1" applyFont="1" applyFill="1" applyBorder="1"/>
    <xf numFmtId="167" fontId="2" fillId="0" borderId="15" xfId="11" applyNumberFormat="1" applyFont="1" applyFill="1" applyBorder="1"/>
    <xf numFmtId="3" fontId="2" fillId="0" borderId="27" xfId="11" applyNumberFormat="1" applyFont="1" applyFill="1" applyBorder="1"/>
    <xf numFmtId="3" fontId="72" fillId="0" borderId="15" xfId="11" applyNumberFormat="1" applyFont="1" applyFill="1" applyBorder="1"/>
    <xf numFmtId="3" fontId="72" fillId="0" borderId="15" xfId="11" applyNumberFormat="1" applyFont="1" applyFill="1" applyBorder="1" applyAlignment="1"/>
    <xf numFmtId="0" fontId="70" fillId="0" borderId="0" xfId="11" applyFont="1" applyFill="1"/>
    <xf numFmtId="3" fontId="70" fillId="0" borderId="0" xfId="11" applyNumberFormat="1" applyFont="1" applyFill="1"/>
    <xf numFmtId="0" fontId="3" fillId="0" borderId="0" xfId="11" applyFont="1" applyFill="1"/>
    <xf numFmtId="3" fontId="23" fillId="0" borderId="0" xfId="11" applyNumberFormat="1" applyFont="1" applyFill="1" applyBorder="1" applyAlignment="1"/>
    <xf numFmtId="167" fontId="23" fillId="0" borderId="0" xfId="11" applyNumberFormat="1" applyFont="1" applyFill="1" applyBorder="1"/>
    <xf numFmtId="3" fontId="22" fillId="0" borderId="19" xfId="11" applyNumberFormat="1" applyFont="1" applyFill="1" applyBorder="1" applyAlignment="1">
      <alignment horizontal="center"/>
    </xf>
    <xf numFmtId="3" fontId="15" fillId="0" borderId="19" xfId="11" applyNumberFormat="1" applyFont="1" applyFill="1" applyBorder="1" applyAlignment="1">
      <alignment horizontal="center" vertical="center" wrapText="1"/>
    </xf>
    <xf numFmtId="3" fontId="38" fillId="0" borderId="0" xfId="23" applyNumberFormat="1" applyFont="1" applyFill="1" applyBorder="1" applyAlignment="1"/>
    <xf numFmtId="3" fontId="72" fillId="0" borderId="0" xfId="23" applyNumberFormat="1" applyFont="1" applyFill="1" applyBorder="1" applyAlignment="1"/>
    <xf numFmtId="167" fontId="72" fillId="0" borderId="0" xfId="11" applyNumberFormat="1" applyFont="1" applyFill="1" applyAlignment="1"/>
    <xf numFmtId="0" fontId="3" fillId="0" borderId="0" xfId="11" applyFont="1" applyFill="1" applyBorder="1"/>
    <xf numFmtId="0" fontId="15" fillId="0" borderId="0" xfId="20" applyFont="1" applyBorder="1" applyAlignment="1">
      <alignment horizontal="center"/>
    </xf>
    <xf numFmtId="0" fontId="2" fillId="0" borderId="0" xfId="20" applyFont="1" applyBorder="1" applyAlignment="1">
      <alignment horizontal="right"/>
    </xf>
    <xf numFmtId="173" fontId="2" fillId="0" borderId="0" xfId="19" applyNumberFormat="1" applyFont="1" applyBorder="1"/>
    <xf numFmtId="0" fontId="21" fillId="0" borderId="0" xfId="25" applyFont="1" applyAlignment="1">
      <alignment horizontal="right"/>
    </xf>
    <xf numFmtId="0" fontId="21" fillId="0" borderId="0" xfId="25" applyFont="1"/>
    <xf numFmtId="0" fontId="21" fillId="0" borderId="0" xfId="0" applyFont="1" applyBorder="1" applyAlignment="1">
      <alignment horizontal="left" wrapText="1"/>
    </xf>
    <xf numFmtId="0" fontId="131" fillId="0" borderId="0" xfId="0" applyFont="1" applyBorder="1" applyAlignment="1">
      <alignment horizontal="left" wrapText="1"/>
    </xf>
    <xf numFmtId="0" fontId="23" fillId="0" borderId="0" xfId="25" applyFont="1" applyAlignment="1">
      <alignment horizontal="center"/>
    </xf>
    <xf numFmtId="0" fontId="23" fillId="0" borderId="0" xfId="25" applyFont="1"/>
    <xf numFmtId="0" fontId="21" fillId="0" borderId="0" xfId="20" applyFont="1" applyAlignment="1">
      <alignment horizontal="left" wrapText="1"/>
    </xf>
    <xf numFmtId="0" fontId="21" fillId="0" borderId="0" xfId="20" applyFont="1" applyBorder="1" applyAlignment="1">
      <alignment horizontal="left"/>
    </xf>
    <xf numFmtId="0" fontId="132" fillId="0" borderId="0" xfId="25" applyFont="1" applyAlignment="1"/>
    <xf numFmtId="0" fontId="133" fillId="0" borderId="0" xfId="25" applyFont="1" applyAlignment="1"/>
    <xf numFmtId="0" fontId="5" fillId="0" borderId="0" xfId="14" applyFont="1" applyFill="1" applyProtection="1"/>
    <xf numFmtId="0" fontId="2" fillId="0" borderId="0" xfId="14" applyFont="1" applyFill="1" applyProtection="1"/>
    <xf numFmtId="0" fontId="10" fillId="0" borderId="0" xfId="14" applyFont="1" applyFill="1" applyProtection="1"/>
    <xf numFmtId="0" fontId="25" fillId="0" borderId="6" xfId="14" applyFont="1" applyFill="1" applyBorder="1" applyAlignment="1" applyProtection="1">
      <alignment horizontal="left"/>
    </xf>
    <xf numFmtId="0" fontId="25" fillId="0" borderId="7" xfId="14" applyFont="1" applyFill="1" applyBorder="1" applyAlignment="1" applyProtection="1">
      <alignment horizontal="left"/>
    </xf>
    <xf numFmtId="0" fontId="25" fillId="0" borderId="0" xfId="14" applyFont="1" applyFill="1" applyBorder="1" applyAlignment="1" applyProtection="1">
      <alignment horizontal="left"/>
    </xf>
    <xf numFmtId="0" fontId="27" fillId="0" borderId="0" xfId="14" applyFont="1" applyFill="1" applyAlignment="1" applyProtection="1">
      <alignment horizontal="left"/>
    </xf>
    <xf numFmtId="0" fontId="10" fillId="0" borderId="8" xfId="14" applyFont="1" applyFill="1" applyBorder="1" applyAlignment="1" applyProtection="1">
      <alignment horizontal="left"/>
    </xf>
    <xf numFmtId="37" fontId="10" fillId="36" borderId="0" xfId="17" applyNumberFormat="1" applyFont="1" applyFill="1" applyAlignment="1" applyProtection="1">
      <alignment horizontal="center"/>
    </xf>
    <xf numFmtId="0" fontId="2" fillId="0" borderId="0" xfId="13" applyFont="1"/>
    <xf numFmtId="9" fontId="116" fillId="0" borderId="0" xfId="14" applyNumberFormat="1" applyFont="1" applyBorder="1" applyProtection="1"/>
    <xf numFmtId="0" fontId="78" fillId="0" borderId="52" xfId="13" applyFont="1" applyBorder="1"/>
    <xf numFmtId="9" fontId="78" fillId="0" borderId="0" xfId="36" applyFont="1" applyFill="1"/>
    <xf numFmtId="9" fontId="116" fillId="0" borderId="0" xfId="14" applyNumberFormat="1" applyFont="1" applyFill="1" applyBorder="1" applyProtection="1"/>
    <xf numFmtId="9" fontId="135" fillId="0" borderId="0" xfId="14" applyNumberFormat="1" applyFont="1" applyBorder="1" applyProtection="1"/>
    <xf numFmtId="0" fontId="132" fillId="0" borderId="0" xfId="14" applyFont="1" applyBorder="1" applyAlignment="1" applyProtection="1">
      <alignment horizontal="left"/>
    </xf>
    <xf numFmtId="37" fontId="136" fillId="0" borderId="0" xfId="14" applyNumberFormat="1" applyFont="1" applyBorder="1" applyProtection="1"/>
    <xf numFmtId="37" fontId="137" fillId="0" borderId="0" xfId="14" applyNumberFormat="1" applyFont="1" applyBorder="1" applyProtection="1"/>
    <xf numFmtId="37" fontId="138" fillId="0" borderId="0" xfId="14" applyNumberFormat="1" applyFont="1" applyBorder="1" applyProtection="1"/>
    <xf numFmtId="9" fontId="138" fillId="0" borderId="0" xfId="14" applyNumberFormat="1" applyFont="1" applyBorder="1" applyProtection="1"/>
    <xf numFmtId="0" fontId="132" fillId="0" borderId="0" xfId="13" applyFont="1"/>
    <xf numFmtId="0" fontId="132" fillId="0" borderId="0" xfId="14" applyFont="1" applyAlignment="1" applyProtection="1">
      <alignment horizontal="left"/>
    </xf>
    <xf numFmtId="37" fontId="132" fillId="0" borderId="0" xfId="14" applyNumberFormat="1" applyFont="1" applyProtection="1"/>
    <xf numFmtId="39" fontId="132" fillId="0" borderId="0" xfId="14" applyNumberFormat="1" applyFont="1" applyProtection="1"/>
    <xf numFmtId="174" fontId="132" fillId="0" borderId="0" xfId="14" applyNumberFormat="1" applyFont="1" applyProtection="1"/>
    <xf numFmtId="0" fontId="132" fillId="0" borderId="0" xfId="14" applyFont="1" applyProtection="1"/>
    <xf numFmtId="167" fontId="22" fillId="4" borderId="0" xfId="17" applyNumberFormat="1" applyFont="1" applyFill="1" applyBorder="1" applyProtection="1"/>
    <xf numFmtId="0" fontId="2" fillId="4" borderId="0" xfId="33" applyFont="1" applyFill="1"/>
    <xf numFmtId="3" fontId="132" fillId="4" borderId="0" xfId="33" applyNumberFormat="1" applyFont="1" applyFill="1" applyBorder="1" applyAlignment="1"/>
    <xf numFmtId="0" fontId="132" fillId="4" borderId="0" xfId="33" applyFont="1" applyFill="1"/>
    <xf numFmtId="10" fontId="132" fillId="4" borderId="0" xfId="38" applyNumberFormat="1" applyFont="1" applyFill="1"/>
    <xf numFmtId="44" fontId="132" fillId="4" borderId="0" xfId="4" applyFont="1" applyFill="1"/>
    <xf numFmtId="0" fontId="136" fillId="4" borderId="0" xfId="33" applyFont="1" applyFill="1" applyBorder="1"/>
    <xf numFmtId="3" fontId="136" fillId="4" borderId="0" xfId="33" applyNumberFormat="1" applyFont="1" applyFill="1" applyBorder="1" applyAlignment="1"/>
    <xf numFmtId="0" fontId="0" fillId="36" borderId="0" xfId="0" applyFill="1" applyBorder="1" applyAlignment="1"/>
    <xf numFmtId="37" fontId="30" fillId="36" borderId="0" xfId="17" applyNumberFormat="1" applyFont="1" applyFill="1" applyBorder="1" applyAlignment="1" applyProtection="1">
      <alignment horizontal="center"/>
    </xf>
    <xf numFmtId="0" fontId="134" fillId="4" borderId="0" xfId="10" applyFont="1" applyFill="1"/>
    <xf numFmtId="0" fontId="134" fillId="4" borderId="47" xfId="10" applyFont="1" applyFill="1" applyBorder="1"/>
    <xf numFmtId="0" fontId="134" fillId="4" borderId="0" xfId="11" applyFont="1" applyFill="1"/>
    <xf numFmtId="3" fontId="141" fillId="4" borderId="0" xfId="32" applyNumberFormat="1" applyFont="1" applyFill="1" applyBorder="1" applyAlignment="1"/>
    <xf numFmtId="164" fontId="141" fillId="4" borderId="0" xfId="32" applyNumberFormat="1" applyFont="1" applyFill="1" applyBorder="1" applyAlignment="1">
      <alignment horizontal="right"/>
    </xf>
    <xf numFmtId="0" fontId="134" fillId="4" borderId="0" xfId="32" applyFont="1" applyFill="1"/>
    <xf numFmtId="167" fontId="134" fillId="4" borderId="0" xfId="38" applyNumberFormat="1" applyFont="1" applyFill="1"/>
    <xf numFmtId="3" fontId="22" fillId="4" borderId="14" xfId="32" applyNumberFormat="1" applyFont="1" applyFill="1" applyBorder="1" applyAlignment="1">
      <alignment horizontal="left"/>
    </xf>
    <xf numFmtId="0" fontId="15" fillId="4" borderId="14" xfId="32" applyFont="1" applyFill="1" applyBorder="1" applyAlignment="1">
      <alignment horizontal="right" wrapText="1"/>
    </xf>
    <xf numFmtId="167" fontId="2" fillId="4" borderId="0" xfId="32" applyNumberFormat="1" applyFont="1" applyFill="1" applyBorder="1"/>
    <xf numFmtId="3" fontId="2" fillId="4" borderId="0" xfId="32" applyNumberFormat="1" applyFont="1" applyFill="1" applyBorder="1"/>
    <xf numFmtId="0" fontId="142" fillId="38" borderId="0" xfId="0" applyFont="1" applyFill="1" applyAlignment="1">
      <alignment horizontal="left"/>
    </xf>
    <xf numFmtId="0" fontId="2" fillId="0" borderId="0" xfId="0" applyFont="1" applyAlignment="1">
      <alignment horizontal="left"/>
    </xf>
    <xf numFmtId="0" fontId="2" fillId="0" borderId="0" xfId="0" applyFont="1" applyAlignment="1">
      <alignment horizontal="left" indent="1"/>
    </xf>
    <xf numFmtId="180" fontId="2" fillId="0" borderId="0" xfId="0" applyNumberFormat="1" applyFont="1"/>
    <xf numFmtId="0" fontId="71" fillId="0" borderId="19" xfId="84" applyFont="1" applyFill="1" applyBorder="1" applyAlignment="1">
      <alignment horizontal="centerContinuous" vertical="center" wrapText="1"/>
    </xf>
    <xf numFmtId="0" fontId="96" fillId="0" borderId="0" xfId="8" applyNumberFormat="1" applyFont="1" applyFill="1" applyAlignment="1"/>
    <xf numFmtId="0" fontId="96" fillId="0" borderId="0" xfId="8" applyFont="1" applyFill="1"/>
    <xf numFmtId="0" fontId="96" fillId="0" borderId="0" xfId="8" applyNumberFormat="1" applyFont="1" applyFill="1" applyAlignment="1">
      <alignment horizontal="left"/>
    </xf>
    <xf numFmtId="0" fontId="96" fillId="0" borderId="0" xfId="8" applyNumberFormat="1" applyFont="1" applyAlignment="1"/>
    <xf numFmtId="0" fontId="128" fillId="0" borderId="0" xfId="8" applyNumberFormat="1" applyFont="1" applyFill="1" applyAlignment="1"/>
    <xf numFmtId="0" fontId="128" fillId="0" borderId="0" xfId="8" applyNumberFormat="1" applyFont="1" applyAlignment="1">
      <alignment horizontal="center"/>
    </xf>
    <xf numFmtId="0" fontId="147" fillId="0" borderId="0" xfId="8" applyNumberFormat="1" applyFont="1" applyAlignment="1"/>
    <xf numFmtId="2" fontId="96" fillId="0" borderId="0" xfId="8" applyNumberFormat="1" applyFont="1" applyAlignment="1"/>
    <xf numFmtId="172" fontId="96" fillId="0" borderId="0" xfId="8" applyNumberFormat="1" applyFont="1" applyAlignment="1"/>
    <xf numFmtId="0" fontId="96" fillId="0" borderId="0" xfId="8" applyNumberFormat="1" applyFont="1" applyFill="1" applyAlignment="1">
      <alignment horizontal="center"/>
    </xf>
    <xf numFmtId="3" fontId="96" fillId="0" borderId="0" xfId="8" applyNumberFormat="1" applyFont="1" applyAlignment="1"/>
    <xf numFmtId="10" fontId="96" fillId="0" borderId="0" xfId="38" applyNumberFormat="1" applyFont="1" applyFill="1"/>
    <xf numFmtId="166" fontId="96" fillId="0" borderId="0" xfId="8" applyNumberFormat="1" applyFont="1" applyFill="1" applyAlignment="1">
      <alignment horizontal="left"/>
    </xf>
    <xf numFmtId="0" fontId="96" fillId="0" borderId="0" xfId="8" applyNumberFormat="1" applyFont="1" applyAlignment="1">
      <alignment horizontal="left"/>
    </xf>
    <xf numFmtId="10" fontId="130" fillId="0" borderId="0" xfId="38" applyNumberFormat="1" applyFont="1" applyFill="1"/>
    <xf numFmtId="10" fontId="96" fillId="0" borderId="0" xfId="36" applyNumberFormat="1" applyFont="1" applyAlignment="1"/>
    <xf numFmtId="0" fontId="128" fillId="0" borderId="0" xfId="8" applyNumberFormat="1" applyFont="1" applyAlignment="1"/>
    <xf numFmtId="0" fontId="93" fillId="0" borderId="0" xfId="8" applyNumberFormat="1" applyFont="1" applyFill="1" applyAlignment="1"/>
    <xf numFmtId="1" fontId="96" fillId="0" borderId="0" xfId="8" applyNumberFormat="1" applyFont="1" applyAlignment="1"/>
    <xf numFmtId="0" fontId="93" fillId="0" borderId="0" xfId="8" applyNumberFormat="1" applyFont="1" applyFill="1" applyAlignment="1">
      <alignment horizontal="left" vertical="center"/>
    </xf>
    <xf numFmtId="4" fontId="96" fillId="0" borderId="0" xfId="8" applyNumberFormat="1" applyFont="1" applyAlignment="1"/>
    <xf numFmtId="0" fontId="93" fillId="0" borderId="0" xfId="0" applyFont="1" applyAlignment="1"/>
    <xf numFmtId="0" fontId="93" fillId="0" borderId="0" xfId="8" applyNumberFormat="1" applyFont="1" applyFill="1" applyAlignment="1">
      <alignment vertical="center" wrapText="1"/>
    </xf>
    <xf numFmtId="0" fontId="128" fillId="0" borderId="0" xfId="8" applyFont="1" applyBorder="1" applyAlignment="1">
      <alignment horizontal="center"/>
    </xf>
    <xf numFmtId="0" fontId="96" fillId="0" borderId="0" xfId="8" applyFont="1"/>
    <xf numFmtId="0" fontId="5" fillId="0" borderId="0" xfId="0" applyFont="1" applyFill="1" applyAlignment="1">
      <alignment horizontal="center"/>
    </xf>
    <xf numFmtId="0" fontId="0" fillId="0" borderId="0" xfId="0" applyFill="1" applyAlignment="1"/>
    <xf numFmtId="167" fontId="10" fillId="0" borderId="0" xfId="8" applyNumberFormat="1" applyFill="1"/>
    <xf numFmtId="0" fontId="125" fillId="0" borderId="0" xfId="0" applyFont="1" applyAlignment="1">
      <alignment horizontal="center"/>
    </xf>
    <xf numFmtId="0" fontId="148" fillId="0" borderId="0" xfId="8" applyNumberFormat="1" applyFont="1" applyAlignment="1"/>
    <xf numFmtId="164" fontId="148" fillId="0" borderId="0" xfId="8" applyNumberFormat="1" applyFont="1" applyFill="1" applyAlignment="1"/>
    <xf numFmtId="0" fontId="132" fillId="0" borderId="0" xfId="8" applyNumberFormat="1" applyFont="1" applyFill="1" applyAlignment="1"/>
    <xf numFmtId="0" fontId="132" fillId="0" borderId="0" xfId="8" applyNumberFormat="1" applyFont="1" applyFill="1" applyAlignment="1">
      <alignment horizontal="left" vertical="center"/>
    </xf>
    <xf numFmtId="10" fontId="128" fillId="0" borderId="0" xfId="0" applyNumberFormat="1" applyFont="1" applyAlignment="1">
      <alignment horizontal="center"/>
    </xf>
    <xf numFmtId="10" fontId="96" fillId="0" borderId="0" xfId="0" applyNumberFormat="1" applyFont="1" applyAlignment="1">
      <alignment horizontal="center"/>
    </xf>
    <xf numFmtId="2" fontId="93" fillId="0" borderId="0" xfId="0" applyNumberFormat="1" applyFont="1" applyAlignment="1">
      <alignment horizontal="center"/>
    </xf>
    <xf numFmtId="10" fontId="93" fillId="0" borderId="0" xfId="0" applyNumberFormat="1" applyFont="1" applyAlignment="1">
      <alignment horizontal="center"/>
    </xf>
    <xf numFmtId="169" fontId="93" fillId="0" borderId="0" xfId="0" applyNumberFormat="1" applyFont="1" applyAlignment="1">
      <alignment horizontal="right"/>
    </xf>
    <xf numFmtId="169" fontId="93" fillId="0" borderId="0" xfId="0" applyNumberFormat="1" applyFont="1" applyBorder="1" applyAlignment="1">
      <alignment horizontal="right"/>
    </xf>
    <xf numFmtId="169" fontId="93" fillId="0" borderId="0" xfId="36" applyNumberFormat="1" applyFont="1" applyAlignment="1">
      <alignment horizontal="right"/>
    </xf>
    <xf numFmtId="2" fontId="93" fillId="0" borderId="0" xfId="0" applyNumberFormat="1" applyFont="1" applyBorder="1" applyAlignment="1">
      <alignment horizontal="center"/>
    </xf>
    <xf numFmtId="10" fontId="96" fillId="0" borderId="0" xfId="0" applyNumberFormat="1" applyFont="1" applyBorder="1" applyAlignment="1">
      <alignment horizontal="center"/>
    </xf>
    <xf numFmtId="0" fontId="151" fillId="0" borderId="0" xfId="0" applyNumberFormat="1" applyFont="1" applyAlignment="1"/>
    <xf numFmtId="2" fontId="151" fillId="0" borderId="0" xfId="0" applyNumberFormat="1" applyFont="1" applyAlignment="1"/>
    <xf numFmtId="2" fontId="151" fillId="0" borderId="0" xfId="0" applyNumberFormat="1" applyFont="1" applyFill="1" applyAlignment="1"/>
    <xf numFmtId="2" fontId="93" fillId="0" borderId="0" xfId="0" applyNumberFormat="1" applyFont="1" applyAlignment="1"/>
    <xf numFmtId="2" fontId="93" fillId="0" borderId="0" xfId="0" applyNumberFormat="1" applyFont="1" applyFill="1" applyAlignment="1"/>
    <xf numFmtId="10" fontId="93" fillId="0" borderId="0" xfId="0" applyNumberFormat="1" applyFont="1" applyAlignment="1"/>
    <xf numFmtId="0" fontId="93" fillId="0" borderId="0" xfId="21" applyFont="1" applyFill="1" applyAlignment="1">
      <alignment horizontal="left"/>
    </xf>
    <xf numFmtId="0" fontId="49" fillId="0" borderId="0" xfId="0" applyFont="1"/>
    <xf numFmtId="167" fontId="2" fillId="0" borderId="0" xfId="36" applyNumberFormat="1" applyFont="1" applyAlignment="1"/>
    <xf numFmtId="0" fontId="2" fillId="0" borderId="0" xfId="0" applyFont="1" applyAlignment="1"/>
    <xf numFmtId="44" fontId="2" fillId="0" borderId="0" xfId="3" applyFont="1" applyAlignment="1"/>
    <xf numFmtId="10" fontId="49" fillId="0" borderId="0" xfId="36" applyNumberFormat="1" applyFont="1" applyAlignment="1"/>
    <xf numFmtId="0" fontId="132" fillId="0" borderId="0" xfId="26" applyFont="1"/>
    <xf numFmtId="5" fontId="93" fillId="0" borderId="0" xfId="16" applyNumberFormat="1" applyFont="1" applyProtection="1"/>
    <xf numFmtId="0" fontId="83" fillId="3" borderId="9" xfId="16" applyFont="1" applyFill="1" applyBorder="1" applyAlignment="1">
      <alignment horizontal="center" wrapText="1"/>
    </xf>
    <xf numFmtId="0" fontId="83" fillId="3" borderId="9" xfId="16" applyFont="1" applyFill="1" applyBorder="1" applyAlignment="1" applyProtection="1">
      <alignment horizontal="center" wrapText="1"/>
    </xf>
    <xf numFmtId="0" fontId="23" fillId="0" borderId="9" xfId="16" applyFont="1" applyBorder="1" applyAlignment="1">
      <alignment horizontal="center" wrapText="1"/>
    </xf>
    <xf numFmtId="3" fontId="2" fillId="0" borderId="0" xfId="36" applyNumberFormat="1" applyFont="1" applyFill="1" applyBorder="1" applyAlignment="1"/>
    <xf numFmtId="3" fontId="93" fillId="0" borderId="0" xfId="36" applyNumberFormat="1" applyFont="1" applyFill="1"/>
    <xf numFmtId="5" fontId="2" fillId="0" borderId="0" xfId="16" applyNumberFormat="1" applyFont="1" applyProtection="1"/>
    <xf numFmtId="3" fontId="149" fillId="0" borderId="0" xfId="16" applyNumberFormat="1" applyFont="1"/>
    <xf numFmtId="3" fontId="149" fillId="0" borderId="0" xfId="16" applyNumberFormat="1" applyFont="1" applyFill="1"/>
    <xf numFmtId="3" fontId="132" fillId="0" borderId="0" xfId="16" applyNumberFormat="1" applyFont="1" applyBorder="1"/>
    <xf numFmtId="3" fontId="152" fillId="0" borderId="0" xfId="16" applyNumberFormat="1" applyFont="1" applyBorder="1" applyAlignment="1">
      <alignment horizontal="center" wrapText="1"/>
    </xf>
    <xf numFmtId="1" fontId="132" fillId="0" borderId="0" xfId="16" applyNumberFormat="1" applyFont="1" applyFill="1" applyBorder="1"/>
    <xf numFmtId="0" fontId="5" fillId="0" borderId="0" xfId="14" applyFont="1" applyBorder="1" applyAlignment="1" applyProtection="1">
      <alignment horizontal="left"/>
    </xf>
    <xf numFmtId="0" fontId="15" fillId="0" borderId="0" xfId="14" applyFont="1" applyBorder="1" applyAlignment="1" applyProtection="1">
      <alignment horizontal="left"/>
    </xf>
    <xf numFmtId="37" fontId="15" fillId="0" borderId="52" xfId="14" applyNumberFormat="1" applyFont="1" applyBorder="1" applyProtection="1"/>
    <xf numFmtId="37" fontId="15" fillId="0" borderId="52" xfId="14" applyNumberFormat="1" applyFont="1" applyBorder="1" applyAlignment="1" applyProtection="1">
      <alignment horizontal="center"/>
    </xf>
    <xf numFmtId="37" fontId="2" fillId="0" borderId="0" xfId="14" applyNumberFormat="1" applyFont="1" applyFill="1" applyBorder="1" applyProtection="1"/>
    <xf numFmtId="37" fontId="15" fillId="0" borderId="0" xfId="14" applyNumberFormat="1" applyFont="1" applyFill="1" applyBorder="1" applyProtection="1"/>
    <xf numFmtId="0" fontId="143" fillId="36" borderId="0" xfId="17" applyFont="1" applyFill="1" applyProtection="1"/>
    <xf numFmtId="0" fontId="2" fillId="0" borderId="0" xfId="87" applyFill="1" applyAlignment="1"/>
    <xf numFmtId="0" fontId="2" fillId="0" borderId="0" xfId="87" applyFill="1" applyAlignment="1">
      <alignment horizontal="center"/>
    </xf>
    <xf numFmtId="0" fontId="2" fillId="0" borderId="0" xfId="87" applyFont="1" applyFill="1" applyAlignment="1"/>
    <xf numFmtId="0" fontId="2" fillId="0" borderId="0" xfId="87" applyFill="1" applyBorder="1" applyAlignment="1">
      <alignment horizontal="left"/>
    </xf>
    <xf numFmtId="168" fontId="2" fillId="0" borderId="0" xfId="87" applyNumberFormat="1" applyFill="1" applyAlignment="1"/>
    <xf numFmtId="3" fontId="2" fillId="0" borderId="0" xfId="87" applyNumberFormat="1" applyFont="1" applyFill="1" applyBorder="1" applyAlignment="1"/>
    <xf numFmtId="0" fontId="2" fillId="0" borderId="0" xfId="87" applyFill="1" applyBorder="1" applyAlignment="1"/>
    <xf numFmtId="0" fontId="106" fillId="0" borderId="0" xfId="87" applyFont="1" applyFill="1" applyAlignment="1"/>
    <xf numFmtId="0" fontId="21" fillId="0" borderId="0" xfId="87" applyFont="1" applyFill="1"/>
    <xf numFmtId="0" fontId="21" fillId="0" borderId="0" xfId="87" applyNumberFormat="1" applyFont="1" applyFill="1" applyAlignment="1">
      <alignment horizontal="center"/>
    </xf>
    <xf numFmtId="0" fontId="21" fillId="0" borderId="0" xfId="87" applyFont="1" applyFill="1" applyBorder="1"/>
    <xf numFmtId="0" fontId="23" fillId="0" borderId="18" xfId="87" applyFont="1" applyFill="1" applyBorder="1" applyAlignment="1">
      <alignment horizontal="left"/>
    </xf>
    <xf numFmtId="0" fontId="116" fillId="0" borderId="18" xfId="87" applyFont="1" applyFill="1" applyBorder="1" applyAlignment="1">
      <alignment horizontal="left"/>
    </xf>
    <xf numFmtId="0" fontId="23" fillId="0" borderId="49" xfId="87" applyFont="1" applyFill="1" applyBorder="1" applyAlignment="1">
      <alignment horizontal="center"/>
    </xf>
    <xf numFmtId="0" fontId="23" fillId="0" borderId="0" xfId="87" applyFont="1" applyFill="1" applyAlignment="1">
      <alignment horizontal="center"/>
    </xf>
    <xf numFmtId="0" fontId="23" fillId="0" borderId="0" xfId="87" applyFont="1" applyFill="1" applyBorder="1" applyAlignment="1">
      <alignment horizontal="center"/>
    </xf>
    <xf numFmtId="167" fontId="21" fillId="0" borderId="0" xfId="87" applyNumberFormat="1" applyFont="1" applyFill="1"/>
    <xf numFmtId="169" fontId="21" fillId="0" borderId="0" xfId="87" applyNumberFormat="1" applyFont="1" applyFill="1" applyBorder="1"/>
    <xf numFmtId="3" fontId="21" fillId="0" borderId="0" xfId="87" applyNumberFormat="1" applyFont="1" applyFill="1"/>
    <xf numFmtId="3" fontId="21" fillId="0" borderId="0" xfId="90" applyNumberFormat="1" applyFont="1" applyFill="1"/>
    <xf numFmtId="3" fontId="21" fillId="0" borderId="0" xfId="91" applyNumberFormat="1" applyFont="1" applyFill="1"/>
    <xf numFmtId="0" fontId="21" fillId="0" borderId="0" xfId="91" applyNumberFormat="1" applyFont="1" applyFill="1" applyAlignment="1">
      <alignment horizontal="center"/>
    </xf>
    <xf numFmtId="5" fontId="21" fillId="0" borderId="0" xfId="90" applyNumberFormat="1" applyFont="1" applyFill="1"/>
    <xf numFmtId="0" fontId="23" fillId="0" borderId="15" xfId="87" applyNumberFormat="1" applyFont="1" applyFill="1" applyBorder="1" applyAlignment="1">
      <alignment horizontal="center"/>
    </xf>
    <xf numFmtId="42" fontId="23" fillId="0" borderId="0" xfId="87" applyNumberFormat="1" applyFont="1" applyFill="1"/>
    <xf numFmtId="42" fontId="23" fillId="0" borderId="0" xfId="87" applyNumberFormat="1" applyFont="1" applyFill="1" applyBorder="1"/>
    <xf numFmtId="0" fontId="21" fillId="0" borderId="52" xfId="87" applyFont="1" applyFill="1" applyBorder="1"/>
    <xf numFmtId="0" fontId="21" fillId="0" borderId="52" xfId="87" applyNumberFormat="1" applyFont="1" applyFill="1" applyBorder="1" applyAlignment="1">
      <alignment horizontal="center"/>
    </xf>
    <xf numFmtId="0" fontId="23" fillId="0" borderId="0" xfId="87" applyFont="1" applyFill="1"/>
    <xf numFmtId="0" fontId="23" fillId="0" borderId="0" xfId="87" applyFont="1" applyFill="1" applyBorder="1"/>
    <xf numFmtId="0" fontId="23" fillId="0" borderId="0" xfId="87" applyNumberFormat="1" applyFont="1" applyFill="1" applyBorder="1" applyAlignment="1">
      <alignment horizontal="center"/>
    </xf>
    <xf numFmtId="0" fontId="76" fillId="0" borderId="0" xfId="87" applyFont="1" applyFill="1"/>
    <xf numFmtId="0" fontId="21" fillId="0" borderId="15" xfId="87" applyFont="1" applyFill="1" applyBorder="1"/>
    <xf numFmtId="167" fontId="21" fillId="0" borderId="15" xfId="87" applyNumberFormat="1" applyFont="1" applyFill="1" applyBorder="1"/>
    <xf numFmtId="0" fontId="21" fillId="0" borderId="15" xfId="87" applyNumberFormat="1" applyFont="1" applyFill="1" applyBorder="1" applyAlignment="1">
      <alignment horizontal="center"/>
    </xf>
    <xf numFmtId="179" fontId="76" fillId="0" borderId="0" xfId="88" applyNumberFormat="1" applyFont="1" applyFill="1"/>
    <xf numFmtId="179" fontId="21" fillId="0" borderId="0" xfId="88" applyNumberFormat="1" applyFont="1" applyFill="1"/>
    <xf numFmtId="179" fontId="21" fillId="0" borderId="0" xfId="87" applyNumberFormat="1" applyFont="1" applyFill="1"/>
    <xf numFmtId="0" fontId="15" fillId="0" borderId="0" xfId="87" applyFont="1" applyFill="1"/>
    <xf numFmtId="10" fontId="21" fillId="0" borderId="0" xfId="91" applyNumberFormat="1" applyFont="1" applyFill="1"/>
    <xf numFmtId="0" fontId="2" fillId="0" borderId="0" xfId="87" applyFont="1" applyFill="1"/>
    <xf numFmtId="0" fontId="23" fillId="0" borderId="13" xfId="87" applyFont="1" applyFill="1" applyBorder="1"/>
    <xf numFmtId="167" fontId="23" fillId="0" borderId="13" xfId="87" applyNumberFormat="1" applyFont="1" applyFill="1" applyBorder="1"/>
    <xf numFmtId="10" fontId="23" fillId="0" borderId="13" xfId="89" applyNumberFormat="1" applyFont="1" applyFill="1" applyBorder="1"/>
    <xf numFmtId="0" fontId="21" fillId="0" borderId="18" xfId="87" applyFont="1" applyFill="1" applyBorder="1"/>
    <xf numFmtId="10" fontId="21" fillId="0" borderId="0" xfId="87" applyNumberFormat="1" applyFont="1" applyFill="1"/>
    <xf numFmtId="167" fontId="23" fillId="0" borderId="0" xfId="87" applyNumberFormat="1" applyFont="1" applyFill="1"/>
    <xf numFmtId="167" fontId="23" fillId="0" borderId="0" xfId="87" applyNumberFormat="1" applyFont="1" applyFill="1" applyBorder="1"/>
    <xf numFmtId="3" fontId="23" fillId="0" borderId="0" xfId="87" applyNumberFormat="1" applyFont="1" applyFill="1"/>
    <xf numFmtId="0" fontId="15" fillId="0" borderId="0" xfId="87" applyFont="1" applyFill="1" applyAlignment="1">
      <alignment horizontal="left"/>
    </xf>
    <xf numFmtId="0" fontId="23" fillId="0" borderId="0" xfId="87" applyFont="1" applyFill="1" applyAlignment="1">
      <alignment horizontal="left"/>
    </xf>
    <xf numFmtId="10" fontId="23" fillId="0" borderId="0" xfId="89" applyNumberFormat="1" applyFont="1" applyFill="1" applyAlignment="1">
      <alignment horizontal="left"/>
    </xf>
    <xf numFmtId="0" fontId="15" fillId="0" borderId="0" xfId="87" applyFont="1" applyFill="1" applyBorder="1" applyAlignment="1">
      <alignment horizontal="left"/>
    </xf>
    <xf numFmtId="0" fontId="23" fillId="0" borderId="0" xfId="87" applyFont="1" applyFill="1" applyBorder="1" applyAlignment="1">
      <alignment horizontal="left"/>
    </xf>
    <xf numFmtId="10" fontId="23" fillId="0" borderId="0" xfId="89" applyNumberFormat="1" applyFont="1" applyFill="1" applyBorder="1" applyAlignment="1">
      <alignment horizontal="left"/>
    </xf>
    <xf numFmtId="3" fontId="21" fillId="0" borderId="0" xfId="91" quotePrefix="1" applyNumberFormat="1" applyFont="1" applyFill="1" applyAlignment="1">
      <alignment horizontal="right"/>
    </xf>
    <xf numFmtId="3" fontId="21" fillId="0" borderId="0" xfId="87" applyNumberFormat="1" applyFont="1" applyFill="1" applyAlignment="1">
      <alignment horizontal="right"/>
    </xf>
    <xf numFmtId="3" fontId="21" fillId="0" borderId="0" xfId="91" quotePrefix="1" applyNumberFormat="1" applyFont="1" applyFill="1" applyBorder="1" applyAlignment="1">
      <alignment horizontal="right"/>
    </xf>
    <xf numFmtId="0" fontId="21" fillId="0" borderId="0" xfId="87" applyFont="1" applyFill="1" applyAlignment="1">
      <alignment horizontal="right"/>
    </xf>
    <xf numFmtId="0" fontId="21" fillId="0" borderId="0" xfId="91" applyNumberFormat="1" applyFont="1" applyFill="1"/>
    <xf numFmtId="0" fontId="21" fillId="0" borderId="0" xfId="91" applyFont="1" applyFill="1"/>
    <xf numFmtId="0" fontId="21" fillId="0" borderId="0" xfId="91" applyNumberFormat="1" applyFont="1" applyFill="1" applyAlignment="1">
      <alignment horizontal="left"/>
    </xf>
    <xf numFmtId="10" fontId="15" fillId="0" borderId="0" xfId="89" applyNumberFormat="1" applyFont="1" applyFill="1" applyAlignment="1">
      <alignment horizontal="left"/>
    </xf>
    <xf numFmtId="10" fontId="15" fillId="0" borderId="0" xfId="89" applyNumberFormat="1" applyFont="1" applyFill="1" applyBorder="1" applyAlignment="1">
      <alignment horizontal="left"/>
    </xf>
    <xf numFmtId="3" fontId="21" fillId="0" borderId="18" xfId="87" applyNumberFormat="1" applyFont="1" applyFill="1" applyBorder="1"/>
    <xf numFmtId="0" fontId="76" fillId="0" borderId="0" xfId="87" applyFont="1" applyFill="1" applyBorder="1"/>
    <xf numFmtId="10" fontId="21" fillId="0" borderId="0" xfId="89" applyNumberFormat="1" applyFont="1" applyFill="1" applyBorder="1" applyAlignment="1">
      <alignment horizontal="left"/>
    </xf>
    <xf numFmtId="10" fontId="21" fillId="0" borderId="0" xfId="89" applyNumberFormat="1" applyFont="1" applyFill="1" applyAlignment="1">
      <alignment horizontal="left"/>
    </xf>
    <xf numFmtId="0" fontId="117" fillId="0" borderId="0" xfId="87" applyFont="1" applyFill="1"/>
    <xf numFmtId="0" fontId="2" fillId="0" borderId="0" xfId="87" applyFill="1" applyBorder="1" applyAlignment="1">
      <alignment horizontal="center"/>
    </xf>
    <xf numFmtId="0" fontId="2" fillId="0" borderId="0" xfId="87" applyFont="1" applyFill="1" applyBorder="1" applyAlignment="1">
      <alignment horizontal="center"/>
    </xf>
    <xf numFmtId="0" fontId="3" fillId="0" borderId="0" xfId="0" applyNumberFormat="1" applyFont="1" applyFill="1" applyAlignment="1"/>
    <xf numFmtId="0" fontId="13" fillId="0" borderId="0" xfId="0" applyNumberFormat="1" applyFont="1" applyFill="1" applyAlignment="1"/>
    <xf numFmtId="0" fontId="105" fillId="0" borderId="0" xfId="0" applyNumberFormat="1" applyFont="1" applyFill="1" applyAlignment="1"/>
    <xf numFmtId="0" fontId="50" fillId="0" borderId="0" xfId="0" applyNumberFormat="1" applyFont="1" applyFill="1" applyAlignment="1"/>
    <xf numFmtId="0" fontId="125" fillId="0" borderId="0" xfId="0" applyFont="1" applyFill="1" applyAlignment="1">
      <alignment horizontal="center"/>
    </xf>
    <xf numFmtId="0" fontId="120" fillId="0" borderId="0" xfId="0" applyNumberFormat="1" applyFont="1" applyFill="1" applyAlignment="1">
      <alignment horizontal="center"/>
    </xf>
    <xf numFmtId="0" fontId="6" fillId="0" borderId="0" xfId="0" applyNumberFormat="1" applyFont="1" applyFill="1" applyAlignment="1"/>
    <xf numFmtId="0" fontId="125" fillId="0" borderId="0" xfId="0" applyNumberFormat="1" applyFont="1" applyFill="1" applyAlignment="1">
      <alignment horizontal="center"/>
    </xf>
    <xf numFmtId="0" fontId="6" fillId="0" borderId="0" xfId="0" applyNumberFormat="1" applyFont="1" applyFill="1" applyAlignment="1">
      <alignment horizontal="center"/>
    </xf>
    <xf numFmtId="0" fontId="121" fillId="0" borderId="0" xfId="0" applyNumberFormat="1" applyFont="1" applyFill="1" applyAlignment="1"/>
    <xf numFmtId="164" fontId="3" fillId="0" borderId="0" xfId="0" applyNumberFormat="1" applyFont="1" applyFill="1" applyAlignment="1"/>
    <xf numFmtId="9" fontId="122" fillId="0" borderId="0" xfId="36" applyFont="1" applyFill="1" applyAlignment="1"/>
    <xf numFmtId="3" fontId="3" fillId="0" borderId="0" xfId="0" applyNumberFormat="1" applyFont="1" applyFill="1" applyAlignment="1"/>
    <xf numFmtId="3" fontId="75" fillId="0" borderId="0" xfId="0" applyNumberFormat="1" applyFont="1" applyFill="1" applyAlignment="1"/>
    <xf numFmtId="164" fontId="121" fillId="0" borderId="0" xfId="0" applyNumberFormat="1" applyFont="1" applyFill="1" applyAlignment="1"/>
    <xf numFmtId="0" fontId="6" fillId="0" borderId="2" xfId="0" applyNumberFormat="1" applyFont="1" applyFill="1" applyBorder="1" applyAlignment="1"/>
    <xf numFmtId="164" fontId="5" fillId="0" borderId="2" xfId="0" applyNumberFormat="1" applyFont="1" applyFill="1" applyBorder="1" applyAlignment="1"/>
    <xf numFmtId="0" fontId="3" fillId="0" borderId="0" xfId="0" applyNumberFormat="1" applyFont="1" applyFill="1" applyBorder="1" applyAlignment="1"/>
    <xf numFmtId="164" fontId="3" fillId="0" borderId="0" xfId="0" applyNumberFormat="1" applyFont="1" applyFill="1" applyBorder="1" applyAlignment="1"/>
    <xf numFmtId="165" fontId="5" fillId="0" borderId="0" xfId="0" applyNumberFormat="1" applyFont="1" applyFill="1" applyAlignment="1"/>
    <xf numFmtId="165" fontId="121" fillId="0" borderId="0" xfId="0" applyNumberFormat="1" applyFont="1" applyFill="1" applyAlignment="1"/>
    <xf numFmtId="0" fontId="132" fillId="0" borderId="0" xfId="0" applyFont="1" applyAlignment="1">
      <alignment vertical="center"/>
    </xf>
    <xf numFmtId="3" fontId="132" fillId="0" borderId="0" xfId="0" applyNumberFormat="1" applyFont="1" applyFill="1"/>
    <xf numFmtId="0" fontId="132" fillId="0" borderId="0" xfId="0" applyFont="1"/>
    <xf numFmtId="0" fontId="132" fillId="0" borderId="0" xfId="40" applyFont="1" applyAlignment="1">
      <alignment horizontal="left"/>
    </xf>
    <xf numFmtId="0" fontId="132" fillId="0" borderId="0" xfId="0" applyFont="1" applyAlignment="1"/>
    <xf numFmtId="0" fontId="132" fillId="0" borderId="0" xfId="0" applyNumberFormat="1" applyFont="1" applyFill="1" applyBorder="1" applyAlignment="1">
      <alignment horizontal="left" vertical="center"/>
    </xf>
    <xf numFmtId="0" fontId="132" fillId="0" borderId="0" xfId="84" applyFont="1" applyFill="1"/>
    <xf numFmtId="9" fontId="140" fillId="0" borderId="0" xfId="36" applyFont="1" applyFill="1"/>
    <xf numFmtId="0" fontId="154" fillId="0" borderId="0" xfId="84" applyFont="1" applyFill="1" applyAlignment="1">
      <alignment horizontal="center"/>
    </xf>
    <xf numFmtId="0" fontId="132" fillId="0" borderId="0" xfId="84" applyFont="1" applyFill="1" applyBorder="1" applyAlignment="1">
      <alignment vertical="center" wrapText="1"/>
    </xf>
    <xf numFmtId="0" fontId="133" fillId="0" borderId="0" xfId="0" applyFont="1" applyAlignment="1">
      <alignment vertical="top" wrapText="1"/>
    </xf>
    <xf numFmtId="0" fontId="132" fillId="0" borderId="0" xfId="0" applyFont="1" applyAlignment="1">
      <alignment vertical="top" wrapText="1"/>
    </xf>
    <xf numFmtId="0" fontId="22" fillId="0" borderId="19" xfId="30" applyFont="1" applyFill="1" applyBorder="1" applyAlignment="1">
      <alignment horizontal="center"/>
    </xf>
    <xf numFmtId="167" fontId="38" fillId="0" borderId="0" xfId="1" applyNumberFormat="1" applyFill="1" applyAlignment="1">
      <alignment horizontal="center"/>
    </xf>
    <xf numFmtId="3" fontId="38" fillId="0" borderId="0" xfId="1" applyNumberFormat="1" applyFill="1" applyAlignment="1">
      <alignment horizontal="center"/>
    </xf>
    <xf numFmtId="0" fontId="118" fillId="0" borderId="0" xfId="87" applyFont="1" applyFill="1"/>
    <xf numFmtId="0" fontId="118" fillId="0" borderId="0" xfId="87" applyFont="1" applyFill="1" applyBorder="1"/>
    <xf numFmtId="0" fontId="100" fillId="0" borderId="0" xfId="87" applyFont="1" applyFill="1" applyBorder="1" applyAlignment="1">
      <alignment horizontal="center"/>
    </xf>
    <xf numFmtId="0" fontId="100" fillId="0" borderId="0" xfId="87" applyFont="1" applyFill="1"/>
    <xf numFmtId="0" fontId="118" fillId="0" borderId="0" xfId="87" applyFont="1" applyFill="1" applyAlignment="1">
      <alignment horizontal="right"/>
    </xf>
    <xf numFmtId="0" fontId="100" fillId="0" borderId="0" xfId="87" applyFont="1" applyFill="1" applyAlignment="1">
      <alignment horizontal="center"/>
    </xf>
    <xf numFmtId="10" fontId="118" fillId="0" borderId="0" xfId="89" applyNumberFormat="1" applyFont="1" applyFill="1"/>
    <xf numFmtId="169" fontId="118" fillId="0" borderId="0" xfId="87" applyNumberFormat="1" applyFont="1" applyFill="1" applyBorder="1"/>
    <xf numFmtId="42" fontId="100" fillId="0" borderId="0" xfId="87" applyNumberFormat="1" applyFont="1" applyFill="1"/>
    <xf numFmtId="42" fontId="100" fillId="0" borderId="0" xfId="87" applyNumberFormat="1" applyFont="1" applyFill="1" applyBorder="1"/>
    <xf numFmtId="0" fontId="153" fillId="0" borderId="0" xfId="87" applyFont="1" applyFill="1"/>
    <xf numFmtId="10" fontId="21" fillId="0" borderId="0" xfId="89" quotePrefix="1" applyNumberFormat="1" applyFont="1" applyFill="1" applyBorder="1" applyAlignment="1">
      <alignment horizontal="left"/>
    </xf>
    <xf numFmtId="10" fontId="76" fillId="0" borderId="0" xfId="89" applyNumberFormat="1" applyFont="1" applyFill="1" applyAlignment="1">
      <alignment horizontal="left"/>
    </xf>
    <xf numFmtId="10" fontId="87" fillId="0" borderId="0" xfId="89" applyNumberFormat="1" applyFont="1" applyFill="1" applyBorder="1" applyAlignment="1">
      <alignment horizontal="left"/>
    </xf>
    <xf numFmtId="10" fontId="76" fillId="0" borderId="0" xfId="89" applyNumberFormat="1" applyFont="1" applyFill="1" applyBorder="1" applyAlignment="1">
      <alignment horizontal="left"/>
    </xf>
    <xf numFmtId="3" fontId="21" fillId="0" borderId="0" xfId="87" applyNumberFormat="1" applyFont="1" applyFill="1" applyBorder="1" applyAlignment="1">
      <alignment horizontal="left"/>
    </xf>
    <xf numFmtId="0" fontId="153" fillId="0" borderId="0" xfId="87" applyFont="1" applyFill="1" applyAlignment="1">
      <alignment horizontal="right"/>
    </xf>
    <xf numFmtId="0" fontId="23" fillId="0" borderId="49" xfId="87" applyFont="1" applyFill="1" applyBorder="1" applyAlignment="1">
      <alignment horizontal="center" wrapText="1"/>
    </xf>
    <xf numFmtId="0" fontId="23" fillId="0" borderId="49" xfId="87" applyNumberFormat="1" applyFont="1" applyFill="1" applyBorder="1" applyAlignment="1">
      <alignment horizontal="center" wrapText="1"/>
    </xf>
    <xf numFmtId="167" fontId="21" fillId="0" borderId="0" xfId="90" applyNumberFormat="1" applyFont="1" applyFill="1"/>
    <xf numFmtId="3" fontId="21" fillId="0" borderId="0" xfId="87" applyNumberFormat="1" applyFont="1" applyFill="1" applyBorder="1"/>
    <xf numFmtId="3" fontId="21" fillId="0" borderId="0" xfId="90" applyNumberFormat="1" applyFont="1" applyFill="1" applyBorder="1"/>
    <xf numFmtId="0" fontId="100" fillId="0" borderId="0" xfId="87" applyFont="1" applyFill="1" applyAlignment="1">
      <alignment horizontal="right"/>
    </xf>
    <xf numFmtId="0" fontId="101" fillId="0" borderId="0" xfId="87" applyFont="1" applyFill="1" applyAlignment="1">
      <alignment horizontal="right"/>
    </xf>
    <xf numFmtId="10" fontId="118" fillId="0" borderId="0" xfId="89" applyNumberFormat="1" applyFont="1" applyFill="1" applyAlignment="1">
      <alignment horizontal="right"/>
    </xf>
    <xf numFmtId="0" fontId="93" fillId="0" borderId="0" xfId="87" applyFont="1" applyFill="1" applyAlignment="1">
      <alignment horizontal="right"/>
    </xf>
    <xf numFmtId="10" fontId="21" fillId="0" borderId="15" xfId="89" applyNumberFormat="1" applyFont="1" applyFill="1" applyBorder="1"/>
    <xf numFmtId="0" fontId="138" fillId="0" borderId="49" xfId="87" applyFont="1" applyFill="1" applyBorder="1" applyAlignment="1">
      <alignment horizontal="center"/>
    </xf>
    <xf numFmtId="0" fontId="15" fillId="0" borderId="52" xfId="87" applyFont="1" applyFill="1" applyBorder="1" applyAlignment="1">
      <alignment horizontal="center"/>
    </xf>
    <xf numFmtId="0" fontId="138" fillId="0" borderId="52" xfId="87" applyFont="1" applyFill="1" applyBorder="1" applyAlignment="1">
      <alignment horizontal="center"/>
    </xf>
    <xf numFmtId="0" fontId="15" fillId="0" borderId="0" xfId="87" applyFont="1" applyFill="1" applyBorder="1" applyAlignment="1">
      <alignment horizontal="center"/>
    </xf>
    <xf numFmtId="0" fontId="138" fillId="0" borderId="0" xfId="87" applyFont="1" applyFill="1" applyBorder="1" applyAlignment="1">
      <alignment horizontal="center"/>
    </xf>
    <xf numFmtId="0" fontId="15" fillId="0" borderId="49" xfId="87" applyFont="1" applyFill="1" applyBorder="1" applyAlignment="1">
      <alignment horizontal="center"/>
    </xf>
    <xf numFmtId="167" fontId="76" fillId="0" borderId="15" xfId="87" applyNumberFormat="1" applyFont="1" applyFill="1" applyBorder="1"/>
    <xf numFmtId="0" fontId="76" fillId="0" borderId="15" xfId="87" applyFont="1" applyFill="1" applyBorder="1"/>
    <xf numFmtId="0" fontId="132" fillId="4" borderId="0" xfId="33" applyFont="1" applyFill="1" applyBorder="1" applyAlignment="1">
      <alignment horizontal="left"/>
    </xf>
    <xf numFmtId="0" fontId="132" fillId="4" borderId="0" xfId="33" applyFont="1" applyFill="1" applyBorder="1"/>
    <xf numFmtId="0" fontId="132" fillId="0" borderId="0" xfId="28" applyFont="1" applyFill="1"/>
    <xf numFmtId="0" fontId="132" fillId="0" borderId="0" xfId="28" applyFont="1" applyFill="1" applyAlignment="1">
      <alignment horizontal="left"/>
    </xf>
    <xf numFmtId="0" fontId="132" fillId="0" borderId="0" xfId="0" applyFont="1" applyFill="1" applyAlignment="1">
      <alignment horizontal="left"/>
    </xf>
    <xf numFmtId="0" fontId="132" fillId="0" borderId="0" xfId="0" applyFont="1" applyFill="1" applyAlignment="1"/>
    <xf numFmtId="0" fontId="150" fillId="4" borderId="0" xfId="33" applyFont="1" applyFill="1" applyBorder="1" applyAlignment="1">
      <alignment horizontal="left"/>
    </xf>
    <xf numFmtId="0" fontId="150" fillId="0" borderId="0" xfId="28" applyFont="1" applyFill="1" applyAlignment="1">
      <alignment horizontal="left"/>
    </xf>
    <xf numFmtId="0" fontId="150" fillId="0" borderId="0" xfId="33" applyFont="1" applyFill="1" applyBorder="1" applyAlignment="1">
      <alignment horizontal="left"/>
    </xf>
    <xf numFmtId="0" fontId="10" fillId="0" borderId="6" xfId="13" applyFont="1" applyBorder="1" applyAlignment="1">
      <alignment horizontal="center"/>
    </xf>
    <xf numFmtId="0" fontId="10" fillId="0" borderId="49" xfId="13" applyFont="1" applyBorder="1" applyAlignment="1">
      <alignment horizontal="center"/>
    </xf>
    <xf numFmtId="0" fontId="11" fillId="36" borderId="0" xfId="17" applyFont="1" applyFill="1" applyBorder="1" applyProtection="1"/>
    <xf numFmtId="3" fontId="132" fillId="0" borderId="0" xfId="0" applyNumberFormat="1" applyFont="1" applyFill="1" applyAlignment="1"/>
    <xf numFmtId="3" fontId="132" fillId="0" borderId="0" xfId="0" applyNumberFormat="1" applyFont="1" applyAlignment="1"/>
    <xf numFmtId="0" fontId="149" fillId="0" borderId="0" xfId="0" applyNumberFormat="1" applyFont="1" applyFill="1" applyAlignment="1"/>
    <xf numFmtId="0" fontId="157" fillId="0" borderId="0" xfId="0" applyNumberFormat="1" applyFont="1" applyFill="1" applyBorder="1" applyAlignment="1"/>
    <xf numFmtId="0" fontId="149" fillId="0" borderId="0" xfId="0" applyNumberFormat="1" applyFont="1" applyFill="1" applyBorder="1" applyAlignment="1"/>
    <xf numFmtId="0" fontId="132" fillId="0" borderId="0" xfId="0" applyNumberFormat="1" applyFont="1" applyAlignment="1"/>
    <xf numFmtId="3" fontId="155" fillId="0" borderId="0" xfId="36" applyNumberFormat="1" applyFont="1" applyFill="1" applyBorder="1" applyAlignment="1"/>
    <xf numFmtId="0" fontId="154" fillId="0" borderId="0" xfId="0" applyFont="1"/>
    <xf numFmtId="3" fontId="133" fillId="0" borderId="0" xfId="0" applyNumberFormat="1" applyFont="1" applyFill="1" applyBorder="1" applyAlignment="1"/>
    <xf numFmtId="3" fontId="133" fillId="0" borderId="0" xfId="0" applyNumberFormat="1" applyFont="1" applyFill="1" applyAlignment="1"/>
    <xf numFmtId="3" fontId="133" fillId="0" borderId="0" xfId="0" applyNumberFormat="1" applyFont="1"/>
    <xf numFmtId="0" fontId="159" fillId="0" borderId="0" xfId="0" applyNumberFormat="1" applyFont="1" applyFill="1" applyBorder="1" applyAlignment="1"/>
    <xf numFmtId="0" fontId="132" fillId="0" borderId="0" xfId="0" applyNumberFormat="1" applyFont="1" applyFill="1" applyAlignment="1"/>
    <xf numFmtId="42" fontId="132" fillId="0" borderId="0" xfId="0" applyNumberFormat="1" applyFont="1" applyAlignment="1"/>
    <xf numFmtId="0" fontId="132" fillId="0" borderId="0" xfId="0" applyNumberFormat="1" applyFont="1" applyAlignment="1">
      <alignment horizontal="center"/>
    </xf>
    <xf numFmtId="0" fontId="149" fillId="0" borderId="0" xfId="0" applyNumberFormat="1" applyFont="1" applyAlignment="1"/>
    <xf numFmtId="0" fontId="133" fillId="0" borderId="0" xfId="0" applyNumberFormat="1" applyFont="1" applyAlignment="1"/>
    <xf numFmtId="4" fontId="133" fillId="0" borderId="0" xfId="0" applyNumberFormat="1" applyFont="1" applyAlignment="1"/>
    <xf numFmtId="2" fontId="133" fillId="0" borderId="0" xfId="0" applyNumberFormat="1" applyFont="1" applyAlignment="1"/>
    <xf numFmtId="4" fontId="132" fillId="0" borderId="0" xfId="0" applyNumberFormat="1" applyFont="1" applyAlignment="1"/>
    <xf numFmtId="0" fontId="132" fillId="0" borderId="0" xfId="35" applyNumberFormat="1" applyFont="1" applyFill="1" applyAlignment="1"/>
    <xf numFmtId="169" fontId="132" fillId="0" borderId="0" xfId="35" applyNumberFormat="1" applyFont="1" applyFill="1" applyAlignment="1"/>
    <xf numFmtId="0" fontId="132" fillId="0" borderId="0" xfId="35" applyNumberFormat="1" applyFont="1" applyFill="1"/>
    <xf numFmtId="3" fontId="132" fillId="0" borderId="0" xfId="35" applyNumberFormat="1" applyFont="1" applyFill="1" applyAlignment="1">
      <alignment horizontal="right"/>
    </xf>
    <xf numFmtId="0" fontId="132" fillId="0" borderId="0" xfId="35" applyNumberFormat="1" applyFont="1" applyFill="1" applyAlignment="1">
      <alignment horizontal="center"/>
    </xf>
    <xf numFmtId="0" fontId="132" fillId="0" borderId="0" xfId="22" applyFont="1" applyFill="1"/>
    <xf numFmtId="0" fontId="138" fillId="0" borderId="0" xfId="35" applyNumberFormat="1" applyFont="1" applyFill="1" applyBorder="1" applyAlignment="1"/>
    <xf numFmtId="3" fontId="138" fillId="0" borderId="0" xfId="35" applyNumberFormat="1" applyFont="1" applyFill="1" applyBorder="1" applyAlignment="1">
      <alignment horizontal="right"/>
    </xf>
    <xf numFmtId="164" fontId="138" fillId="0" borderId="0" xfId="35" applyNumberFormat="1" applyFont="1" applyFill="1" applyBorder="1" applyAlignment="1">
      <alignment horizontal="right"/>
    </xf>
    <xf numFmtId="10" fontId="138" fillId="0" borderId="0" xfId="35" applyNumberFormat="1" applyFont="1" applyFill="1" applyBorder="1" applyAlignment="1">
      <alignment horizontal="right"/>
    </xf>
    <xf numFmtId="10" fontId="138" fillId="0" borderId="0" xfId="36" applyNumberFormat="1" applyFont="1" applyFill="1" applyBorder="1" applyAlignment="1">
      <alignment horizontal="right"/>
    </xf>
    <xf numFmtId="3" fontId="138" fillId="0" borderId="0" xfId="35" applyNumberFormat="1" applyFont="1" applyFill="1" applyAlignment="1"/>
    <xf numFmtId="0" fontId="138" fillId="0" borderId="0" xfId="35" applyNumberFormat="1" applyFont="1" applyFill="1" applyAlignment="1"/>
    <xf numFmtId="3" fontId="138" fillId="0" borderId="0" xfId="35" applyNumberFormat="1" applyFont="1" applyFill="1" applyAlignment="1">
      <alignment horizontal="right"/>
    </xf>
    <xf numFmtId="164" fontId="138" fillId="0" borderId="0" xfId="35" applyNumberFormat="1" applyFont="1" applyFill="1" applyAlignment="1">
      <alignment horizontal="right"/>
    </xf>
    <xf numFmtId="10" fontId="138" fillId="0" borderId="0" xfId="35" applyNumberFormat="1" applyFont="1" applyFill="1" applyAlignment="1">
      <alignment horizontal="right"/>
    </xf>
    <xf numFmtId="0" fontId="138" fillId="0" borderId="0" xfId="35" applyNumberFormat="1" applyFont="1" applyFill="1" applyAlignment="1">
      <alignment horizontal="center"/>
    </xf>
    <xf numFmtId="3" fontId="132" fillId="0" borderId="0" xfId="35" applyNumberFormat="1" applyFont="1" applyFill="1" applyBorder="1" applyAlignment="1"/>
    <xf numFmtId="3" fontId="132" fillId="0" borderId="0" xfId="35" applyNumberFormat="1" applyFont="1" applyFill="1" applyAlignment="1"/>
    <xf numFmtId="0" fontId="15" fillId="0" borderId="0" xfId="22" applyNumberFormat="1" applyFont="1" applyFill="1" applyBorder="1" applyAlignment="1">
      <alignment horizontal="center" vertical="center" wrapText="1"/>
    </xf>
    <xf numFmtId="176" fontId="2" fillId="0" borderId="0" xfId="22" applyNumberFormat="1" applyFont="1" applyFill="1" applyBorder="1" applyAlignment="1">
      <alignment horizontal="center" vertical="center"/>
    </xf>
    <xf numFmtId="176" fontId="15" fillId="0" borderId="15" xfId="22" applyNumberFormat="1" applyFont="1" applyFill="1" applyBorder="1" applyAlignment="1">
      <alignment horizontal="center" vertical="center"/>
    </xf>
    <xf numFmtId="0" fontId="18" fillId="0" borderId="0" xfId="22" applyFont="1" applyFill="1" applyAlignment="1">
      <alignment horizontal="center"/>
    </xf>
    <xf numFmtId="178" fontId="138" fillId="0" borderId="0" xfId="36" applyNumberFormat="1" applyFont="1" applyFill="1" applyBorder="1" applyAlignment="1">
      <alignment horizontal="center"/>
    </xf>
    <xf numFmtId="0" fontId="132" fillId="0" borderId="0" xfId="22" applyFont="1" applyFill="1" applyAlignment="1">
      <alignment horizontal="center"/>
    </xf>
    <xf numFmtId="0" fontId="132" fillId="0" borderId="0" xfId="84" applyFont="1" applyFill="1" applyAlignment="1">
      <alignment horizontal="center"/>
    </xf>
    <xf numFmtId="3" fontId="10" fillId="0" borderId="0" xfId="35" applyNumberFormat="1" applyFont="1" applyFill="1" applyAlignment="1">
      <alignment horizontal="center"/>
    </xf>
    <xf numFmtId="0" fontId="132" fillId="0" borderId="0" xfId="11" applyNumberFormat="1" applyFont="1" applyFill="1" applyAlignment="1"/>
    <xf numFmtId="179" fontId="133" fillId="0" borderId="0" xfId="41" applyNumberFormat="1" applyFont="1" applyFill="1" applyAlignment="1"/>
    <xf numFmtId="0" fontId="132" fillId="0" borderId="0" xfId="11" applyFont="1" applyFill="1"/>
    <xf numFmtId="0" fontId="133" fillId="0" borderId="0" xfId="11" applyNumberFormat="1" applyFont="1" applyFill="1" applyAlignment="1"/>
    <xf numFmtId="3" fontId="132" fillId="0" borderId="0" xfId="11" applyNumberFormat="1" applyFont="1" applyFill="1" applyAlignment="1"/>
    <xf numFmtId="0" fontId="133" fillId="0" borderId="0" xfId="11" applyFont="1" applyFill="1"/>
    <xf numFmtId="0" fontId="132" fillId="0" borderId="0" xfId="11" applyNumberFormat="1" applyFont="1" applyFill="1" applyBorder="1" applyAlignment="1"/>
    <xf numFmtId="3" fontId="132" fillId="0" borderId="0" xfId="11" applyNumberFormat="1" applyFont="1" applyFill="1" applyBorder="1" applyAlignment="1"/>
    <xf numFmtId="167" fontId="132" fillId="0" borderId="0" xfId="11" applyNumberFormat="1" applyFont="1" applyFill="1" applyBorder="1" applyAlignment="1"/>
    <xf numFmtId="3" fontId="132" fillId="0" borderId="0" xfId="11" applyNumberFormat="1" applyFont="1" applyFill="1"/>
    <xf numFmtId="0" fontId="132" fillId="0" borderId="0" xfId="25" applyFont="1" applyAlignment="1">
      <alignment horizontal="right"/>
    </xf>
    <xf numFmtId="0" fontId="138" fillId="0" borderId="0" xfId="25" applyFont="1" applyAlignment="1"/>
    <xf numFmtId="0" fontId="132" fillId="0" borderId="0" xfId="25" applyFont="1"/>
    <xf numFmtId="0" fontId="15" fillId="0" borderId="49" xfId="0" applyFont="1" applyBorder="1" applyAlignment="1">
      <alignment horizontal="left" wrapText="1"/>
    </xf>
    <xf numFmtId="5" fontId="138" fillId="0" borderId="0" xfId="14" applyNumberFormat="1" applyFont="1" applyBorder="1" applyProtection="1"/>
    <xf numFmtId="39" fontId="15" fillId="0" borderId="6" xfId="14" applyNumberFormat="1" applyFont="1" applyBorder="1" applyAlignment="1" applyProtection="1">
      <alignment horizontal="right"/>
    </xf>
    <xf numFmtId="37" fontId="15" fillId="0" borderId="6" xfId="14" applyNumberFormat="1" applyFont="1" applyBorder="1" applyAlignment="1" applyProtection="1">
      <alignment horizontal="right"/>
    </xf>
    <xf numFmtId="37" fontId="15" fillId="0" borderId="49" xfId="14" applyNumberFormat="1" applyFont="1" applyBorder="1" applyAlignment="1" applyProtection="1">
      <alignment horizontal="right"/>
    </xf>
    <xf numFmtId="37" fontId="22" fillId="0" borderId="6" xfId="14" applyNumberFormat="1" applyFont="1" applyBorder="1" applyAlignment="1" applyProtection="1">
      <alignment horizontal="right" indent="1"/>
    </xf>
    <xf numFmtId="37" fontId="22" fillId="0" borderId="7" xfId="14" applyNumberFormat="1" applyFont="1" applyBorder="1" applyAlignment="1" applyProtection="1">
      <alignment horizontal="right" indent="1"/>
    </xf>
    <xf numFmtId="0" fontId="2" fillId="0" borderId="0" xfId="21" applyFont="1"/>
    <xf numFmtId="0" fontId="132" fillId="0" borderId="0" xfId="21" applyFont="1" applyBorder="1"/>
    <xf numFmtId="3" fontId="15" fillId="0" borderId="0" xfId="21" applyNumberFormat="1" applyFont="1" applyBorder="1"/>
    <xf numFmtId="164" fontId="15" fillId="0" borderId="0" xfId="21" applyNumberFormat="1" applyFont="1" applyBorder="1"/>
    <xf numFmtId="167" fontId="15" fillId="0" borderId="0" xfId="21" applyNumberFormat="1" applyFont="1" applyBorder="1"/>
    <xf numFmtId="0" fontId="22" fillId="0" borderId="1" xfId="21" applyFont="1" applyBorder="1" applyAlignment="1">
      <alignment vertical="top"/>
    </xf>
    <xf numFmtId="0" fontId="22" fillId="0" borderId="1" xfId="21" applyFont="1" applyBorder="1" applyAlignment="1">
      <alignment horizontal="right" vertical="top"/>
    </xf>
    <xf numFmtId="0" fontId="22" fillId="0" borderId="6" xfId="21" applyFont="1" applyBorder="1" applyAlignment="1">
      <alignment horizontal="center" vertical="top" wrapText="1"/>
    </xf>
    <xf numFmtId="0" fontId="27" fillId="0" borderId="13" xfId="21" applyNumberFormat="1" applyFont="1" applyFill="1" applyBorder="1" applyAlignment="1">
      <alignment horizontal="left"/>
    </xf>
    <xf numFmtId="0" fontId="27" fillId="0" borderId="0" xfId="21" applyNumberFormat="1" applyFont="1" applyFill="1" applyBorder="1" applyAlignment="1">
      <alignment horizontal="left"/>
    </xf>
    <xf numFmtId="0" fontId="10" fillId="0" borderId="0" xfId="21" applyNumberFormat="1" applyFont="1" applyFill="1" applyBorder="1" applyAlignment="1"/>
    <xf numFmtId="0" fontId="132" fillId="0" borderId="0" xfId="16" applyFont="1" applyFill="1" applyAlignment="1" applyProtection="1">
      <alignment horizontal="left" vertical="center"/>
    </xf>
    <xf numFmtId="37" fontId="132" fillId="0" borderId="0" xfId="16" applyNumberFormat="1" applyFont="1" applyAlignment="1" applyProtection="1">
      <alignment vertical="center"/>
    </xf>
    <xf numFmtId="37" fontId="149" fillId="0" borderId="0" xfId="16" applyNumberFormat="1" applyFont="1" applyAlignment="1" applyProtection="1">
      <alignment vertical="center"/>
    </xf>
    <xf numFmtId="0" fontId="132" fillId="0" borderId="0" xfId="16" applyFont="1" applyAlignment="1">
      <alignment vertical="center"/>
    </xf>
    <xf numFmtId="3" fontId="149" fillId="0" borderId="0" xfId="16" applyNumberFormat="1" applyFont="1" applyAlignment="1">
      <alignment vertical="center"/>
    </xf>
    <xf numFmtId="2" fontId="132" fillId="0" borderId="0" xfId="16" applyNumberFormat="1" applyFont="1" applyAlignment="1">
      <alignment vertical="center"/>
    </xf>
    <xf numFmtId="0" fontId="133" fillId="0" borderId="0" xfId="16" applyFont="1" applyAlignment="1">
      <alignment vertical="center"/>
    </xf>
    <xf numFmtId="0" fontId="133" fillId="0" borderId="0" xfId="0" applyFont="1" applyAlignment="1">
      <alignment vertical="center"/>
    </xf>
    <xf numFmtId="0" fontId="133" fillId="0" borderId="0" xfId="16" applyFont="1" applyAlignment="1">
      <alignment horizontal="left" vertical="center"/>
    </xf>
    <xf numFmtId="0" fontId="133" fillId="0" borderId="0" xfId="16" applyFont="1" applyAlignment="1">
      <alignment horizontal="left" vertical="center" wrapText="1"/>
    </xf>
    <xf numFmtId="0" fontId="132" fillId="0" borderId="0" xfId="16" applyFont="1" applyFill="1" applyAlignment="1">
      <alignment vertical="center"/>
    </xf>
    <xf numFmtId="37" fontId="3" fillId="0" borderId="0" xfId="16" applyNumberFormat="1"/>
    <xf numFmtId="9" fontId="3" fillId="0" borderId="0" xfId="36" applyFont="1"/>
    <xf numFmtId="0" fontId="15" fillId="0" borderId="10" xfId="0" applyNumberFormat="1" applyFont="1" applyFill="1" applyBorder="1" applyAlignment="1">
      <alignment horizontal="center"/>
    </xf>
    <xf numFmtId="0" fontId="34" fillId="0" borderId="1" xfId="0" applyNumberFormat="1" applyFont="1" applyBorder="1" applyAlignment="1">
      <alignment horizontal="center"/>
    </xf>
    <xf numFmtId="0" fontId="15" fillId="0" borderId="1" xfId="0" applyNumberFormat="1" applyFont="1" applyFill="1" applyBorder="1" applyAlignment="1">
      <alignment horizontal="center"/>
    </xf>
    <xf numFmtId="0" fontId="15" fillId="0" borderId="49" xfId="0" applyNumberFormat="1" applyFont="1" applyFill="1" applyBorder="1" applyAlignment="1">
      <alignment horizontal="center"/>
    </xf>
    <xf numFmtId="41" fontId="21" fillId="0" borderId="0" xfId="87" applyNumberFormat="1" applyFont="1" applyFill="1"/>
    <xf numFmtId="0" fontId="15" fillId="0" borderId="49" xfId="87" applyFont="1" applyFill="1" applyBorder="1" applyAlignment="1"/>
    <xf numFmtId="0" fontId="132" fillId="0" borderId="0" xfId="87" applyFont="1" applyFill="1" applyAlignment="1"/>
    <xf numFmtId="0" fontId="161" fillId="0" borderId="0" xfId="87" applyFont="1" applyFill="1" applyAlignment="1"/>
    <xf numFmtId="0" fontId="5" fillId="0" borderId="0" xfId="87" applyFont="1" applyFill="1" applyBorder="1" applyAlignment="1"/>
    <xf numFmtId="0" fontId="15" fillId="0" borderId="54" xfId="87" applyFont="1" applyFill="1" applyBorder="1" applyAlignment="1">
      <alignment horizontal="center" vertical="center" wrapText="1"/>
    </xf>
    <xf numFmtId="0" fontId="132" fillId="0" borderId="0" xfId="87" applyFont="1" applyFill="1"/>
    <xf numFmtId="0" fontId="139" fillId="0" borderId="0" xfId="87" applyFont="1" applyFill="1"/>
    <xf numFmtId="0" fontId="139" fillId="0" borderId="0" xfId="87" applyFont="1" applyFill="1" applyBorder="1"/>
    <xf numFmtId="0" fontId="132" fillId="0" borderId="0" xfId="87" applyFont="1" applyFill="1" applyBorder="1"/>
    <xf numFmtId="0" fontId="132" fillId="0" borderId="0" xfId="87" applyFont="1" applyFill="1" applyAlignment="1">
      <alignment horizontal="left"/>
    </xf>
    <xf numFmtId="0" fontId="133" fillId="0" borderId="0" xfId="87" applyFont="1" applyFill="1" applyAlignment="1"/>
    <xf numFmtId="0" fontId="132" fillId="0" borderId="0" xfId="87" applyNumberFormat="1" applyFont="1" applyFill="1" applyAlignment="1">
      <alignment horizontal="center"/>
    </xf>
    <xf numFmtId="179" fontId="133" fillId="0" borderId="0" xfId="88" applyNumberFormat="1" applyFont="1" applyFill="1"/>
    <xf numFmtId="179" fontId="132" fillId="0" borderId="0" xfId="88" applyNumberFormat="1" applyFont="1" applyFill="1" applyAlignment="1"/>
    <xf numFmtId="42" fontId="23" fillId="0" borderId="15" xfId="87" applyNumberFormat="1" applyFont="1" applyFill="1" applyBorder="1" applyAlignment="1"/>
    <xf numFmtId="167" fontId="23" fillId="0" borderId="15" xfId="87" applyNumberFormat="1" applyFont="1" applyFill="1" applyBorder="1" applyAlignment="1"/>
    <xf numFmtId="0" fontId="23" fillId="0" borderId="15" xfId="87" applyFont="1" applyFill="1" applyBorder="1" applyAlignment="1"/>
    <xf numFmtId="42" fontId="23" fillId="0" borderId="15" xfId="87" applyNumberFormat="1" applyFont="1" applyFill="1" applyBorder="1" applyAlignment="1">
      <alignment horizontal="center"/>
    </xf>
    <xf numFmtId="167" fontId="23" fillId="0" borderId="15" xfId="87" applyNumberFormat="1" applyFont="1" applyFill="1" applyBorder="1"/>
    <xf numFmtId="0" fontId="5" fillId="0" borderId="0" xfId="87" applyFont="1" applyFill="1"/>
    <xf numFmtId="0" fontId="15" fillId="0" borderId="49" xfId="87" applyFont="1" applyFill="1" applyBorder="1"/>
    <xf numFmtId="3" fontId="15" fillId="0" borderId="49" xfId="87" applyNumberFormat="1" applyFont="1" applyFill="1" applyBorder="1" applyAlignment="1">
      <alignment horizontal="center"/>
    </xf>
    <xf numFmtId="0" fontId="5" fillId="0" borderId="0" xfId="87" applyFont="1" applyFill="1" applyBorder="1"/>
    <xf numFmtId="167" fontId="0" fillId="0" borderId="0" xfId="0" applyNumberFormat="1" applyFont="1" applyAlignment="1"/>
    <xf numFmtId="0" fontId="0" fillId="0" borderId="16" xfId="0" applyNumberFormat="1" applyFont="1" applyFill="1" applyBorder="1" applyAlignment="1"/>
    <xf numFmtId="164" fontId="8" fillId="0" borderId="1" xfId="0" applyNumberFormat="1" applyFont="1" applyFill="1" applyBorder="1" applyAlignment="1">
      <alignment horizontal="center"/>
    </xf>
    <xf numFmtId="0" fontId="0" fillId="0" borderId="0" xfId="0" applyNumberFormat="1" applyFont="1" applyAlignment="1">
      <alignment horizontal="right" indent="3"/>
    </xf>
    <xf numFmtId="167" fontId="10" fillId="0" borderId="0" xfId="35" applyNumberFormat="1" applyFont="1" applyFill="1" applyAlignment="1">
      <alignment horizontal="right" vertical="top"/>
    </xf>
    <xf numFmtId="0" fontId="29" fillId="0" borderId="15" xfId="35" applyNumberFormat="1" applyFont="1" applyFill="1" applyBorder="1" applyAlignment="1">
      <alignment horizontal="centerContinuous" wrapText="1"/>
    </xf>
    <xf numFmtId="0" fontId="29" fillId="0" borderId="15" xfId="35" applyNumberFormat="1" applyFont="1" applyFill="1" applyBorder="1" applyAlignment="1">
      <alignment horizontal="right" wrapText="1"/>
    </xf>
    <xf numFmtId="0" fontId="29" fillId="0" borderId="15" xfId="35" applyNumberFormat="1" applyFont="1" applyFill="1" applyBorder="1" applyAlignment="1">
      <alignment horizontal="right"/>
    </xf>
    <xf numFmtId="0" fontId="29" fillId="0" borderId="15" xfId="35" applyNumberFormat="1" applyFont="1" applyFill="1" applyBorder="1" applyAlignment="1">
      <alignment horizontal="right" indent="1"/>
    </xf>
    <xf numFmtId="37" fontId="15" fillId="0" borderId="40" xfId="14" applyNumberFormat="1" applyFont="1" applyBorder="1" applyAlignment="1" applyProtection="1">
      <alignment horizontal="right"/>
    </xf>
    <xf numFmtId="37" fontId="15" fillId="0" borderId="41" xfId="14" applyNumberFormat="1" applyFont="1" applyBorder="1" applyAlignment="1" applyProtection="1">
      <alignment horizontal="right"/>
    </xf>
    <xf numFmtId="39" fontId="15" fillId="0" borderId="0" xfId="14" applyNumberFormat="1" applyFont="1" applyBorder="1" applyAlignment="1" applyProtection="1">
      <alignment horizontal="right" indent="2"/>
    </xf>
    <xf numFmtId="0" fontId="14" fillId="0" borderId="6" xfId="14" applyFont="1" applyFill="1" applyBorder="1" applyAlignment="1" applyProtection="1">
      <alignment horizontal="left"/>
    </xf>
    <xf numFmtId="0" fontId="14" fillId="0" borderId="0" xfId="14" applyFont="1" applyFill="1" applyBorder="1" applyAlignment="1" applyProtection="1">
      <alignment horizontal="left"/>
    </xf>
    <xf numFmtId="0" fontId="14" fillId="0" borderId="7" xfId="14" applyFont="1" applyFill="1" applyBorder="1" applyAlignment="1" applyProtection="1">
      <alignment horizontal="left"/>
    </xf>
    <xf numFmtId="0" fontId="16" fillId="0" borderId="0" xfId="14" applyFont="1" applyFill="1" applyAlignment="1" applyProtection="1">
      <alignment horizontal="left"/>
    </xf>
    <xf numFmtId="0" fontId="2" fillId="0" borderId="8" xfId="14" applyFont="1" applyFill="1" applyBorder="1" applyAlignment="1" applyProtection="1">
      <alignment horizontal="left"/>
    </xf>
    <xf numFmtId="0" fontId="2" fillId="0" borderId="0" xfId="14" applyFont="1" applyFill="1" applyBorder="1" applyAlignment="1" applyProtection="1">
      <alignment horizontal="left"/>
    </xf>
    <xf numFmtId="0" fontId="15" fillId="0" borderId="50" xfId="14" applyFont="1" applyFill="1" applyBorder="1" applyAlignment="1" applyProtection="1">
      <alignment horizontal="left"/>
    </xf>
    <xf numFmtId="0" fontId="132" fillId="0" borderId="0" xfId="14" applyFont="1" applyAlignment="1" applyProtection="1">
      <alignment horizontal="left" vertical="top"/>
    </xf>
    <xf numFmtId="37" fontId="132" fillId="0" borderId="0" xfId="14" applyNumberFormat="1" applyFont="1" applyAlignment="1" applyProtection="1">
      <alignment vertical="top"/>
    </xf>
    <xf numFmtId="39" fontId="132" fillId="0" borderId="0" xfId="14" applyNumberFormat="1" applyFont="1" applyAlignment="1" applyProtection="1">
      <alignment vertical="top"/>
    </xf>
    <xf numFmtId="174" fontId="132" fillId="0" borderId="0" xfId="14" applyNumberFormat="1" applyFont="1" applyAlignment="1" applyProtection="1">
      <alignment vertical="top"/>
    </xf>
    <xf numFmtId="0" fontId="132" fillId="0" borderId="0" xfId="14" applyFont="1" applyAlignment="1" applyProtection="1">
      <alignment vertical="top"/>
    </xf>
    <xf numFmtId="0" fontId="132" fillId="0" borderId="0" xfId="13" applyFont="1" applyAlignment="1">
      <alignment vertical="top"/>
    </xf>
    <xf numFmtId="0" fontId="15" fillId="0" borderId="52" xfId="14" applyFont="1" applyBorder="1" applyAlignment="1" applyProtection="1">
      <alignment horizontal="left"/>
    </xf>
    <xf numFmtId="0" fontId="90" fillId="0" borderId="0" xfId="86" applyFill="1" applyAlignment="1" applyProtection="1"/>
    <xf numFmtId="0" fontId="15" fillId="0" borderId="19" xfId="11" applyNumberFormat="1" applyFont="1" applyFill="1" applyBorder="1" applyAlignment="1">
      <alignment horizontal="centerContinuous"/>
    </xf>
    <xf numFmtId="3" fontId="15" fillId="0" borderId="29" xfId="11" applyNumberFormat="1" applyFont="1" applyFill="1" applyBorder="1" applyAlignment="1">
      <alignment horizontal="centerContinuous"/>
    </xf>
    <xf numFmtId="3" fontId="15" fillId="0" borderId="19" xfId="11" applyNumberFormat="1" applyFont="1" applyFill="1" applyBorder="1" applyAlignment="1">
      <alignment horizontal="centerContinuous"/>
    </xf>
    <xf numFmtId="0" fontId="86" fillId="0" borderId="19" xfId="11" applyNumberFormat="1" applyFont="1" applyFill="1" applyBorder="1" applyAlignment="1">
      <alignment horizontal="centerContinuous"/>
    </xf>
    <xf numFmtId="0" fontId="75" fillId="0" borderId="19" xfId="11" applyNumberFormat="1" applyFont="1" applyFill="1" applyBorder="1" applyAlignment="1">
      <alignment horizontal="centerContinuous"/>
    </xf>
    <xf numFmtId="0" fontId="15" fillId="0" borderId="0" xfId="87" applyFont="1" applyFill="1" applyBorder="1" applyAlignment="1">
      <alignment horizontal="left"/>
    </xf>
    <xf numFmtId="0" fontId="90" fillId="0" borderId="0" xfId="86" applyAlignment="1" applyProtection="1">
      <alignment horizontal="right"/>
    </xf>
    <xf numFmtId="0" fontId="0" fillId="0" borderId="0" xfId="0" applyBorder="1" applyAlignment="1">
      <alignment wrapText="1"/>
    </xf>
    <xf numFmtId="0" fontId="20" fillId="0" borderId="0" xfId="8" applyNumberFormat="1" applyFont="1" applyFill="1" applyAlignment="1"/>
    <xf numFmtId="0" fontId="132" fillId="0" borderId="0" xfId="10" applyFont="1" applyAlignment="1">
      <alignment horizontal="left" indent="1"/>
    </xf>
    <xf numFmtId="0" fontId="132" fillId="0" borderId="0" xfId="0" applyFont="1" applyAlignment="1">
      <alignment vertical="top" wrapText="1"/>
    </xf>
    <xf numFmtId="0" fontId="2" fillId="0" borderId="0" xfId="0" applyFont="1" applyBorder="1" applyAlignment="1">
      <alignment wrapText="1"/>
    </xf>
    <xf numFmtId="0" fontId="2" fillId="0" borderId="0" xfId="0" applyFont="1" applyBorder="1" applyAlignment="1">
      <alignment horizontal="left" wrapText="1"/>
    </xf>
    <xf numFmtId="3" fontId="2" fillId="0" borderId="0" xfId="40" applyNumberFormat="1" applyFont="1" applyFill="1" applyBorder="1" applyAlignment="1">
      <alignment horizontal="right"/>
    </xf>
    <xf numFmtId="167" fontId="2" fillId="0" borderId="0" xfId="3" applyNumberFormat="1" applyFont="1" applyFill="1" applyBorder="1" applyAlignment="1">
      <alignment horizontal="right"/>
    </xf>
    <xf numFmtId="0" fontId="2" fillId="0" borderId="0" xfId="40" applyFont="1" applyFill="1" applyBorder="1" applyAlignment="1">
      <alignment wrapText="1"/>
    </xf>
    <xf numFmtId="37" fontId="2" fillId="0" borderId="0" xfId="88" applyNumberFormat="1" applyFont="1" applyBorder="1" applyAlignment="1">
      <alignment horizontal="right" wrapText="1"/>
    </xf>
    <xf numFmtId="0" fontId="2" fillId="0" borderId="0" xfId="91" applyFont="1" applyBorder="1" applyAlignment="1">
      <alignment wrapText="1"/>
    </xf>
    <xf numFmtId="0" fontId="2" fillId="0" borderId="49" xfId="0" applyFont="1" applyBorder="1" applyAlignment="1">
      <alignment wrapText="1"/>
    </xf>
    <xf numFmtId="0" fontId="2" fillId="0" borderId="49" xfId="0" applyFont="1" applyBorder="1" applyAlignment="1">
      <alignment horizontal="left" wrapText="1"/>
    </xf>
    <xf numFmtId="3" fontId="2" fillId="0" borderId="49" xfId="40" applyNumberFormat="1" applyFont="1" applyFill="1" applyBorder="1" applyAlignment="1">
      <alignment horizontal="right"/>
    </xf>
    <xf numFmtId="0" fontId="0" fillId="0" borderId="49" xfId="0" applyBorder="1" applyAlignment="1">
      <alignment wrapText="1"/>
    </xf>
    <xf numFmtId="0" fontId="132" fillId="0" borderId="0" xfId="0" applyFont="1" applyAlignment="1">
      <alignment vertical="top"/>
    </xf>
    <xf numFmtId="0" fontId="72" fillId="0" borderId="49" xfId="0" applyFont="1" applyBorder="1" applyAlignment="1">
      <alignment wrapText="1"/>
    </xf>
    <xf numFmtId="0" fontId="72" fillId="0" borderId="49" xfId="0" applyFont="1" applyBorder="1" applyAlignment="1">
      <alignment horizontal="left" wrapText="1"/>
    </xf>
    <xf numFmtId="5" fontId="2" fillId="0" borderId="0" xfId="14" applyNumberFormat="1" applyFont="1" applyBorder="1" applyProtection="1"/>
    <xf numFmtId="41" fontId="2" fillId="0" borderId="0" xfId="16" applyNumberFormat="1" applyFont="1" applyAlignment="1" applyProtection="1">
      <alignment horizontal="center"/>
    </xf>
    <xf numFmtId="41" fontId="2" fillId="0" borderId="0" xfId="16" quotePrefix="1" applyNumberFormat="1" applyFont="1" applyProtection="1"/>
    <xf numFmtId="41" fontId="2" fillId="0" borderId="0" xfId="16" applyNumberFormat="1" applyFont="1" applyProtection="1"/>
    <xf numFmtId="41" fontId="2" fillId="0" borderId="0" xfId="16" applyNumberFormat="1" applyFont="1" applyFill="1" applyProtection="1"/>
    <xf numFmtId="41" fontId="2" fillId="0" borderId="0" xfId="16" quotePrefix="1" applyNumberFormat="1" applyFont="1" applyAlignment="1" applyProtection="1">
      <alignment horizontal="center"/>
    </xf>
    <xf numFmtId="41" fontId="2" fillId="0" borderId="0" xfId="16" quotePrefix="1" applyNumberFormat="1" applyFont="1" applyFill="1" applyProtection="1"/>
    <xf numFmtId="41" fontId="2" fillId="0" borderId="0" xfId="16" quotePrefix="1" applyNumberFormat="1" applyFont="1" applyFill="1" applyAlignment="1" applyProtection="1">
      <alignment horizontal="center"/>
    </xf>
    <xf numFmtId="0" fontId="23" fillId="3" borderId="9" xfId="16" applyFont="1" applyFill="1" applyBorder="1" applyAlignment="1">
      <alignment horizontal="center" wrapText="1"/>
    </xf>
    <xf numFmtId="0" fontId="23" fillId="0" borderId="9" xfId="16" applyFont="1" applyFill="1" applyBorder="1" applyAlignment="1" applyProtection="1">
      <alignment horizontal="center" wrapText="1"/>
    </xf>
    <xf numFmtId="0" fontId="83" fillId="0" borderId="9" xfId="16" applyFont="1" applyFill="1" applyBorder="1" applyAlignment="1">
      <alignment horizontal="center" wrapText="1"/>
    </xf>
    <xf numFmtId="0" fontId="5" fillId="0" borderId="0" xfId="87" applyFont="1" applyFill="1" applyBorder="1" applyAlignment="1"/>
    <xf numFmtId="0" fontId="132" fillId="0" borderId="0" xfId="87" applyFont="1" applyFill="1" applyAlignment="1">
      <alignment horizontal="left"/>
    </xf>
    <xf numFmtId="5" fontId="10" fillId="0" borderId="0" xfId="16" applyNumberFormat="1" applyFont="1" applyFill="1" applyProtection="1"/>
    <xf numFmtId="5" fontId="10" fillId="0" borderId="0" xfId="16" applyNumberFormat="1" applyFont="1" applyFill="1" applyAlignment="1" applyProtection="1">
      <alignment horizontal="right"/>
    </xf>
    <xf numFmtId="0" fontId="133" fillId="0" borderId="0" xfId="8" applyNumberFormat="1" applyFont="1" applyFill="1" applyAlignment="1">
      <alignment horizontal="left" vertical="center"/>
    </xf>
    <xf numFmtId="0" fontId="3" fillId="0" borderId="0" xfId="8" applyNumberFormat="1" applyFont="1" applyFill="1" applyAlignment="1">
      <alignment horizontal="left"/>
    </xf>
    <xf numFmtId="3" fontId="15" fillId="0" borderId="49" xfId="11" applyNumberFormat="1" applyFont="1" applyFill="1" applyBorder="1"/>
    <xf numFmtId="3" fontId="86" fillId="0" borderId="49" xfId="11" applyNumberFormat="1" applyFont="1" applyFill="1" applyBorder="1"/>
    <xf numFmtId="3" fontId="10" fillId="0" borderId="0" xfId="21" applyNumberFormat="1" applyFont="1" applyAlignment="1"/>
    <xf numFmtId="3" fontId="10" fillId="0" borderId="0" xfId="21" applyNumberFormat="1" applyFont="1" applyFill="1" applyBorder="1" applyAlignment="1"/>
    <xf numFmtId="0" fontId="45" fillId="0" borderId="0" xfId="21" applyFont="1" applyAlignment="1"/>
    <xf numFmtId="3" fontId="10" fillId="0" borderId="0" xfId="21" applyNumberFormat="1" applyFont="1" applyFill="1" applyAlignment="1"/>
    <xf numFmtId="0" fontId="21" fillId="0" borderId="0" xfId="21" applyFont="1" applyAlignment="1"/>
    <xf numFmtId="3" fontId="10" fillId="0" borderId="0" xfId="21" applyNumberFormat="1" applyFont="1" applyBorder="1" applyAlignment="1"/>
    <xf numFmtId="0" fontId="45" fillId="0" borderId="0" xfId="21" applyFont="1" applyBorder="1" applyAlignment="1"/>
    <xf numFmtId="0" fontId="45" fillId="0" borderId="0" xfId="21" applyFont="1" applyFill="1" applyAlignment="1"/>
    <xf numFmtId="3" fontId="10" fillId="37" borderId="0" xfId="21" applyNumberFormat="1" applyFont="1" applyFill="1" applyBorder="1" applyAlignment="1"/>
    <xf numFmtId="164" fontId="10" fillId="37" borderId="0" xfId="21" applyNumberFormat="1" applyFont="1" applyFill="1" applyBorder="1" applyAlignment="1"/>
    <xf numFmtId="167" fontId="10" fillId="0" borderId="0" xfId="21" applyNumberFormat="1" applyFont="1" applyFill="1" applyBorder="1" applyAlignment="1"/>
    <xf numFmtId="164" fontId="10" fillId="0" borderId="0" xfId="21" applyNumberFormat="1" applyFont="1" applyBorder="1" applyAlignment="1"/>
    <xf numFmtId="167" fontId="10" fillId="0" borderId="0" xfId="21" applyNumberFormat="1" applyFont="1" applyBorder="1" applyAlignment="1"/>
    <xf numFmtId="0" fontId="2" fillId="0" borderId="0" xfId="0" applyFont="1" applyBorder="1" applyAlignment="1"/>
    <xf numFmtId="0" fontId="2" fillId="0" borderId="49" xfId="0" applyFont="1" applyBorder="1" applyAlignment="1"/>
    <xf numFmtId="0" fontId="72" fillId="0" borderId="49" xfId="0" applyFont="1" applyBorder="1" applyAlignment="1"/>
    <xf numFmtId="0" fontId="2" fillId="0" borderId="0" xfId="91" applyFont="1" applyBorder="1" applyAlignment="1"/>
    <xf numFmtId="0" fontId="5" fillId="0" borderId="0" xfId="0" applyNumberFormat="1" applyFont="1" applyFill="1" applyAlignment="1"/>
    <xf numFmtId="0" fontId="2" fillId="0" borderId="0" xfId="16" applyFont="1" applyAlignment="1" applyProtection="1">
      <alignment horizontal="center"/>
    </xf>
    <xf numFmtId="10" fontId="3" fillId="0" borderId="0" xfId="36" applyNumberFormat="1" applyFont="1"/>
    <xf numFmtId="1" fontId="132" fillId="0" borderId="0" xfId="16" applyNumberFormat="1" applyFont="1" applyFill="1"/>
    <xf numFmtId="0" fontId="3" fillId="0" borderId="0" xfId="16" applyFont="1"/>
    <xf numFmtId="3" fontId="132" fillId="0" borderId="0" xfId="16" applyNumberFormat="1" applyFont="1" applyAlignment="1">
      <alignment vertical="center"/>
    </xf>
    <xf numFmtId="5" fontId="11" fillId="36" borderId="0" xfId="17" applyNumberFormat="1" applyFont="1" applyFill="1" applyBorder="1" applyProtection="1"/>
    <xf numFmtId="37" fontId="11" fillId="36" borderId="1" xfId="27" applyNumberFormat="1" applyFont="1" applyFill="1" applyBorder="1"/>
    <xf numFmtId="175" fontId="11" fillId="36" borderId="0" xfId="27" applyNumberFormat="1" applyFont="1" applyFill="1" applyBorder="1"/>
    <xf numFmtId="5" fontId="11" fillId="36" borderId="0" xfId="27" applyNumberFormat="1" applyFont="1" applyFill="1" applyBorder="1"/>
    <xf numFmtId="37" fontId="11" fillId="4" borderId="0" xfId="27" applyNumberFormat="1" applyFont="1" applyFill="1" applyBorder="1"/>
    <xf numFmtId="0" fontId="134" fillId="36" borderId="0" xfId="17" applyFont="1" applyFill="1" applyProtection="1"/>
    <xf numFmtId="167" fontId="2" fillId="4" borderId="0" xfId="38" applyNumberFormat="1" applyFont="1" applyFill="1"/>
    <xf numFmtId="3" fontId="2" fillId="4" borderId="0" xfId="38" applyNumberFormat="1" applyFont="1" applyFill="1"/>
    <xf numFmtId="3" fontId="2" fillId="0" borderId="0" xfId="38" applyNumberFormat="1" applyFont="1" applyFill="1"/>
    <xf numFmtId="3" fontId="2" fillId="4" borderId="48" xfId="38" applyNumberFormat="1" applyFont="1" applyFill="1" applyBorder="1"/>
    <xf numFmtId="0" fontId="2" fillId="0" borderId="49" xfId="87" applyFont="1" applyFill="1" applyBorder="1" applyAlignment="1"/>
    <xf numFmtId="167" fontId="2" fillId="0" borderId="0" xfId="87" applyNumberFormat="1" applyFont="1" applyFill="1" applyBorder="1" applyAlignment="1"/>
    <xf numFmtId="169" fontId="52" fillId="0" borderId="0" xfId="36" applyNumberFormat="1" applyFont="1" applyFill="1" applyBorder="1" applyAlignment="1"/>
    <xf numFmtId="169" fontId="2" fillId="0" borderId="49" xfId="36" applyNumberFormat="1" applyFont="1" applyFill="1" applyBorder="1" applyAlignment="1"/>
    <xf numFmtId="168" fontId="2" fillId="0" borderId="0" xfId="87" applyNumberFormat="1" applyFont="1" applyFill="1" applyBorder="1" applyAlignment="1"/>
    <xf numFmtId="4" fontId="2" fillId="0" borderId="0" xfId="87" applyNumberFormat="1" applyFont="1" applyFill="1" applyBorder="1" applyAlignment="1"/>
    <xf numFmtId="169" fontId="2" fillId="0" borderId="0" xfId="36" applyNumberFormat="1" applyFont="1" applyFill="1" applyAlignment="1"/>
    <xf numFmtId="179" fontId="2" fillId="0" borderId="0" xfId="88" applyNumberFormat="1" applyFont="1" applyFill="1" applyAlignment="1"/>
    <xf numFmtId="2" fontId="2" fillId="0" borderId="0" xfId="87" applyNumberFormat="1" applyFont="1" applyFill="1" applyAlignment="1"/>
    <xf numFmtId="3" fontId="2" fillId="0" borderId="0" xfId="87" applyNumberFormat="1" applyFont="1" applyFill="1" applyAlignment="1"/>
    <xf numFmtId="170" fontId="2" fillId="0" borderId="0" xfId="87" applyNumberFormat="1" applyFont="1" applyFill="1" applyAlignment="1"/>
    <xf numFmtId="4" fontId="2" fillId="0" borderId="0" xfId="87" applyNumberFormat="1" applyFont="1" applyFill="1" applyAlignment="1"/>
    <xf numFmtId="3" fontId="21" fillId="0" borderId="0" xfId="40" applyNumberFormat="1" applyFont="1" applyFill="1"/>
    <xf numFmtId="0" fontId="21" fillId="0" borderId="0" xfId="40" applyNumberFormat="1" applyFont="1" applyFill="1" applyAlignment="1">
      <alignment horizontal="center"/>
    </xf>
    <xf numFmtId="167" fontId="11" fillId="0" borderId="0" xfId="87" applyNumberFormat="1" applyFont="1" applyFill="1"/>
    <xf numFmtId="9" fontId="132" fillId="0" borderId="0" xfId="36" applyFont="1" applyFill="1"/>
    <xf numFmtId="167" fontId="21" fillId="0" borderId="0" xfId="91" applyNumberFormat="1" applyFont="1" applyFill="1"/>
    <xf numFmtId="3" fontId="21" fillId="0" borderId="0" xfId="91" applyNumberFormat="1" applyFont="1" applyFill="1" applyBorder="1"/>
    <xf numFmtId="10" fontId="21" fillId="0" borderId="0" xfId="91" applyNumberFormat="1" applyFont="1" applyFill="1" applyBorder="1"/>
    <xf numFmtId="10" fontId="21" fillId="0" borderId="0" xfId="87" applyNumberFormat="1" applyFont="1" applyFill="1" applyBorder="1"/>
    <xf numFmtId="10" fontId="23" fillId="0" borderId="0" xfId="36" applyNumberFormat="1" applyFont="1" applyFill="1" applyBorder="1"/>
    <xf numFmtId="167" fontId="21" fillId="0" borderId="0" xfId="91" quotePrefix="1" applyNumberFormat="1" applyFont="1" applyFill="1" applyAlignment="1">
      <alignment horizontal="right"/>
    </xf>
    <xf numFmtId="167" fontId="21" fillId="0" borderId="0" xfId="87" applyNumberFormat="1" applyFont="1" applyFill="1" applyAlignment="1">
      <alignment horizontal="right"/>
    </xf>
    <xf numFmtId="167" fontId="21" fillId="0" borderId="0" xfId="91" quotePrefix="1" applyNumberFormat="1" applyFont="1" applyFill="1" applyBorder="1" applyAlignment="1">
      <alignment horizontal="right"/>
    </xf>
    <xf numFmtId="3" fontId="21" fillId="0" borderId="0" xfId="91" applyNumberFormat="1" applyFont="1" applyFill="1" applyAlignment="1">
      <alignment horizontal="right"/>
    </xf>
    <xf numFmtId="0" fontId="21" fillId="0" borderId="0" xfId="91" quotePrefix="1" applyNumberFormat="1" applyFont="1" applyFill="1" applyAlignment="1">
      <alignment horizontal="right"/>
    </xf>
    <xf numFmtId="0" fontId="21" fillId="0" borderId="0" xfId="91" applyFont="1" applyFill="1" applyAlignment="1">
      <alignment horizontal="right"/>
    </xf>
    <xf numFmtId="0" fontId="21" fillId="0" borderId="0" xfId="91" quotePrefix="1" applyNumberFormat="1" applyFont="1" applyFill="1" applyBorder="1" applyAlignment="1">
      <alignment horizontal="right"/>
    </xf>
    <xf numFmtId="3" fontId="21" fillId="0" borderId="0" xfId="91" applyNumberFormat="1" applyFont="1" applyFill="1" applyBorder="1" applyAlignment="1">
      <alignment horizontal="right"/>
    </xf>
    <xf numFmtId="167" fontId="21" fillId="0" borderId="0" xfId="91" applyNumberFormat="1" applyFont="1" applyFill="1" applyAlignment="1">
      <alignment horizontal="right"/>
    </xf>
    <xf numFmtId="167" fontId="21" fillId="0" borderId="0" xfId="87" applyNumberFormat="1" applyFont="1" applyFill="1" applyBorder="1"/>
    <xf numFmtId="0" fontId="21" fillId="0" borderId="0" xfId="87" applyFont="1" applyFill="1" applyBorder="1" applyAlignment="1">
      <alignment horizontal="left"/>
    </xf>
    <xf numFmtId="0" fontId="21" fillId="0" borderId="0" xfId="87" applyFont="1" applyFill="1" applyAlignment="1">
      <alignment horizontal="left"/>
    </xf>
    <xf numFmtId="0" fontId="5" fillId="0" borderId="0" xfId="0" applyFont="1" applyAlignment="1">
      <alignment horizontal="centerContinuous"/>
    </xf>
    <xf numFmtId="0" fontId="24" fillId="0" borderId="0" xfId="0" applyFont="1" applyBorder="1" applyAlignment="1">
      <alignment horizontal="center"/>
    </xf>
    <xf numFmtId="0" fontId="36" fillId="0" borderId="0" xfId="0" applyFont="1" applyBorder="1" applyAlignment="1">
      <alignment horizontal="center"/>
    </xf>
    <xf numFmtId="3" fontId="5" fillId="0" borderId="0" xfId="35" applyNumberFormat="1" applyFont="1" applyFill="1" applyAlignment="1"/>
    <xf numFmtId="0" fontId="38" fillId="0" borderId="0" xfId="25" applyAlignment="1"/>
    <xf numFmtId="0" fontId="38" fillId="0" borderId="16" xfId="25" applyBorder="1" applyAlignment="1"/>
    <xf numFmtId="0" fontId="3" fillId="0" borderId="16" xfId="24" applyBorder="1" applyAlignment="1"/>
    <xf numFmtId="0" fontId="3" fillId="0" borderId="0" xfId="24" applyAlignment="1"/>
    <xf numFmtId="0" fontId="22" fillId="0" borderId="0" xfId="25" applyFont="1" applyBorder="1" applyAlignment="1"/>
    <xf numFmtId="0" fontId="3" fillId="0" borderId="0" xfId="24" applyBorder="1" applyAlignment="1"/>
    <xf numFmtId="0" fontId="38" fillId="0" borderId="13" xfId="25" applyBorder="1" applyAlignment="1"/>
    <xf numFmtId="0" fontId="132" fillId="0" borderId="0" xfId="20" applyFont="1" applyAlignment="1">
      <alignment horizontal="left" wrapText="1"/>
    </xf>
    <xf numFmtId="0" fontId="132" fillId="0" borderId="0" xfId="0" applyFont="1" applyAlignment="1">
      <alignment horizontal="left" wrapText="1"/>
    </xf>
    <xf numFmtId="0" fontId="22" fillId="0" borderId="29" xfId="20" applyFont="1" applyBorder="1" applyAlignment="1">
      <alignment horizontal="center"/>
    </xf>
    <xf numFmtId="0" fontId="22" fillId="0" borderId="19" xfId="20" applyFont="1" applyBorder="1" applyAlignment="1">
      <alignment horizontal="center"/>
    </xf>
    <xf numFmtId="0" fontId="38" fillId="0" borderId="0" xfId="25" applyFont="1" applyAlignment="1"/>
    <xf numFmtId="0" fontId="132" fillId="0" borderId="0" xfId="21" applyFont="1" applyFill="1" applyAlignment="1">
      <alignment horizontal="left" vertical="top" wrapText="1"/>
    </xf>
    <xf numFmtId="0" fontId="22" fillId="0" borderId="17" xfId="21" quotePrefix="1" applyFont="1" applyBorder="1" applyAlignment="1">
      <alignment horizontal="center" vertical="top" wrapText="1"/>
    </xf>
    <xf numFmtId="0" fontId="22" fillId="0" borderId="17" xfId="21" applyFont="1" applyBorder="1" applyAlignment="1">
      <alignment horizontal="center" vertical="top" wrapText="1"/>
    </xf>
    <xf numFmtId="0" fontId="132" fillId="0" borderId="0" xfId="21" applyFont="1" applyAlignment="1">
      <alignment horizontal="left" vertical="top" wrapText="1"/>
    </xf>
    <xf numFmtId="0" fontId="132" fillId="0" borderId="0" xfId="21" applyFont="1" applyAlignment="1">
      <alignment vertical="top" wrapText="1"/>
    </xf>
    <xf numFmtId="0" fontId="160" fillId="0" borderId="0" xfId="21" applyFont="1" applyFill="1" applyAlignment="1">
      <alignment horizontal="left" vertical="top" wrapText="1"/>
    </xf>
    <xf numFmtId="0" fontId="22" fillId="0" borderId="17" xfId="21" quotePrefix="1" applyFont="1" applyBorder="1" applyAlignment="1">
      <alignment horizontal="center" wrapText="1"/>
    </xf>
    <xf numFmtId="0" fontId="0" fillId="0" borderId="17" xfId="0" applyBorder="1" applyAlignment="1">
      <alignment horizontal="center" wrapText="1"/>
    </xf>
    <xf numFmtId="0" fontId="132" fillId="0" borderId="0" xfId="26" applyFont="1" applyAlignment="1">
      <alignment wrapText="1"/>
    </xf>
    <xf numFmtId="0" fontId="132" fillId="0" borderId="0" xfId="0" applyFont="1" applyAlignment="1">
      <alignment wrapText="1"/>
    </xf>
    <xf numFmtId="0" fontId="132" fillId="0" borderId="0" xfId="14" applyFont="1" applyBorder="1" applyAlignment="1" applyProtection="1">
      <alignment wrapText="1"/>
    </xf>
    <xf numFmtId="0" fontId="132" fillId="0" borderId="0" xfId="14" applyFont="1" applyAlignment="1" applyProtection="1">
      <alignment horizontal="left" wrapText="1"/>
    </xf>
    <xf numFmtId="0" fontId="136" fillId="0" borderId="0" xfId="14" applyFont="1" applyAlignment="1" applyProtection="1">
      <alignment wrapText="1"/>
    </xf>
    <xf numFmtId="0" fontId="136" fillId="0" borderId="0" xfId="0" applyFont="1" applyAlignment="1">
      <alignment wrapText="1"/>
    </xf>
    <xf numFmtId="0" fontId="2" fillId="0" borderId="0" xfId="0" applyNumberFormat="1" applyFont="1" applyFill="1" applyBorder="1" applyAlignment="1">
      <alignment vertical="center" wrapText="1"/>
    </xf>
    <xf numFmtId="0" fontId="2" fillId="0" borderId="0" xfId="0" applyFont="1" applyAlignment="1">
      <alignment wrapText="1"/>
    </xf>
    <xf numFmtId="0" fontId="23" fillId="0" borderId="17" xfId="16" applyFont="1" applyBorder="1" applyAlignment="1">
      <alignment horizontal="center"/>
    </xf>
    <xf numFmtId="0" fontId="23" fillId="0" borderId="17" xfId="16" applyFont="1" applyBorder="1" applyAlignment="1">
      <alignment horizontal="center" wrapText="1"/>
    </xf>
    <xf numFmtId="0" fontId="132" fillId="0" borderId="0" xfId="28" applyFont="1" applyFill="1" applyAlignment="1">
      <alignment horizontal="left" wrapText="1"/>
    </xf>
    <xf numFmtId="0" fontId="132" fillId="0" borderId="0" xfId="0" applyFont="1" applyFill="1" applyAlignment="1">
      <alignment wrapText="1"/>
    </xf>
    <xf numFmtId="0" fontId="0" fillId="36" borderId="48" xfId="0" applyFill="1" applyBorder="1" applyAlignment="1"/>
    <xf numFmtId="0" fontId="0" fillId="36" borderId="0" xfId="0" applyFill="1" applyBorder="1" applyAlignment="1"/>
    <xf numFmtId="0" fontId="133" fillId="0" borderId="0" xfId="0" applyNumberFormat="1" applyFont="1" applyAlignment="1">
      <alignment horizontal="left" vertical="top" wrapText="1"/>
    </xf>
    <xf numFmtId="0" fontId="132" fillId="0" borderId="0" xfId="0" applyNumberFormat="1" applyFont="1" applyAlignment="1">
      <alignment horizontal="left" vertical="top" wrapText="1"/>
    </xf>
    <xf numFmtId="0" fontId="132" fillId="0" borderId="0" xfId="0" applyNumberFormat="1" applyFont="1" applyFill="1" applyBorder="1" applyAlignment="1">
      <alignment horizontal="left" vertical="top" wrapText="1"/>
    </xf>
    <xf numFmtId="0" fontId="132" fillId="0" borderId="0" xfId="0" applyNumberFormat="1" applyFont="1" applyFill="1" applyAlignment="1">
      <alignment horizontal="left" vertical="top" wrapText="1"/>
    </xf>
    <xf numFmtId="0" fontId="132" fillId="0" borderId="0" xfId="0" applyNumberFormat="1" applyFont="1" applyAlignment="1">
      <alignment vertical="top" wrapText="1"/>
    </xf>
    <xf numFmtId="0" fontId="0" fillId="0" borderId="0" xfId="0" applyAlignment="1">
      <alignment vertical="top" wrapText="1"/>
    </xf>
    <xf numFmtId="0" fontId="132" fillId="0" borderId="0" xfId="0" applyFont="1" applyBorder="1" applyAlignment="1">
      <alignment vertical="top" wrapText="1"/>
    </xf>
    <xf numFmtId="0" fontId="20" fillId="4" borderId="0" xfId="32" applyNumberFormat="1" applyFont="1" applyFill="1" applyAlignment="1">
      <alignment horizontal="left"/>
    </xf>
    <xf numFmtId="0" fontId="132" fillId="4" borderId="0" xfId="33" applyFont="1" applyFill="1" applyBorder="1" applyAlignment="1">
      <alignment horizontal="left" vertical="top" wrapText="1"/>
    </xf>
    <xf numFmtId="0" fontId="132" fillId="0" borderId="0" xfId="33" applyFont="1" applyFill="1" applyBorder="1" applyAlignment="1">
      <alignment horizontal="left" vertical="top" wrapText="1"/>
    </xf>
    <xf numFmtId="0" fontId="2" fillId="0" borderId="0" xfId="14" applyFont="1" applyBorder="1" applyAlignment="1" applyProtection="1">
      <alignment wrapText="1"/>
    </xf>
    <xf numFmtId="0" fontId="2" fillId="0" borderId="0" xfId="14" applyFont="1" applyAlignment="1" applyProtection="1">
      <alignment wrapText="1"/>
    </xf>
    <xf numFmtId="37" fontId="15" fillId="0" borderId="6" xfId="14" applyNumberFormat="1" applyFont="1" applyBorder="1" applyAlignment="1" applyProtection="1">
      <alignment horizontal="center" wrapText="1"/>
    </xf>
    <xf numFmtId="0" fontId="0" fillId="0" borderId="43" xfId="0" applyBorder="1" applyAlignment="1">
      <alignment wrapText="1"/>
    </xf>
    <xf numFmtId="37" fontId="15" fillId="0" borderId="39" xfId="14" applyNumberFormat="1" applyFont="1" applyBorder="1" applyAlignment="1" applyProtection="1">
      <alignment horizontal="center" wrapText="1"/>
    </xf>
    <xf numFmtId="0" fontId="0" fillId="0" borderId="6" xfId="0" applyBorder="1" applyAlignment="1">
      <alignment wrapText="1"/>
    </xf>
    <xf numFmtId="37" fontId="15" fillId="0" borderId="0" xfId="14" applyNumberFormat="1" applyFont="1" applyBorder="1" applyAlignment="1" applyProtection="1">
      <alignment horizontal="center" wrapText="1"/>
    </xf>
    <xf numFmtId="0" fontId="0" fillId="0" borderId="44" xfId="0" applyBorder="1" applyAlignment="1">
      <alignment wrapText="1"/>
    </xf>
    <xf numFmtId="37" fontId="15" fillId="0" borderId="40" xfId="14" applyNumberFormat="1" applyFont="1" applyBorder="1" applyAlignment="1" applyProtection="1">
      <alignment horizontal="center" wrapText="1"/>
    </xf>
    <xf numFmtId="0" fontId="0" fillId="0" borderId="0" xfId="0" applyBorder="1" applyAlignment="1">
      <alignment wrapText="1"/>
    </xf>
    <xf numFmtId="0" fontId="132" fillId="0" borderId="0" xfId="14" applyFont="1" applyAlignment="1" applyProtection="1">
      <alignment horizontal="left" vertical="top" wrapText="1"/>
    </xf>
    <xf numFmtId="0" fontId="132" fillId="0" borderId="0" xfId="0" applyFont="1" applyAlignment="1">
      <alignment vertical="top" wrapText="1"/>
    </xf>
    <xf numFmtId="0" fontId="5" fillId="0" borderId="0" xfId="87" applyFont="1" applyFill="1" applyBorder="1" applyAlignment="1"/>
    <xf numFmtId="0" fontId="132" fillId="0" borderId="0" xfId="87" applyFont="1" applyFill="1" applyAlignment="1">
      <alignment horizontal="left"/>
    </xf>
    <xf numFmtId="0" fontId="156" fillId="0" borderId="0" xfId="87" applyFont="1" applyFill="1" applyBorder="1" applyAlignment="1">
      <alignment horizontal="center"/>
    </xf>
    <xf numFmtId="3" fontId="28" fillId="0" borderId="0" xfId="87" applyNumberFormat="1" applyFont="1" applyFill="1" applyAlignment="1">
      <alignment horizontal="center"/>
    </xf>
    <xf numFmtId="0" fontId="132" fillId="0" borderId="0" xfId="84" applyFont="1" applyFill="1" applyBorder="1" applyAlignment="1">
      <alignment horizontal="left" vertical="top" wrapText="1"/>
    </xf>
    <xf numFmtId="0" fontId="132" fillId="0" borderId="0" xfId="84" applyFont="1" applyFill="1" applyAlignment="1">
      <alignment vertical="top" wrapText="1"/>
    </xf>
  </cellXfs>
  <cellStyles count="92">
    <cellStyle name="20% - Accent1" xfId="59" builtinId="30" customBuiltin="1"/>
    <cellStyle name="20% - Accent2" xfId="63" builtinId="34" customBuiltin="1"/>
    <cellStyle name="20% - Accent3" xfId="67" builtinId="38" customBuiltin="1"/>
    <cellStyle name="20% - Accent4" xfId="71" builtinId="42" customBuiltin="1"/>
    <cellStyle name="20% - Accent5" xfId="75" builtinId="46" customBuiltin="1"/>
    <cellStyle name="20% - Accent6" xfId="79" builtinId="50" customBuiltin="1"/>
    <cellStyle name="40% - Accent1" xfId="60" builtinId="31" customBuiltin="1"/>
    <cellStyle name="40% - Accent2" xfId="64" builtinId="35" customBuiltin="1"/>
    <cellStyle name="40% - Accent3" xfId="68" builtinId="39" customBuiltin="1"/>
    <cellStyle name="40% - Accent4" xfId="72" builtinId="43" customBuiltin="1"/>
    <cellStyle name="40% - Accent5" xfId="76" builtinId="47" customBuiltin="1"/>
    <cellStyle name="40% - Accent6" xfId="80" builtinId="51" customBuiltin="1"/>
    <cellStyle name="60% - Accent1" xfId="61" builtinId="32" customBuiltin="1"/>
    <cellStyle name="60% - Accent2" xfId="65" builtinId="36" customBuiltin="1"/>
    <cellStyle name="60% - Accent3" xfId="69" builtinId="40" customBuiltin="1"/>
    <cellStyle name="60% - Accent4" xfId="73" builtinId="44" customBuiltin="1"/>
    <cellStyle name="60% - Accent5" xfId="77" builtinId="48" customBuiltin="1"/>
    <cellStyle name="60% - Accent6" xfId="81" builtinId="52" customBuiltin="1"/>
    <cellStyle name="Accent1" xfId="58" builtinId="29" customBuiltin="1"/>
    <cellStyle name="Accent2" xfId="62" builtinId="33" customBuiltin="1"/>
    <cellStyle name="Accent3" xfId="66" builtinId="37" customBuiltin="1"/>
    <cellStyle name="Accent4" xfId="70" builtinId="41" customBuiltin="1"/>
    <cellStyle name="Accent5" xfId="74" builtinId="45" customBuiltin="1"/>
    <cellStyle name="Accent6" xfId="78" builtinId="49" customBuiltin="1"/>
    <cellStyle name="Bad" xfId="48" builtinId="27" customBuiltin="1"/>
    <cellStyle name="Calculation" xfId="52" builtinId="22" customBuiltin="1"/>
    <cellStyle name="Check Cell" xfId="54" builtinId="23" customBuiltin="1"/>
    <cellStyle name="Comma" xfId="41" builtinId="3"/>
    <cellStyle name="Comma 2" xfId="1"/>
    <cellStyle name="Comma 3" xfId="2"/>
    <cellStyle name="Comma 4" xfId="88"/>
    <cellStyle name="Currency" xfId="3" builtinId="4"/>
    <cellStyle name="Currency 2" xfId="4"/>
    <cellStyle name="Currency 3" xfId="5"/>
    <cellStyle name="Currency 4" xfId="6"/>
    <cellStyle name="Currency 4 2" xfId="90"/>
    <cellStyle name="Currency 5" xfId="85"/>
    <cellStyle name="Explanatory Text" xfId="56" builtinId="53" customBuiltin="1"/>
    <cellStyle name="Good" xfId="47" builtinId="26" customBuiltin="1"/>
    <cellStyle name="Heading 1" xfId="43" builtinId="16" customBuiltin="1"/>
    <cellStyle name="Heading 2" xfId="44" builtinId="17" customBuiltin="1"/>
    <cellStyle name="Heading 3" xfId="45" builtinId="18" customBuiltin="1"/>
    <cellStyle name="Heading 4" xfId="46" builtinId="19" customBuiltin="1"/>
    <cellStyle name="Hyperlink" xfId="86" builtinId="8"/>
    <cellStyle name="Input" xfId="50" builtinId="20" customBuiltin="1"/>
    <cellStyle name="Linked Cell" xfId="53" builtinId="24" customBuiltin="1"/>
    <cellStyle name="Neutral" xfId="49" builtinId="28" customBuiltin="1"/>
    <cellStyle name="Normal" xfId="0" builtinId="0"/>
    <cellStyle name="Normal 2" xfId="7"/>
    <cellStyle name="Normal 2 2" xfId="8"/>
    <cellStyle name="Normal 3" xfId="9"/>
    <cellStyle name="Normal 3 2" xfId="91"/>
    <cellStyle name="Normal 4" xfId="40"/>
    <cellStyle name="Normal 5" xfId="82"/>
    <cellStyle name="Normal 6" xfId="84"/>
    <cellStyle name="Normal_1998 Surveys" xfId="10"/>
    <cellStyle name="Normal_1998 Surveys 2" xfId="87"/>
    <cellStyle name="Normal_Annual Report FY 06_v2" xfId="11"/>
    <cellStyle name="Normal_Annual Report FY 2004" xfId="12"/>
    <cellStyle name="Normal_Annual Report FY 2009 Final 12282009" xfId="13"/>
    <cellStyle name="Normal_AR99TBL2" xfId="14"/>
    <cellStyle name="Normal_AR99TBL2 2" xfId="15"/>
    <cellStyle name="Normal_AR99TBL3" xfId="16"/>
    <cellStyle name="Normal_AR99TBL3 2" xfId="17"/>
    <cellStyle name="Normal_Sheet1 2" xfId="18"/>
    <cellStyle name="Normal_Sheet1_Table 1.10 Refund Match" xfId="19"/>
    <cellStyle name="Normal_Table 1.10 Refund Match" xfId="20"/>
    <cellStyle name="Normal_Table 1.11 Checkoffs" xfId="21"/>
    <cellStyle name="Normal_Table 1.2–1.4" xfId="22"/>
    <cellStyle name="Normal_Table 1.5-1.7" xfId="23"/>
    <cellStyle name="Normal_Table 1.8-1.9" xfId="24"/>
    <cellStyle name="Normal_Table 1.9 Debt Setoff - Report 138" xfId="25"/>
    <cellStyle name="Normal_Table 2.1" xfId="26"/>
    <cellStyle name="Normal_Table 3.4 2" xfId="27"/>
    <cellStyle name="Normal_Table 3_2" xfId="28"/>
    <cellStyle name="Normal_Table 4.3, 4.4" xfId="29"/>
    <cellStyle name="Normal_Table 4.3, 4.4 Bank Franchise" xfId="30"/>
    <cellStyle name="Normal_Table 4.5" xfId="31"/>
    <cellStyle name="Normal_Table 4.5_1" xfId="32"/>
    <cellStyle name="Normal_Table_4.6_v6" xfId="33"/>
    <cellStyle name="Normal_Table1.5" xfId="34"/>
    <cellStyle name="Normal_Tables 1.2-1.8 2" xfId="35"/>
    <cellStyle name="Note 2" xfId="83"/>
    <cellStyle name="Output" xfId="51" builtinId="21" customBuiltin="1"/>
    <cellStyle name="Percent" xfId="36" builtinId="5"/>
    <cellStyle name="Percent 2" xfId="37"/>
    <cellStyle name="Percent 2 2" xfId="38"/>
    <cellStyle name="Percent 2 2 2" xfId="89"/>
    <cellStyle name="Percent 3" xfId="39"/>
    <cellStyle name="Title" xfId="42" builtinId="15" customBuiltin="1"/>
    <cellStyle name="Total" xfId="57" builtinId="25" customBuiltin="1"/>
    <cellStyle name="Warning Text" xfId="55" builtinId="11" customBuiltin="1"/>
  </cellStyles>
  <dxfs count="2">
    <dxf>
      <font>
        <b/>
        <i/>
        <condense val="0"/>
        <extend val="0"/>
        <color indexed="10"/>
      </font>
    </dxf>
    <dxf>
      <font>
        <b/>
        <i/>
        <condense val="0"/>
        <extend val="0"/>
        <color indexed="10"/>
      </font>
    </dxf>
  </dxfs>
  <tableStyles count="0" defaultTableStyle="TableStyleMedium9" defaultPivotStyle="PivotStyleLight16"/>
  <colors>
    <mruColors>
      <color rgb="FFFFFF99"/>
      <color rgb="FFFFFFCC"/>
      <color rgb="FFAFAFFF"/>
      <color rgb="FF9999FF"/>
      <color rgb="FFFFFFFF"/>
      <color rgb="FF28F84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externalLink" Target="externalLinks/externalLink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2.xml"/><Relationship Id="rId38"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1.xml"/><Relationship Id="rId37" Type="http://schemas.openxmlformats.org/officeDocument/2006/relationships/externalLink" Target="externalLinks/externalLink6.xml"/><Relationship Id="rId40"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externalLink" Target="externalLinks/externalLink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externalLink" Target="externalLinks/externalLink4.xml"/></Relationships>
</file>

<file path=xl/charts/_rels/chart13.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300" b="1" i="0" u="none" strike="noStrike" baseline="0">
                <a:solidFill>
                  <a:srgbClr val="000000"/>
                </a:solidFill>
                <a:latin typeface="Arial Narrow" panose="020B0606020202030204" pitchFamily="34" charset="0"/>
                <a:ea typeface="Arial"/>
                <a:cs typeface="Arial"/>
              </a:defRPr>
            </a:pPr>
            <a:r>
              <a:rPr lang="en-US" sz="1300">
                <a:latin typeface="Arial Narrow" panose="020B0606020202030204" pitchFamily="34" charset="0"/>
              </a:rPr>
              <a:t>Revenue Collections by the Commonwealth of Virginia, FY 2021
</a:t>
            </a:r>
          </a:p>
        </c:rich>
      </c:tx>
      <c:layout>
        <c:manualLayout>
          <c:xMode val="edge"/>
          <c:yMode val="edge"/>
          <c:x val="0.15097529066571108"/>
          <c:y val="0"/>
        </c:manualLayout>
      </c:layout>
      <c:overlay val="0"/>
      <c:spPr>
        <a:noFill/>
        <a:ln w="25400">
          <a:noFill/>
        </a:ln>
      </c:spPr>
    </c:title>
    <c:autoTitleDeleted val="0"/>
    <c:plotArea>
      <c:layout>
        <c:manualLayout>
          <c:layoutTarget val="inner"/>
          <c:xMode val="edge"/>
          <c:yMode val="edge"/>
          <c:x val="0.2333002630600842"/>
          <c:y val="6.3358067827069917E-2"/>
          <c:w val="0.63849588898770726"/>
          <c:h val="0.88784408872335185"/>
        </c:manualLayout>
      </c:layout>
      <c:pieChart>
        <c:varyColors val="1"/>
        <c:ser>
          <c:idx val="0"/>
          <c:order val="0"/>
          <c:spPr>
            <a:solidFill>
              <a:srgbClr val="9999FF"/>
            </a:solidFill>
            <a:ln w="12700">
              <a:solidFill>
                <a:schemeClr val="bg1">
                  <a:lumMod val="65000"/>
                </a:schemeClr>
              </a:solidFill>
              <a:prstDash val="solid"/>
            </a:ln>
          </c:spPr>
          <c:explosion val="10"/>
          <c:dPt>
            <c:idx val="1"/>
            <c:bubble3D val="0"/>
            <c:spPr>
              <a:solidFill>
                <a:srgbClr val="993366"/>
              </a:solidFill>
              <a:ln w="12700">
                <a:solidFill>
                  <a:schemeClr val="bg1">
                    <a:lumMod val="65000"/>
                  </a:schemeClr>
                </a:solidFill>
                <a:prstDash val="solid"/>
              </a:ln>
            </c:spPr>
            <c:extLst>
              <c:ext xmlns:c16="http://schemas.microsoft.com/office/drawing/2014/chart" uri="{C3380CC4-5D6E-409C-BE32-E72D297353CC}">
                <c16:uniqueId val="{00000000-647A-452A-B18E-897E0CE96462}"/>
              </c:ext>
            </c:extLst>
          </c:dPt>
          <c:dPt>
            <c:idx val="2"/>
            <c:bubble3D val="0"/>
            <c:spPr>
              <a:solidFill>
                <a:srgbClr val="FFFFCC"/>
              </a:solidFill>
              <a:ln w="12700">
                <a:solidFill>
                  <a:schemeClr val="bg1">
                    <a:lumMod val="65000"/>
                  </a:schemeClr>
                </a:solidFill>
                <a:prstDash val="solid"/>
              </a:ln>
            </c:spPr>
            <c:extLst>
              <c:ext xmlns:c16="http://schemas.microsoft.com/office/drawing/2014/chart" uri="{C3380CC4-5D6E-409C-BE32-E72D297353CC}">
                <c16:uniqueId val="{00000001-647A-452A-B18E-897E0CE96462}"/>
              </c:ext>
            </c:extLst>
          </c:dPt>
          <c:dPt>
            <c:idx val="3"/>
            <c:bubble3D val="0"/>
            <c:spPr>
              <a:solidFill>
                <a:srgbClr val="CCFFFF"/>
              </a:solidFill>
              <a:ln w="12700">
                <a:solidFill>
                  <a:schemeClr val="bg1">
                    <a:lumMod val="65000"/>
                  </a:schemeClr>
                </a:solidFill>
                <a:prstDash val="solid"/>
              </a:ln>
            </c:spPr>
            <c:extLst>
              <c:ext xmlns:c16="http://schemas.microsoft.com/office/drawing/2014/chart" uri="{C3380CC4-5D6E-409C-BE32-E72D297353CC}">
                <c16:uniqueId val="{00000002-647A-452A-B18E-897E0CE96462}"/>
              </c:ext>
            </c:extLst>
          </c:dPt>
          <c:dLbls>
            <c:dLbl>
              <c:idx val="0"/>
              <c:layout>
                <c:manualLayout>
                  <c:x val="4.6155382457349625E-3"/>
                  <c:y val="3.6190645674304242E-3"/>
                </c:manualLayout>
              </c:layout>
              <c:tx>
                <c:rich>
                  <a:bodyPr/>
                  <a:lstStyle/>
                  <a:p>
                    <a:pPr>
                      <a:defRPr sz="1000" b="0" i="0" u="none" strike="noStrike" baseline="0">
                        <a:solidFill>
                          <a:srgbClr val="000000"/>
                        </a:solidFill>
                        <a:latin typeface="Arial"/>
                        <a:ea typeface="Arial"/>
                        <a:cs typeface="Arial"/>
                      </a:defRPr>
                    </a:pPr>
                    <a:r>
                      <a:rPr lang="en-US" sz="1000"/>
                      <a:t>General Fund (TAX)
34.3%</a:t>
                    </a:r>
                  </a:p>
                </c:rich>
              </c:tx>
              <c:spPr>
                <a:noFill/>
                <a:ln w="25400">
                  <a:noFill/>
                </a:ln>
              </c:spPr>
              <c:dLblPos val="bestFit"/>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647A-452A-B18E-897E0CE96462}"/>
                </c:ext>
              </c:extLst>
            </c:dLbl>
            <c:dLbl>
              <c:idx val="1"/>
              <c:layout>
                <c:manualLayout>
                  <c:x val="2.4349010108904785E-2"/>
                  <c:y val="-4.8361720979370769E-2"/>
                </c:manualLayout>
              </c:layout>
              <c:tx>
                <c:rich>
                  <a:bodyPr/>
                  <a:lstStyle/>
                  <a:p>
                    <a:pPr>
                      <a:defRPr sz="1000" b="0" i="0" u="none" strike="noStrike" baseline="0">
                        <a:solidFill>
                          <a:srgbClr val="000000"/>
                        </a:solidFill>
                        <a:latin typeface="Arial"/>
                        <a:ea typeface="Arial"/>
                        <a:cs typeface="Arial"/>
                      </a:defRPr>
                    </a:pPr>
                    <a:r>
                      <a:rPr lang="en-US" sz="1000"/>
                      <a:t>Non-General</a:t>
                    </a:r>
                    <a:r>
                      <a:rPr lang="en-US" sz="1000" baseline="0"/>
                      <a:t> </a:t>
                    </a:r>
                    <a:r>
                      <a:rPr lang="en-US" sz="1000"/>
                      <a:t> 
Fund (TAX)
1.4%</a:t>
                    </a:r>
                  </a:p>
                </c:rich>
              </c:tx>
              <c:spPr>
                <a:noFill/>
                <a:ln w="25400">
                  <a:noFill/>
                </a:ln>
              </c:spPr>
              <c:dLblPos val="bestFit"/>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647A-452A-B18E-897E0CE96462}"/>
                </c:ext>
              </c:extLst>
            </c:dLbl>
            <c:dLbl>
              <c:idx val="2"/>
              <c:layout>
                <c:manualLayout>
                  <c:x val="-7.4584761982356279E-2"/>
                  <c:y val="6.777794348203689E-2"/>
                </c:manualLayout>
              </c:layout>
              <c:tx>
                <c:rich>
                  <a:bodyPr/>
                  <a:lstStyle/>
                  <a:p>
                    <a:pPr>
                      <a:defRPr sz="1000" b="0" i="0" u="none" strike="noStrike" baseline="0">
                        <a:solidFill>
                          <a:srgbClr val="000000"/>
                        </a:solidFill>
                        <a:latin typeface="Arial"/>
                        <a:ea typeface="Arial"/>
                        <a:cs typeface="Arial"/>
                      </a:defRPr>
                    </a:pPr>
                    <a:r>
                      <a:rPr lang="en-US" sz="1000"/>
                      <a:t>General Fund
 (Other Agencies)
1.6%</a:t>
                    </a:r>
                  </a:p>
                </c:rich>
              </c:tx>
              <c:spPr>
                <a:noFill/>
                <a:ln w="25400">
                  <a:noFill/>
                </a:ln>
              </c:spPr>
              <c:dLblPos val="bestFit"/>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647A-452A-B18E-897E0CE96462}"/>
                </c:ext>
              </c:extLst>
            </c:dLbl>
            <c:dLbl>
              <c:idx val="3"/>
              <c:layout>
                <c:manualLayout>
                  <c:x val="-8.8929696006987708E-3"/>
                  <c:y val="-5.1141496867884155E-2"/>
                </c:manualLayout>
              </c:layout>
              <c:tx>
                <c:rich>
                  <a:bodyPr/>
                  <a:lstStyle/>
                  <a:p>
                    <a:pPr>
                      <a:defRPr sz="1000" b="0" i="0" u="none" strike="noStrike" baseline="0">
                        <a:solidFill>
                          <a:srgbClr val="000000"/>
                        </a:solidFill>
                        <a:latin typeface="Arial"/>
                        <a:ea typeface="Arial"/>
                        <a:cs typeface="Arial"/>
                      </a:defRPr>
                    </a:pPr>
                    <a:r>
                      <a:rPr lang="en-US" sz="1000"/>
                      <a:t>Non-General Fund 
(Other Agencies)
62.7%</a:t>
                    </a:r>
                  </a:p>
                </c:rich>
              </c:tx>
              <c:spPr>
                <a:noFill/>
                <a:ln w="25400">
                  <a:noFill/>
                </a:ln>
              </c:spPr>
              <c:dLblPos val="bestFit"/>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647A-452A-B18E-897E0CE96462}"/>
                </c:ext>
              </c:extLst>
            </c:dLbl>
            <c:numFmt formatCode="0%" sourceLinked="0"/>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0"/>
            <c:showCatName val="1"/>
            <c:showSerName val="0"/>
            <c:showPercent val="0"/>
            <c:showBubbleSize val="0"/>
            <c:showLeaderLines val="0"/>
            <c:extLst>
              <c:ext xmlns:c15="http://schemas.microsoft.com/office/drawing/2012/chart" uri="{CE6537A1-D6FC-4f65-9D91-7224C49458BB}"/>
            </c:extLst>
          </c:dLbls>
          <c:cat>
            <c:strRef>
              <c:f>(RevExp!$A$11:$A$12,RevExp!$A$16:$A$17)</c:f>
              <c:strCache>
                <c:ptCount val="4"/>
                <c:pt idx="0">
                  <c:v>General Fund</c:v>
                </c:pt>
                <c:pt idx="1">
                  <c:v>Non-General Fund</c:v>
                </c:pt>
                <c:pt idx="2">
                  <c:v>General Fund</c:v>
                </c:pt>
                <c:pt idx="3">
                  <c:v>Non-General Fund</c:v>
                </c:pt>
              </c:strCache>
            </c:strRef>
          </c:cat>
          <c:val>
            <c:numRef>
              <c:f>(RevExp!$I$11:$I$12,RevExp!$I$16:$I$17)</c:f>
              <c:numCache>
                <c:formatCode>#,##0</c:formatCode>
                <c:ptCount val="4"/>
                <c:pt idx="0" formatCode="[$$-409]#,##0">
                  <c:v>23992451000</c:v>
                </c:pt>
                <c:pt idx="1">
                  <c:v>1567818000</c:v>
                </c:pt>
                <c:pt idx="2" formatCode="[$$-409]#,##0">
                  <c:v>1091352000</c:v>
                </c:pt>
                <c:pt idx="3">
                  <c:v>48459999000</c:v>
                </c:pt>
              </c:numCache>
            </c:numRef>
          </c:val>
          <c:extLst>
            <c:ext xmlns:c16="http://schemas.microsoft.com/office/drawing/2014/chart" uri="{C3380CC4-5D6E-409C-BE32-E72D297353CC}">
              <c16:uniqueId val="{00000004-647A-452A-B18E-897E0CE96462}"/>
            </c:ext>
          </c:extLst>
        </c:ser>
        <c:dLbls>
          <c:showLegendKey val="0"/>
          <c:showVal val="0"/>
          <c:showCatName val="1"/>
          <c:showSerName val="0"/>
          <c:showPercent val="1"/>
          <c:showBubbleSize val="0"/>
          <c:showLeaderLines val="0"/>
        </c:dLbls>
        <c:firstSliceAng val="0"/>
      </c:pieChart>
    </c:plotArea>
    <c:plotVisOnly val="1"/>
    <c:dispBlanksAs val="zero"/>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300" b="1" i="0" u="none" strike="noStrike" baseline="0">
                <a:solidFill>
                  <a:srgbClr val="000000"/>
                </a:solidFill>
                <a:latin typeface="Arial Narrow" panose="020B0606020202030204" pitchFamily="34" charset="0"/>
                <a:ea typeface="Arial"/>
                <a:cs typeface="Arial"/>
              </a:defRPr>
            </a:pPr>
            <a:r>
              <a:rPr lang="en-US" sz="1300">
                <a:latin typeface="Arial Narrow" panose="020B0606020202030204" pitchFamily="34" charset="0"/>
              </a:rPr>
              <a:t>State and Local Retail Sales &amp; Use Tax Collections</a:t>
            </a:r>
          </a:p>
        </c:rich>
      </c:tx>
      <c:layout>
        <c:manualLayout>
          <c:xMode val="edge"/>
          <c:yMode val="edge"/>
          <c:x val="0.28435523938572721"/>
          <c:y val="2.5778014032212969E-3"/>
        </c:manualLayout>
      </c:layout>
      <c:overlay val="0"/>
      <c:spPr>
        <a:noFill/>
        <a:ln w="25400">
          <a:noFill/>
        </a:ln>
      </c:spPr>
    </c:title>
    <c:autoTitleDeleted val="0"/>
    <c:plotArea>
      <c:layout>
        <c:manualLayout>
          <c:layoutTarget val="inner"/>
          <c:xMode val="edge"/>
          <c:yMode val="edge"/>
          <c:x val="6.542909273361211E-2"/>
          <c:y val="7.7608387014024061E-2"/>
          <c:w val="0.92827561241298695"/>
          <c:h val="0.821721671532474"/>
        </c:manualLayout>
      </c:layout>
      <c:barChart>
        <c:barDir val="col"/>
        <c:grouping val="clustered"/>
        <c:varyColors val="0"/>
        <c:ser>
          <c:idx val="0"/>
          <c:order val="0"/>
          <c:spPr>
            <a:solidFill>
              <a:srgbClr val="9999FF"/>
            </a:solidFill>
            <a:ln w="12700">
              <a:solidFill>
                <a:schemeClr val="bg1">
                  <a:lumMod val="65000"/>
                </a:schemeClr>
              </a:solidFill>
              <a:prstDash val="solid"/>
            </a:ln>
          </c:spPr>
          <c:invertIfNegative val="0"/>
          <c:dLbls>
            <c:numFmt formatCode="&quot;$&quot;#,##0.0" sourceLinked="0"/>
            <c:spPr>
              <a:solidFill>
                <a:schemeClr val="bg1"/>
              </a:solidFill>
              <a:ln>
                <a:noFill/>
              </a:ln>
              <a:effectLst/>
            </c:spPr>
            <c:txPr>
              <a:bodyPr wrap="square" lIns="0" tIns="0" rIns="0" bIns="0" anchor="ctr">
                <a:spAutoFit/>
              </a:bodyPr>
              <a:lstStyle/>
              <a:p>
                <a:pPr>
                  <a:defRPr sz="1000">
                    <a:solidFill>
                      <a:schemeClr val="bg1">
                        <a:lumMod val="50000"/>
                      </a:schemeClr>
                    </a:solidFill>
                    <a:latin typeface="Arial Narrow" panose="020B060602020203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numRef>
              <c:f>'4.1'!$A$7:$A$16</c:f>
              <c:numCache>
                <c:formatCode>General</c:formatCode>
                <c:ptCount val="10"/>
                <c:pt idx="0">
                  <c:v>2012</c:v>
                </c:pt>
                <c:pt idx="1">
                  <c:v>2013</c:v>
                </c:pt>
                <c:pt idx="2">
                  <c:v>2014</c:v>
                </c:pt>
                <c:pt idx="3">
                  <c:v>2015</c:v>
                </c:pt>
                <c:pt idx="4">
                  <c:v>2016</c:v>
                </c:pt>
                <c:pt idx="5">
                  <c:v>2017</c:v>
                </c:pt>
                <c:pt idx="6">
                  <c:v>2018</c:v>
                </c:pt>
                <c:pt idx="7">
                  <c:v>2019</c:v>
                </c:pt>
                <c:pt idx="8">
                  <c:v>2020</c:v>
                </c:pt>
                <c:pt idx="9">
                  <c:v>2021</c:v>
                </c:pt>
              </c:numCache>
            </c:numRef>
          </c:cat>
          <c:val>
            <c:numRef>
              <c:f>'4.1'!$P$7:$P$16</c:f>
              <c:numCache>
                <c:formatCode>_(* #,##0_);_(* \(#,##0\);_(* "-"_);_(@_)</c:formatCode>
                <c:ptCount val="10"/>
                <c:pt idx="0">
                  <c:v>4891193000</c:v>
                </c:pt>
                <c:pt idx="1">
                  <c:v>5052117000</c:v>
                </c:pt>
                <c:pt idx="2">
                  <c:v>5594644000</c:v>
                </c:pt>
                <c:pt idx="3">
                  <c:v>6102277000</c:v>
                </c:pt>
                <c:pt idx="4">
                  <c:v>6204518000</c:v>
                </c:pt>
                <c:pt idx="5">
                  <c:v>6337800000</c:v>
                </c:pt>
                <c:pt idx="6">
                  <c:v>6515598000</c:v>
                </c:pt>
                <c:pt idx="7">
                  <c:v>6776635000</c:v>
                </c:pt>
                <c:pt idx="8">
                  <c:v>7029632000</c:v>
                </c:pt>
                <c:pt idx="9">
                  <c:v>7935765000</c:v>
                </c:pt>
              </c:numCache>
            </c:numRef>
          </c:val>
          <c:extLst>
            <c:ext xmlns:c16="http://schemas.microsoft.com/office/drawing/2014/chart" uri="{C3380CC4-5D6E-409C-BE32-E72D297353CC}">
              <c16:uniqueId val="{00000000-5427-4C96-9613-AEF53680B835}"/>
            </c:ext>
          </c:extLst>
        </c:ser>
        <c:dLbls>
          <c:showLegendKey val="0"/>
          <c:showVal val="0"/>
          <c:showCatName val="0"/>
          <c:showSerName val="0"/>
          <c:showPercent val="0"/>
          <c:showBubbleSize val="0"/>
        </c:dLbls>
        <c:gapWidth val="75"/>
        <c:axId val="80824960"/>
        <c:axId val="80831232"/>
      </c:barChart>
      <c:catAx>
        <c:axId val="80824960"/>
        <c:scaling>
          <c:orientation val="minMax"/>
        </c:scaling>
        <c:delete val="0"/>
        <c:axPos val="b"/>
        <c:title>
          <c:tx>
            <c:rich>
              <a:bodyPr/>
              <a:lstStyle/>
              <a:p>
                <a:pPr>
                  <a:defRPr sz="900" b="1" i="0" u="none" strike="noStrike" baseline="0">
                    <a:solidFill>
                      <a:srgbClr val="000000"/>
                    </a:solidFill>
                    <a:latin typeface="Arial"/>
                    <a:ea typeface="Arial"/>
                    <a:cs typeface="Arial"/>
                  </a:defRPr>
                </a:pPr>
                <a:r>
                  <a:rPr lang="en-US" sz="900"/>
                  <a:t>Fiscal Year</a:t>
                </a:r>
              </a:p>
            </c:rich>
          </c:tx>
          <c:layout>
            <c:manualLayout>
              <c:xMode val="edge"/>
              <c:yMode val="edge"/>
              <c:x val="0.44579790353921117"/>
              <c:y val="0.95157138709071343"/>
            </c:manualLayout>
          </c:layout>
          <c:overlay val="0"/>
          <c:spPr>
            <a:noFill/>
            <a:ln w="25400">
              <a:noFill/>
            </a:ln>
          </c:spPr>
        </c:title>
        <c:numFmt formatCode="General" sourceLinked="1"/>
        <c:majorTickMark val="out"/>
        <c:minorTickMark val="none"/>
        <c:tickLblPos val="low"/>
        <c:spPr>
          <a:ln w="3175">
            <a:solidFill>
              <a:schemeClr val="bg1">
                <a:lumMod val="65000"/>
              </a:schemeClr>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80831232"/>
        <c:crosses val="autoZero"/>
        <c:auto val="1"/>
        <c:lblAlgn val="ctr"/>
        <c:lblOffset val="100"/>
        <c:noMultiLvlLbl val="0"/>
      </c:catAx>
      <c:valAx>
        <c:axId val="80831232"/>
        <c:scaling>
          <c:orientation val="minMax"/>
          <c:min val="0"/>
        </c:scaling>
        <c:delete val="0"/>
        <c:axPos val="l"/>
        <c:majorGridlines>
          <c:spPr>
            <a:ln w="3175">
              <a:solidFill>
                <a:schemeClr val="bg1">
                  <a:lumMod val="75000"/>
                </a:schemeClr>
              </a:solidFill>
              <a:prstDash val="dash"/>
            </a:ln>
          </c:spPr>
        </c:majorGridlines>
        <c:numFmt formatCode="&quot;$&quot;#,##0" sourceLinked="0"/>
        <c:majorTickMark val="out"/>
        <c:minorTickMark val="none"/>
        <c:tickLblPos val="nextTo"/>
        <c:spPr>
          <a:ln w="3175">
            <a:solidFill>
              <a:schemeClr val="bg1">
                <a:lumMod val="65000"/>
              </a:schemeClr>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80824960"/>
        <c:crosses val="autoZero"/>
        <c:crossBetween val="between"/>
        <c:minorUnit val="0.5"/>
        <c:dispUnits>
          <c:builtInUnit val="billions"/>
          <c:dispUnitsLbl>
            <c:layout>
              <c:manualLayout>
                <c:xMode val="edge"/>
                <c:yMode val="edge"/>
                <c:x val="2.7538633837846426E-3"/>
                <c:y val="0.15463985171956601"/>
              </c:manualLayout>
            </c:layout>
            <c:txPr>
              <a:bodyPr/>
              <a:lstStyle/>
              <a:p>
                <a:pPr>
                  <a:defRPr sz="1000" b="1"/>
                </a:pPr>
                <a:endParaRPr lang="en-US"/>
              </a:p>
            </c:txPr>
          </c:dispUnitsLbl>
        </c:dispUnits>
      </c:valAx>
      <c:spPr>
        <a:noFill/>
        <a:ln w="25400">
          <a:noFill/>
        </a:ln>
      </c:spPr>
    </c:plotArea>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n-US"/>
              <a:t>Bank Franchise Tax Collections</a:t>
            </a:r>
          </a:p>
        </c:rich>
      </c:tx>
      <c:layout>
        <c:manualLayout>
          <c:xMode val="edge"/>
          <c:yMode val="edge"/>
          <c:x val="0.25312551077760526"/>
          <c:y val="8.8005979612613885E-3"/>
        </c:manualLayout>
      </c:layout>
      <c:overlay val="0"/>
      <c:spPr>
        <a:noFill/>
        <a:ln w="25400">
          <a:noFill/>
        </a:ln>
      </c:spPr>
    </c:title>
    <c:autoTitleDeleted val="0"/>
    <c:plotArea>
      <c:layout>
        <c:manualLayout>
          <c:layoutTarget val="inner"/>
          <c:xMode val="edge"/>
          <c:yMode val="edge"/>
          <c:x val="0.1042419717623686"/>
          <c:y val="0.127162132556671"/>
          <c:w val="0.8892856653263862"/>
          <c:h val="0.7081261732627121"/>
        </c:manualLayout>
      </c:layout>
      <c:barChart>
        <c:barDir val="col"/>
        <c:grouping val="clustered"/>
        <c:varyColors val="0"/>
        <c:ser>
          <c:idx val="0"/>
          <c:order val="0"/>
          <c:spPr>
            <a:solidFill>
              <a:srgbClr val="9999FF"/>
            </a:solidFill>
            <a:ln w="12700">
              <a:noFill/>
              <a:prstDash val="solid"/>
            </a:ln>
          </c:spPr>
          <c:invertIfNegative val="0"/>
          <c:dLbls>
            <c:numFmt formatCode="&quot;$&quot;#,##0.0" sourceLinked="0"/>
            <c:spPr>
              <a:noFill/>
              <a:ln>
                <a:noFill/>
              </a:ln>
              <a:effectLst/>
            </c:spPr>
            <c:txPr>
              <a:bodyPr wrap="square" lIns="38100" tIns="19050" rIns="38100" bIns="19050" anchor="ctr">
                <a:spAutoFit/>
              </a:bodyPr>
              <a:lstStyle/>
              <a:p>
                <a:pPr>
                  <a:defRPr>
                    <a:solidFill>
                      <a:schemeClr val="tx1">
                        <a:lumMod val="65000"/>
                        <a:lumOff val="35000"/>
                      </a:schemeClr>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'5.3-5.4'!$A$36:$A$41</c:f>
              <c:numCache>
                <c:formatCode>General</c:formatCode>
                <c:ptCount val="6"/>
                <c:pt idx="0">
                  <c:v>2016</c:v>
                </c:pt>
                <c:pt idx="1">
                  <c:v>2017</c:v>
                </c:pt>
                <c:pt idx="2">
                  <c:v>2018</c:v>
                </c:pt>
                <c:pt idx="3">
                  <c:v>2019</c:v>
                </c:pt>
                <c:pt idx="4">
                  <c:v>2020</c:v>
                </c:pt>
                <c:pt idx="5">
                  <c:v>2021</c:v>
                </c:pt>
              </c:numCache>
            </c:numRef>
          </c:cat>
          <c:val>
            <c:numRef>
              <c:f>'5.3-5.4'!$B$36:$B$41</c:f>
              <c:numCache>
                <c:formatCode>#,##0</c:formatCode>
                <c:ptCount val="6"/>
                <c:pt idx="0" formatCode="&quot;$&quot;#,##0">
                  <c:v>21142000</c:v>
                </c:pt>
                <c:pt idx="1">
                  <c:v>23068000</c:v>
                </c:pt>
                <c:pt idx="2">
                  <c:v>23724800</c:v>
                </c:pt>
                <c:pt idx="3">
                  <c:v>29641360</c:v>
                </c:pt>
                <c:pt idx="4">
                  <c:v>25949060</c:v>
                </c:pt>
                <c:pt idx="5">
                  <c:v>29336130</c:v>
                </c:pt>
              </c:numCache>
            </c:numRef>
          </c:val>
          <c:extLst>
            <c:ext xmlns:c16="http://schemas.microsoft.com/office/drawing/2014/chart" uri="{C3380CC4-5D6E-409C-BE32-E72D297353CC}">
              <c16:uniqueId val="{00000000-1F59-4639-B18B-99F958A20FFE}"/>
            </c:ext>
          </c:extLst>
        </c:ser>
        <c:dLbls>
          <c:showLegendKey val="0"/>
          <c:showVal val="0"/>
          <c:showCatName val="0"/>
          <c:showSerName val="0"/>
          <c:showPercent val="0"/>
          <c:showBubbleSize val="0"/>
        </c:dLbls>
        <c:gapWidth val="75"/>
        <c:axId val="86595840"/>
        <c:axId val="86606208"/>
      </c:barChart>
      <c:catAx>
        <c:axId val="86595840"/>
        <c:scaling>
          <c:orientation val="minMax"/>
        </c:scaling>
        <c:delete val="0"/>
        <c:axPos val="b"/>
        <c:title>
          <c:tx>
            <c:rich>
              <a:bodyPr/>
              <a:lstStyle/>
              <a:p>
                <a:pPr>
                  <a:defRPr sz="1000" b="1" i="0" u="none" strike="noStrike" baseline="0">
                    <a:solidFill>
                      <a:srgbClr val="000000"/>
                    </a:solidFill>
                    <a:latin typeface="Arial"/>
                    <a:ea typeface="Arial"/>
                    <a:cs typeface="Arial"/>
                  </a:defRPr>
                </a:pPr>
                <a:r>
                  <a:rPr lang="en-US" sz="1000"/>
                  <a:t>Fiscal Year</a:t>
                </a:r>
              </a:p>
            </c:rich>
          </c:tx>
          <c:layout>
            <c:manualLayout>
              <c:xMode val="edge"/>
              <c:yMode val="edge"/>
              <c:x val="0.45714361036328877"/>
              <c:y val="0.91889806736514723"/>
            </c:manualLayout>
          </c:layout>
          <c:overlay val="0"/>
          <c:spPr>
            <a:noFill/>
            <a:ln w="25400">
              <a:noFill/>
            </a:ln>
          </c:spPr>
        </c:title>
        <c:numFmt formatCode="#\ ?/?" sourceLinked="0"/>
        <c:majorTickMark val="out"/>
        <c:minorTickMark val="none"/>
        <c:tickLblPos val="low"/>
        <c:spPr>
          <a:ln w="3175">
            <a:solidFill>
              <a:schemeClr val="bg1">
                <a:lumMod val="65000"/>
              </a:schemeClr>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86606208"/>
        <c:crossesAt val="0"/>
        <c:auto val="1"/>
        <c:lblAlgn val="ctr"/>
        <c:lblOffset val="100"/>
        <c:noMultiLvlLbl val="0"/>
      </c:catAx>
      <c:valAx>
        <c:axId val="86606208"/>
        <c:scaling>
          <c:orientation val="minMax"/>
          <c:min val="0"/>
        </c:scaling>
        <c:delete val="0"/>
        <c:axPos val="l"/>
        <c:majorGridlines>
          <c:spPr>
            <a:ln w="3175">
              <a:solidFill>
                <a:schemeClr val="bg1">
                  <a:lumMod val="65000"/>
                </a:schemeClr>
              </a:solidFill>
              <a:prstDash val="dash"/>
            </a:ln>
          </c:spPr>
        </c:majorGridlines>
        <c:numFmt formatCode="\$#,##0" sourceLinked="0"/>
        <c:majorTickMark val="out"/>
        <c:minorTickMark val="none"/>
        <c:tickLblPos val="nextTo"/>
        <c:spPr>
          <a:ln w="3175">
            <a:solidFill>
              <a:schemeClr val="bg1">
                <a:lumMod val="65000"/>
              </a:schemeClr>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86595840"/>
        <c:crosses val="autoZero"/>
        <c:crossBetween val="between"/>
        <c:dispUnits>
          <c:builtInUnit val="millions"/>
          <c:dispUnitsLbl/>
        </c:dispUnits>
      </c:valAx>
      <c:spPr>
        <a:noFill/>
        <a:ln w="25400">
          <a:noFill/>
        </a:ln>
      </c:spPr>
    </c:plotArea>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orientation="landscape"/>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ysClr val="windowText" lastClr="000000"/>
                </a:solidFill>
                <a:latin typeface="+mn-lt"/>
                <a:ea typeface="+mn-ea"/>
                <a:cs typeface="+mn-cs"/>
              </a:defRPr>
            </a:pPr>
            <a:r>
              <a:rPr lang="en-US" baseline="0">
                <a:solidFill>
                  <a:sysClr val="windowText" lastClr="000000"/>
                </a:solidFill>
              </a:rPr>
              <a:t>Nonprofit Organization Tax Exemption</a:t>
            </a:r>
          </a:p>
        </c:rich>
      </c:tx>
      <c:layout>
        <c:manualLayout>
          <c:xMode val="edge"/>
          <c:yMode val="edge"/>
          <c:x val="0.19608516958635988"/>
          <c:y val="1.1437007874015748E-3"/>
        </c:manualLayout>
      </c:layout>
      <c:overlay val="0"/>
      <c:spPr>
        <a:noFill/>
        <a:ln>
          <a:noFill/>
        </a:ln>
        <a:effectLst/>
      </c:spPr>
    </c:title>
    <c:autoTitleDeleted val="0"/>
    <c:plotArea>
      <c:layout>
        <c:manualLayout>
          <c:layoutTarget val="inner"/>
          <c:xMode val="edge"/>
          <c:yMode val="edge"/>
          <c:x val="9.3682278385494533E-2"/>
          <c:y val="0.10802821522309713"/>
          <c:w val="0.88822986881076671"/>
          <c:h val="0.76588976377952755"/>
        </c:manualLayout>
      </c:layout>
      <c:barChart>
        <c:barDir val="col"/>
        <c:grouping val="clustered"/>
        <c:varyColors val="0"/>
        <c:ser>
          <c:idx val="0"/>
          <c:order val="0"/>
          <c:tx>
            <c:strRef>
              <c:f>'7.1'!$B$5</c:f>
              <c:strCache>
                <c:ptCount val="1"/>
                <c:pt idx="0">
                  <c:v>Amount ($)</c:v>
                </c:pt>
              </c:strCache>
            </c:strRef>
          </c:tx>
          <c:spPr>
            <a:solidFill>
              <a:srgbClr val="AFAFFF"/>
            </a:solidFill>
            <a:ln>
              <a:noFill/>
            </a:ln>
            <a:effectLst>
              <a:outerShdw blurRad="40000" dist="23000" dir="5400000" rotWithShape="0">
                <a:srgbClr val="000000">
                  <a:alpha val="35000"/>
                </a:srgbClr>
              </a:outerShdw>
            </a:effectLst>
            <a:sp3d>
              <a:contourClr>
                <a:srgbClr val="000000"/>
              </a:contourClr>
            </a:sp3d>
          </c:spPr>
          <c:invertIfNegative val="0"/>
          <c:dLbls>
            <c:spPr>
              <a:solidFill>
                <a:schemeClr val="bg1"/>
              </a:solidFill>
              <a:ln>
                <a:noFill/>
              </a:ln>
              <a:effectLst/>
            </c:spPr>
            <c:txPr>
              <a:bodyPr rot="0" spcFirstLastPara="1" vertOverflow="ellipsis" vert="horz" wrap="square" lIns="0" tIns="0" rIns="0" bIns="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a:solidFill>
                        <a:schemeClr val="tx2">
                          <a:lumMod val="35000"/>
                          <a:lumOff val="65000"/>
                        </a:schemeClr>
                      </a:solidFill>
                    </a:ln>
                    <a:effectLst/>
                  </c:spPr>
                </c15:leaderLines>
              </c:ext>
            </c:extLst>
          </c:dLbls>
          <c:cat>
            <c:numRef>
              <c:f>'7.1'!$A$6:$A$20</c:f>
              <c:numCache>
                <c:formatCode>General</c:formatCode>
                <c:ptCount val="14"/>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numCache>
            </c:numRef>
          </c:cat>
          <c:val>
            <c:numRef>
              <c:f>'7.1'!$B$6:$B$20</c:f>
              <c:numCache>
                <c:formatCode>#,##0</c:formatCode>
                <c:ptCount val="14"/>
                <c:pt idx="0">
                  <c:v>213829116.38640201</c:v>
                </c:pt>
                <c:pt idx="1">
                  <c:v>175364334.91890469</c:v>
                </c:pt>
                <c:pt idx="2">
                  <c:v>143554116.64843339</c:v>
                </c:pt>
                <c:pt idx="3">
                  <c:v>150273915</c:v>
                </c:pt>
                <c:pt idx="4">
                  <c:v>156945693.35438961</c:v>
                </c:pt>
                <c:pt idx="5">
                  <c:v>161434467.78945559</c:v>
                </c:pt>
                <c:pt idx="6">
                  <c:v>208366102.08833417</c:v>
                </c:pt>
                <c:pt idx="7">
                  <c:v>210994603.36485529</c:v>
                </c:pt>
                <c:pt idx="8">
                  <c:v>223074819.58170167</c:v>
                </c:pt>
                <c:pt idx="9">
                  <c:v>244370076.32769448</c:v>
                </c:pt>
                <c:pt idx="10">
                  <c:v>314543689.44675058</c:v>
                </c:pt>
                <c:pt idx="11">
                  <c:v>352673576.32049298</c:v>
                </c:pt>
                <c:pt idx="12">
                  <c:v>362781521.93254882</c:v>
                </c:pt>
                <c:pt idx="13">
                  <c:v>378603136.28511971</c:v>
                </c:pt>
              </c:numCache>
            </c:numRef>
          </c:val>
          <c:extLst>
            <c:ext xmlns:c16="http://schemas.microsoft.com/office/drawing/2014/chart" uri="{C3380CC4-5D6E-409C-BE32-E72D297353CC}">
              <c16:uniqueId val="{00000000-D681-4B12-9196-CA936C8FF275}"/>
            </c:ext>
          </c:extLst>
        </c:ser>
        <c:dLbls>
          <c:showLegendKey val="0"/>
          <c:showVal val="0"/>
          <c:showCatName val="0"/>
          <c:showSerName val="0"/>
          <c:showPercent val="0"/>
          <c:showBubbleSize val="0"/>
        </c:dLbls>
        <c:gapWidth val="75"/>
        <c:axId val="389499248"/>
        <c:axId val="389497936"/>
      </c:barChart>
      <c:catAx>
        <c:axId val="389499248"/>
        <c:scaling>
          <c:orientation val="minMax"/>
        </c:scaling>
        <c:delete val="0"/>
        <c:axPos val="b"/>
        <c:minorGridlines>
          <c:spPr>
            <a:ln>
              <a:noFill/>
            </a:ln>
            <a:effectLst>
              <a:outerShdw blurRad="50800" dist="50800" dir="5400000" algn="ctr" rotWithShape="0">
                <a:schemeClr val="tx1"/>
              </a:outerShdw>
            </a:effectLst>
          </c:spPr>
        </c:minorGridlines>
        <c:title>
          <c:tx>
            <c:rich>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US" sz="1000" baseline="0">
                    <a:solidFill>
                      <a:schemeClr val="tx1">
                        <a:lumMod val="65000"/>
                        <a:lumOff val="35000"/>
                      </a:schemeClr>
                    </a:solidFill>
                  </a:rPr>
                  <a:t>Fiscal Year</a:t>
                </a:r>
              </a:p>
            </c:rich>
          </c:tx>
          <c:layout>
            <c:manualLayout>
              <c:xMode val="edge"/>
              <c:yMode val="edge"/>
              <c:x val="0.47680126977371073"/>
              <c:y val="0.93387565616797896"/>
            </c:manualLayout>
          </c:layout>
          <c:overlay val="0"/>
          <c:spPr>
            <a:noFill/>
            <a:ln>
              <a:noFill/>
            </a:ln>
            <a:effectLst/>
          </c:spPr>
        </c:title>
        <c:numFmt formatCode="General" sourceLinked="1"/>
        <c:majorTickMark val="out"/>
        <c:minorTickMark val="none"/>
        <c:tickLblPos val="nextTo"/>
        <c:spPr>
          <a:noFill/>
          <a:ln w="9525" cap="flat" cmpd="sng" algn="ctr">
            <a:solidFill>
              <a:schemeClr val="bg1">
                <a:lumMod val="6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crossAx val="389497936"/>
        <c:crosses val="autoZero"/>
        <c:auto val="0"/>
        <c:lblAlgn val="ctr"/>
        <c:lblOffset val="100"/>
        <c:noMultiLvlLbl val="0"/>
      </c:catAx>
      <c:valAx>
        <c:axId val="389497936"/>
        <c:scaling>
          <c:orientation val="minMax"/>
          <c:max val="430000000"/>
          <c:min val="0"/>
        </c:scaling>
        <c:delete val="0"/>
        <c:axPos val="l"/>
        <c:majorGridlines>
          <c:spPr>
            <a:ln w="9525" cap="flat" cmpd="sng" algn="ctr">
              <a:solidFill>
                <a:schemeClr val="bg1">
                  <a:lumMod val="65000"/>
                </a:schemeClr>
              </a:solidFill>
              <a:prstDash val="dash"/>
              <a:round/>
            </a:ln>
            <a:effectLst/>
          </c:spPr>
        </c:majorGridlines>
        <c:numFmt formatCode="#,##0" sourceLinked="1"/>
        <c:majorTickMark val="none"/>
        <c:minorTickMark val="none"/>
        <c:tickLblPos val="nextTo"/>
        <c:spPr>
          <a:noFill/>
          <a:ln>
            <a:solidFill>
              <a:schemeClr val="bg1">
                <a:lumMod val="65000"/>
              </a:schemeClr>
            </a:solid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crossAx val="389499248"/>
        <c:crosses val="autoZero"/>
        <c:crossBetween val="between"/>
        <c:majorUnit val="50000000"/>
        <c:dispUnits>
          <c:builtInUnit val="millions"/>
          <c:dispUnitsLbl>
            <c:layout>
              <c:manualLayout>
                <c:xMode val="edge"/>
                <c:yMode val="edge"/>
                <c:x val="1.6390693297570888E-3"/>
                <c:y val="0.10802810284604869"/>
              </c:manualLayout>
            </c:layout>
            <c:spPr>
              <a:noFill/>
              <a:ln>
                <a:noFill/>
              </a:ln>
              <a:effectLst/>
            </c:spPr>
            <c:txPr>
              <a:bodyPr rot="-54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dispUnitsLbl>
        </c:dispUnits>
      </c:valAx>
      <c:spPr>
        <a:noFill/>
        <a:ln>
          <a:solidFill>
            <a:schemeClr val="bg1">
              <a:lumMod val="75000"/>
            </a:schemeClr>
          </a:solidFill>
        </a:ln>
        <a:effectLst/>
      </c:spPr>
    </c:plotArea>
    <c:plotVisOnly val="1"/>
    <c:dispBlanksAs val="gap"/>
    <c:showDLblsOverMax val="0"/>
  </c:chart>
  <c:spPr>
    <a:solidFill>
      <a:srgbClr val="FFFFFF"/>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ysClr val="windowText" lastClr="000000"/>
                </a:solidFill>
                <a:latin typeface="+mn-lt"/>
                <a:ea typeface="+mn-ea"/>
                <a:cs typeface="+mn-cs"/>
              </a:defRPr>
            </a:pPr>
            <a:r>
              <a:rPr lang="en-US" baseline="0">
                <a:solidFill>
                  <a:sysClr val="windowText" lastClr="000000"/>
                </a:solidFill>
              </a:rPr>
              <a:t>Nonprofit Organization Tax Exemption</a:t>
            </a:r>
          </a:p>
        </c:rich>
      </c:tx>
      <c:layout>
        <c:manualLayout>
          <c:xMode val="edge"/>
          <c:yMode val="edge"/>
          <c:x val="0.19608516958635988"/>
          <c:y val="2.6143790849673203E-2"/>
        </c:manualLayout>
      </c:layout>
      <c:overlay val="0"/>
      <c:spPr>
        <a:noFill/>
        <a:ln>
          <a:noFill/>
        </a:ln>
        <a:effectLst/>
      </c:spPr>
      <c:txPr>
        <a:bodyPr rot="0" spcFirstLastPara="1" vertOverflow="ellipsis" vert="horz" wrap="square" anchor="ctr" anchorCtr="1"/>
        <a:lstStyle/>
        <a:p>
          <a:pPr>
            <a:defRPr sz="1600" b="1" i="0" u="none" strike="noStrike" kern="1200" baseline="0">
              <a:solidFill>
                <a:sysClr val="windowText" lastClr="000000"/>
              </a:solidFill>
              <a:latin typeface="+mn-lt"/>
              <a:ea typeface="+mn-ea"/>
              <a:cs typeface="+mn-cs"/>
            </a:defRPr>
          </a:pPr>
          <a:endParaRPr lang="en-US"/>
        </a:p>
      </c:txPr>
    </c:title>
    <c:autoTitleDeleted val="0"/>
    <c:view3D>
      <c:rotX val="15"/>
      <c:rotY val="20"/>
      <c:depthPercent val="100"/>
      <c:rAngAx val="1"/>
    </c:view3D>
    <c:floor>
      <c:thickness val="0"/>
      <c:spPr>
        <a:solidFill>
          <a:schemeClr val="bg1">
            <a:lumMod val="85000"/>
          </a:schemeClr>
        </a:solidFill>
        <a:ln>
          <a:solidFill>
            <a:schemeClr val="bg1">
              <a:lumMod val="50000"/>
            </a:schemeClr>
          </a:solidFill>
        </a:ln>
        <a:effectLst/>
        <a:sp3d>
          <a:contourClr>
            <a:schemeClr val="bg1">
              <a:lumMod val="50000"/>
            </a:schemeClr>
          </a:contourClr>
        </a:sp3d>
      </c:spPr>
    </c:floor>
    <c:sideWall>
      <c:thickness val="0"/>
      <c:spPr>
        <a:solidFill>
          <a:schemeClr val="bg1">
            <a:lumMod val="75000"/>
            <a:alpha val="57000"/>
          </a:schemeClr>
        </a:solidFill>
        <a:ln>
          <a:solidFill>
            <a:srgbClr val="000000"/>
          </a:solidFill>
        </a:ln>
        <a:effectLst/>
        <a:sp3d>
          <a:contourClr>
            <a:srgbClr val="000000"/>
          </a:contourClr>
        </a:sp3d>
      </c:spPr>
    </c:sideWall>
    <c:backWall>
      <c:thickness val="0"/>
      <c:spPr>
        <a:noFill/>
        <a:ln>
          <a:solidFill>
            <a:schemeClr val="bg1">
              <a:lumMod val="50000"/>
            </a:schemeClr>
          </a:solidFill>
        </a:ln>
        <a:effectLst/>
        <a:sp3d>
          <a:contourClr>
            <a:schemeClr val="bg1">
              <a:lumMod val="50000"/>
            </a:schemeClr>
          </a:contourClr>
        </a:sp3d>
      </c:spPr>
    </c:backWall>
    <c:plotArea>
      <c:layout>
        <c:manualLayout>
          <c:layoutTarget val="inner"/>
          <c:xMode val="edge"/>
          <c:yMode val="edge"/>
          <c:x val="0.1371425664815154"/>
          <c:y val="0.13302832244008714"/>
          <c:w val="0.81634580561150782"/>
          <c:h val="0.71588976377952751"/>
        </c:manualLayout>
      </c:layout>
      <c:bar3DChart>
        <c:barDir val="col"/>
        <c:grouping val="stacked"/>
        <c:varyColors val="0"/>
        <c:ser>
          <c:idx val="0"/>
          <c:order val="0"/>
          <c:tx>
            <c:strRef>
              <c:f>'7.1'!$B$5</c:f>
              <c:strCache>
                <c:ptCount val="1"/>
                <c:pt idx="0">
                  <c:v>Amount ($)</c:v>
                </c:pt>
              </c:strCache>
            </c:strRef>
          </c:tx>
          <c:spPr>
            <a:solidFill>
              <a:srgbClr val="AFAFFF"/>
            </a:solidFill>
            <a:ln>
              <a:solidFill>
                <a:srgbClr val="000000"/>
              </a:solidFill>
            </a:ln>
            <a:effectLst>
              <a:outerShdw blurRad="40000" dist="23000" dir="5400000" rotWithShape="0">
                <a:srgbClr val="000000">
                  <a:alpha val="35000"/>
                </a:srgbClr>
              </a:outerShdw>
            </a:effectLst>
            <a:sp3d>
              <a:contourClr>
                <a:srgbClr val="000000"/>
              </a:contourClr>
            </a:sp3d>
          </c:spPr>
          <c:invertIfNegative val="0"/>
          <c:cat>
            <c:numRef>
              <c:f>'7.1'!$A$6:$A$20</c:f>
              <c:numCache>
                <c:formatCode>General</c:formatCode>
                <c:ptCount val="14"/>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numCache>
            </c:numRef>
          </c:cat>
          <c:val>
            <c:numRef>
              <c:f>'7.1'!$B$6:$B$20</c:f>
              <c:numCache>
                <c:formatCode>#,##0</c:formatCode>
                <c:ptCount val="14"/>
                <c:pt idx="0">
                  <c:v>213829116.38640201</c:v>
                </c:pt>
                <c:pt idx="1">
                  <c:v>175364334.91890469</c:v>
                </c:pt>
                <c:pt idx="2">
                  <c:v>143554116.64843339</c:v>
                </c:pt>
                <c:pt idx="3">
                  <c:v>150273915</c:v>
                </c:pt>
                <c:pt idx="4">
                  <c:v>156945693.35438961</c:v>
                </c:pt>
                <c:pt idx="5">
                  <c:v>161434467.78945559</c:v>
                </c:pt>
                <c:pt idx="6">
                  <c:v>208366102.08833417</c:v>
                </c:pt>
                <c:pt idx="7">
                  <c:v>210994603.36485529</c:v>
                </c:pt>
                <c:pt idx="8">
                  <c:v>223074819.58170167</c:v>
                </c:pt>
                <c:pt idx="9">
                  <c:v>244370076.32769448</c:v>
                </c:pt>
                <c:pt idx="10">
                  <c:v>314543689.44675058</c:v>
                </c:pt>
                <c:pt idx="11">
                  <c:v>352673576.32049298</c:v>
                </c:pt>
                <c:pt idx="12">
                  <c:v>362781521.93254882</c:v>
                </c:pt>
                <c:pt idx="13">
                  <c:v>378603136.28511971</c:v>
                </c:pt>
              </c:numCache>
            </c:numRef>
          </c:val>
          <c:extLst>
            <c:ext xmlns:c16="http://schemas.microsoft.com/office/drawing/2014/chart" uri="{C3380CC4-5D6E-409C-BE32-E72D297353CC}">
              <c16:uniqueId val="{00000000-532B-4A4D-ABAD-80798FF62A7F}"/>
            </c:ext>
          </c:extLst>
        </c:ser>
        <c:dLbls>
          <c:showLegendKey val="0"/>
          <c:showVal val="0"/>
          <c:showCatName val="0"/>
          <c:showSerName val="0"/>
          <c:showPercent val="0"/>
          <c:showBubbleSize val="0"/>
        </c:dLbls>
        <c:gapWidth val="150"/>
        <c:shape val="box"/>
        <c:axId val="389499248"/>
        <c:axId val="389497936"/>
        <c:axId val="0"/>
      </c:bar3DChart>
      <c:catAx>
        <c:axId val="389499248"/>
        <c:scaling>
          <c:orientation val="minMax"/>
        </c:scaling>
        <c:delete val="0"/>
        <c:axPos val="b"/>
        <c:minorGridlines>
          <c:spPr>
            <a:ln>
              <a:noFill/>
            </a:ln>
            <a:effectLst>
              <a:outerShdw blurRad="50800" dist="50800" dir="5400000" algn="ctr" rotWithShape="0">
                <a:schemeClr val="tx1"/>
              </a:outerShdw>
            </a:effectLst>
          </c:spPr>
        </c:minorGridlines>
        <c:title>
          <c:tx>
            <c:rich>
              <a:bodyPr rot="0" spcFirstLastPara="1" vertOverflow="ellipsis" vert="horz" wrap="square" anchor="ctr" anchorCtr="1"/>
              <a:lstStyle/>
              <a:p>
                <a:pPr>
                  <a:defRPr sz="1000" b="1" i="0" u="none" strike="noStrike" kern="1200" baseline="0">
                    <a:solidFill>
                      <a:schemeClr val="tx1"/>
                    </a:solidFill>
                    <a:latin typeface="+mn-lt"/>
                    <a:ea typeface="+mn-ea"/>
                    <a:cs typeface="+mn-cs"/>
                  </a:defRPr>
                </a:pPr>
                <a:r>
                  <a:rPr lang="en-US" sz="1000" baseline="0">
                    <a:solidFill>
                      <a:schemeClr val="tx1"/>
                    </a:solidFill>
                  </a:rPr>
                  <a:t>Fiscal Year</a:t>
                </a:r>
              </a:p>
            </c:rich>
          </c:tx>
          <c:layout>
            <c:manualLayout>
              <c:xMode val="edge"/>
              <c:yMode val="edge"/>
              <c:x val="0.49382408594274552"/>
              <c:y val="0.91720898950131213"/>
            </c:manualLayout>
          </c:layout>
          <c:overlay val="0"/>
          <c:spPr>
            <a:noFill/>
            <a:ln>
              <a:noFill/>
            </a:ln>
            <a:effectLst/>
          </c:spPr>
          <c:txPr>
            <a:bodyPr rot="0" spcFirstLastPara="1" vertOverflow="ellipsis" vert="horz" wrap="square" anchor="ctr" anchorCtr="1"/>
            <a:lstStyle/>
            <a:p>
              <a:pPr>
                <a:defRPr sz="1000" b="1" i="0" u="none" strike="noStrike" kern="1200" baseline="0">
                  <a:solidFill>
                    <a:schemeClr val="tx1"/>
                  </a:solidFill>
                  <a:latin typeface="+mn-lt"/>
                  <a:ea typeface="+mn-ea"/>
                  <a:cs typeface="+mn-cs"/>
                </a:defRPr>
              </a:pPr>
              <a:endParaRPr lang="en-US"/>
            </a:p>
          </c:txPr>
        </c:title>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crossAx val="389497936"/>
        <c:crosses val="autoZero"/>
        <c:auto val="0"/>
        <c:lblAlgn val="ctr"/>
        <c:lblOffset val="100"/>
        <c:tickLblSkip val="2"/>
        <c:noMultiLvlLbl val="0"/>
      </c:catAx>
      <c:valAx>
        <c:axId val="389497936"/>
        <c:scaling>
          <c:orientation val="minMax"/>
        </c:scaling>
        <c:delete val="0"/>
        <c:axPos val="l"/>
        <c:majorGridlines>
          <c:spPr>
            <a:ln w="9525" cap="flat" cmpd="sng" algn="ctr">
              <a:solidFill>
                <a:schemeClr val="tx1">
                  <a:lumMod val="50000"/>
                  <a:lumOff val="50000"/>
                </a:schemeClr>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solidFill>
                    <a:latin typeface="+mn-lt"/>
                    <a:ea typeface="+mn-ea"/>
                    <a:cs typeface="+mn-cs"/>
                  </a:defRPr>
                </a:pPr>
                <a:r>
                  <a:rPr lang="en-US" sz="1000" baseline="0">
                    <a:solidFill>
                      <a:schemeClr val="tx1"/>
                    </a:solidFill>
                  </a:rPr>
                  <a:t>Millions </a:t>
                </a:r>
              </a:p>
            </c:rich>
          </c:tx>
          <c:layout>
            <c:manualLayout>
              <c:xMode val="edge"/>
              <c:yMode val="edge"/>
              <c:x val="3.8919408329772733E-2"/>
              <c:y val="0.41019455380577435"/>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chemeClr val="tx1"/>
                  </a:solidFill>
                  <a:latin typeface="+mn-lt"/>
                  <a:ea typeface="+mn-ea"/>
                  <a:cs typeface="+mn-cs"/>
                </a:defRPr>
              </a:pPr>
              <a:endParaRPr lang="en-US"/>
            </a:p>
          </c:txPr>
        </c:title>
        <c:numFmt formatCode="#,##0" sourceLinked="1"/>
        <c:majorTickMark val="none"/>
        <c:minorTickMark val="none"/>
        <c:tickLblPos val="nextTo"/>
        <c:spPr>
          <a:noFill/>
          <a:ln>
            <a:solidFill>
              <a:srgbClr val="000000"/>
            </a:solid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crossAx val="389499248"/>
        <c:crosses val="autoZero"/>
        <c:crossBetween val="between"/>
        <c:majorUnit val="50000000"/>
        <c:dispUnits>
          <c:builtInUnit val="millions"/>
        </c:dispUnits>
      </c:valAx>
      <c:spPr>
        <a:noFill/>
        <a:ln w="25400">
          <a:noFill/>
        </a:ln>
        <a:effectLst/>
      </c:spPr>
    </c:plotArea>
    <c:plotVisOnly val="1"/>
    <c:dispBlanksAs val="gap"/>
    <c:showDLblsOverMax val="0"/>
  </c:chart>
  <c:spPr>
    <a:solidFill>
      <a:srgbClr val="FFFFFF"/>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300" b="1" i="0" u="none" strike="noStrike" baseline="0">
                <a:solidFill>
                  <a:srgbClr val="000000"/>
                </a:solidFill>
                <a:latin typeface="Arial Narrow" panose="020B0606020202030204" pitchFamily="34" charset="0"/>
                <a:ea typeface="Arial"/>
                <a:cs typeface="Arial"/>
              </a:defRPr>
            </a:pPr>
            <a:r>
              <a:rPr lang="en-US" sz="1300">
                <a:latin typeface="Arial Narrow" panose="020B0606020202030204" pitchFamily="34" charset="0"/>
              </a:rPr>
              <a:t>Commonwealth of Virginia Net Revenue Collections by Fiscal Year</a:t>
            </a:r>
          </a:p>
        </c:rich>
      </c:tx>
      <c:layout>
        <c:manualLayout>
          <c:xMode val="edge"/>
          <c:yMode val="edge"/>
          <c:x val="0.12423326391124813"/>
          <c:y val="4.8182409561507008E-3"/>
        </c:manualLayout>
      </c:layout>
      <c:overlay val="0"/>
      <c:spPr>
        <a:noFill/>
        <a:ln w="25400">
          <a:noFill/>
        </a:ln>
      </c:spPr>
    </c:title>
    <c:autoTitleDeleted val="0"/>
    <c:plotArea>
      <c:layout>
        <c:manualLayout>
          <c:layoutTarget val="inner"/>
          <c:xMode val="edge"/>
          <c:yMode val="edge"/>
          <c:x val="0.10777234975752187"/>
          <c:y val="0.13564654502218987"/>
          <c:w val="0.87542087362007115"/>
          <c:h val="0.79186967685405973"/>
        </c:manualLayout>
      </c:layout>
      <c:barChart>
        <c:barDir val="col"/>
        <c:grouping val="clustered"/>
        <c:varyColors val="0"/>
        <c:ser>
          <c:idx val="0"/>
          <c:order val="0"/>
          <c:tx>
            <c:strRef>
              <c:f>RevExp!$A$6</c:f>
              <c:strCache>
                <c:ptCount val="1"/>
                <c:pt idx="0">
                  <c:v>General Fund</c:v>
                </c:pt>
              </c:strCache>
            </c:strRef>
          </c:tx>
          <c:spPr>
            <a:solidFill>
              <a:srgbClr val="9999FF"/>
            </a:solidFill>
            <a:ln w="12700">
              <a:solidFill>
                <a:schemeClr val="bg1">
                  <a:lumMod val="65000"/>
                </a:schemeClr>
              </a:solidFill>
              <a:prstDash val="solid"/>
            </a:ln>
          </c:spPr>
          <c:invertIfNegative val="0"/>
          <c:dLbls>
            <c:numFmt formatCode="#,##0.0" sourceLinked="0"/>
            <c:spPr>
              <a:solidFill>
                <a:schemeClr val="bg1"/>
              </a:solidFill>
              <a:ln>
                <a:noFill/>
              </a:ln>
              <a:effectLst/>
            </c:spPr>
            <c:txPr>
              <a:bodyPr wrap="square" lIns="0" tIns="0" rIns="0" bIns="0" anchor="ctr">
                <a:spAutoFit/>
              </a:bodyPr>
              <a:lstStyle/>
              <a:p>
                <a:pPr>
                  <a:defRPr sz="1000">
                    <a:solidFill>
                      <a:schemeClr val="bg1">
                        <a:lumMod val="50000"/>
                      </a:schemeClr>
                    </a:solidFill>
                    <a:latin typeface="Arial Narrow" panose="020B060602020203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RevExp!$C$3:$I$3</c:f>
              <c:strCache>
                <c:ptCount val="7"/>
                <c:pt idx="0">
                  <c:v>FY 2015</c:v>
                </c:pt>
                <c:pt idx="1">
                  <c:v>FY 2016</c:v>
                </c:pt>
                <c:pt idx="2">
                  <c:v>FY 2017</c:v>
                </c:pt>
                <c:pt idx="3">
                  <c:v>FY 2018</c:v>
                </c:pt>
                <c:pt idx="4">
                  <c:v>FY 2019</c:v>
                </c:pt>
                <c:pt idx="5">
                  <c:v>FY 2020</c:v>
                </c:pt>
                <c:pt idx="6">
                  <c:v>FY 2021</c:v>
                </c:pt>
              </c:strCache>
            </c:strRef>
          </c:cat>
          <c:val>
            <c:numRef>
              <c:f>RevExp!$C$6:$I$6</c:f>
              <c:numCache>
                <c:formatCode>[$$-409]#,##0</c:formatCode>
                <c:ptCount val="7"/>
                <c:pt idx="0">
                  <c:v>17856571000</c:v>
                </c:pt>
                <c:pt idx="1">
                  <c:v>18170460000</c:v>
                </c:pt>
                <c:pt idx="2">
                  <c:v>18839827000</c:v>
                </c:pt>
                <c:pt idx="3">
                  <c:v>20024020000</c:v>
                </c:pt>
                <c:pt idx="4">
                  <c:v>21467094000</c:v>
                </c:pt>
                <c:pt idx="5">
                  <c:v>21903571000</c:v>
                </c:pt>
                <c:pt idx="6">
                  <c:v>25083803000</c:v>
                </c:pt>
              </c:numCache>
            </c:numRef>
          </c:val>
          <c:extLst>
            <c:ext xmlns:c16="http://schemas.microsoft.com/office/drawing/2014/chart" uri="{C3380CC4-5D6E-409C-BE32-E72D297353CC}">
              <c16:uniqueId val="{00000000-E84D-47E1-A68D-F21671D2B5FA}"/>
            </c:ext>
          </c:extLst>
        </c:ser>
        <c:ser>
          <c:idx val="1"/>
          <c:order val="1"/>
          <c:tx>
            <c:strRef>
              <c:f>RevExp!$A$7</c:f>
              <c:strCache>
                <c:ptCount val="1"/>
                <c:pt idx="0">
                  <c:v>Non-General Fund </c:v>
                </c:pt>
              </c:strCache>
            </c:strRef>
          </c:tx>
          <c:spPr>
            <a:solidFill>
              <a:srgbClr val="993366"/>
            </a:solidFill>
            <a:ln w="12700">
              <a:solidFill>
                <a:schemeClr val="bg1">
                  <a:lumMod val="65000"/>
                </a:schemeClr>
              </a:solidFill>
              <a:prstDash val="solid"/>
            </a:ln>
          </c:spPr>
          <c:invertIfNegative val="0"/>
          <c:dLbls>
            <c:numFmt formatCode="#,##0.0" sourceLinked="0"/>
            <c:spPr>
              <a:solidFill>
                <a:schemeClr val="bg1"/>
              </a:solidFill>
              <a:ln>
                <a:noFill/>
              </a:ln>
              <a:effectLst/>
            </c:spPr>
            <c:txPr>
              <a:bodyPr wrap="square" lIns="38100" tIns="0" rIns="0" bIns="0" anchor="ctr">
                <a:spAutoFit/>
              </a:bodyPr>
              <a:lstStyle/>
              <a:p>
                <a:pPr>
                  <a:defRPr sz="1000">
                    <a:solidFill>
                      <a:schemeClr val="bg1">
                        <a:lumMod val="50000"/>
                      </a:schemeClr>
                    </a:solidFill>
                    <a:latin typeface="Arial Narrow" panose="020B060602020203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RevExp!$C$3:$I$3</c:f>
              <c:strCache>
                <c:ptCount val="7"/>
                <c:pt idx="0">
                  <c:v>FY 2015</c:v>
                </c:pt>
                <c:pt idx="1">
                  <c:v>FY 2016</c:v>
                </c:pt>
                <c:pt idx="2">
                  <c:v>FY 2017</c:v>
                </c:pt>
                <c:pt idx="3">
                  <c:v>FY 2018</c:v>
                </c:pt>
                <c:pt idx="4">
                  <c:v>FY 2019</c:v>
                </c:pt>
                <c:pt idx="5">
                  <c:v>FY 2020</c:v>
                </c:pt>
                <c:pt idx="6">
                  <c:v>FY 2021</c:v>
                </c:pt>
              </c:strCache>
            </c:strRef>
          </c:cat>
          <c:val>
            <c:numRef>
              <c:f>RevExp!$C$7:$I$7</c:f>
              <c:numCache>
                <c:formatCode>[$$-409]#,##0</c:formatCode>
                <c:ptCount val="7"/>
                <c:pt idx="0">
                  <c:v>24805219000</c:v>
                </c:pt>
                <c:pt idx="1">
                  <c:v>25279826000</c:v>
                </c:pt>
                <c:pt idx="2">
                  <c:v>26073523000</c:v>
                </c:pt>
                <c:pt idx="3">
                  <c:v>27608806000</c:v>
                </c:pt>
                <c:pt idx="4">
                  <c:v>29225445000</c:v>
                </c:pt>
                <c:pt idx="5">
                  <c:v>39119584000</c:v>
                </c:pt>
                <c:pt idx="6">
                  <c:v>50027817000</c:v>
                </c:pt>
              </c:numCache>
            </c:numRef>
          </c:val>
          <c:extLst>
            <c:ext xmlns:c16="http://schemas.microsoft.com/office/drawing/2014/chart" uri="{C3380CC4-5D6E-409C-BE32-E72D297353CC}">
              <c16:uniqueId val="{00000001-E84D-47E1-A68D-F21671D2B5FA}"/>
            </c:ext>
          </c:extLst>
        </c:ser>
        <c:dLbls>
          <c:showLegendKey val="0"/>
          <c:showVal val="0"/>
          <c:showCatName val="0"/>
          <c:showSerName val="0"/>
          <c:showPercent val="0"/>
          <c:showBubbleSize val="0"/>
        </c:dLbls>
        <c:gapWidth val="75"/>
        <c:axId val="160050560"/>
        <c:axId val="73057408"/>
      </c:barChart>
      <c:catAx>
        <c:axId val="160050560"/>
        <c:scaling>
          <c:orientation val="minMax"/>
        </c:scaling>
        <c:delete val="0"/>
        <c:axPos val="b"/>
        <c:numFmt formatCode="General" sourceLinked="1"/>
        <c:majorTickMark val="out"/>
        <c:minorTickMark val="none"/>
        <c:tickLblPos val="low"/>
        <c:spPr>
          <a:ln w="3175">
            <a:solidFill>
              <a:schemeClr val="bg1">
                <a:lumMod val="65000"/>
              </a:schemeClr>
            </a:solidFill>
            <a:prstDash val="solid"/>
          </a:ln>
        </c:spPr>
        <c:txPr>
          <a:bodyPr rot="0" vert="horz"/>
          <a:lstStyle/>
          <a:p>
            <a:pPr>
              <a:defRPr sz="1050" b="0" i="0" u="none" strike="noStrike" baseline="0">
                <a:solidFill>
                  <a:srgbClr val="000000"/>
                </a:solidFill>
                <a:latin typeface="Arial"/>
                <a:ea typeface="Arial"/>
                <a:cs typeface="Arial"/>
              </a:defRPr>
            </a:pPr>
            <a:endParaRPr lang="en-US"/>
          </a:p>
        </c:txPr>
        <c:crossAx val="73057408"/>
        <c:crosses val="autoZero"/>
        <c:auto val="1"/>
        <c:lblAlgn val="ctr"/>
        <c:lblOffset val="100"/>
        <c:noMultiLvlLbl val="0"/>
      </c:catAx>
      <c:valAx>
        <c:axId val="73057408"/>
        <c:scaling>
          <c:orientation val="minMax"/>
          <c:max val="52000000000"/>
          <c:min val="0"/>
        </c:scaling>
        <c:delete val="0"/>
        <c:axPos val="l"/>
        <c:majorGridlines>
          <c:spPr>
            <a:ln w="3175">
              <a:solidFill>
                <a:schemeClr val="bg1">
                  <a:lumMod val="65000"/>
                </a:schemeClr>
              </a:solidFill>
              <a:prstDash val="dash"/>
            </a:ln>
          </c:spPr>
        </c:majorGridlines>
        <c:numFmt formatCode="\$#,##0" sourceLinked="0"/>
        <c:majorTickMark val="out"/>
        <c:minorTickMark val="none"/>
        <c:tickLblPos val="nextTo"/>
        <c:spPr>
          <a:ln w="3175">
            <a:solidFill>
              <a:schemeClr val="bg1">
                <a:lumMod val="75000"/>
              </a:schemeClr>
            </a:solidFill>
            <a:prstDash val="solid"/>
          </a:ln>
        </c:spPr>
        <c:txPr>
          <a:bodyPr rot="0" vert="horz"/>
          <a:lstStyle/>
          <a:p>
            <a:pPr>
              <a:defRPr sz="1050" b="0" i="0" u="none" strike="noStrike" baseline="0">
                <a:solidFill>
                  <a:srgbClr val="000000"/>
                </a:solidFill>
                <a:latin typeface="Arial"/>
                <a:ea typeface="Arial"/>
                <a:cs typeface="Arial"/>
              </a:defRPr>
            </a:pPr>
            <a:endParaRPr lang="en-US"/>
          </a:p>
        </c:txPr>
        <c:crossAx val="160050560"/>
        <c:crosses val="autoZero"/>
        <c:crossBetween val="between"/>
        <c:dispUnits>
          <c:builtInUnit val="billions"/>
          <c:dispUnitsLbl>
            <c:layout>
              <c:manualLayout>
                <c:xMode val="edge"/>
                <c:yMode val="edge"/>
                <c:x val="4.7245882899525525E-3"/>
                <c:y val="0.17401779154296546"/>
              </c:manualLayout>
            </c:layout>
            <c:tx>
              <c:rich>
                <a:bodyPr/>
                <a:lstStyle/>
                <a:p>
                  <a:pPr>
                    <a:defRPr/>
                  </a:pPr>
                  <a:r>
                    <a:rPr lang="en-US"/>
                    <a:t>Billions$</a:t>
                  </a:r>
                </a:p>
              </c:rich>
            </c:tx>
          </c:dispUnitsLbl>
        </c:dispUnits>
      </c:valAx>
      <c:spPr>
        <a:solidFill>
          <a:srgbClr val="FFFFFF"/>
        </a:solidFill>
        <a:ln w="25400">
          <a:noFill/>
        </a:ln>
      </c:spPr>
    </c:plotArea>
    <c:legend>
      <c:legendPos val="b"/>
      <c:layout>
        <c:manualLayout>
          <c:xMode val="edge"/>
          <c:yMode val="edge"/>
          <c:x val="0.29303875121542139"/>
          <c:y val="6.998498926567108E-2"/>
          <c:w val="0.4533146282352849"/>
          <c:h val="5.2772875458468663E-2"/>
        </c:manualLayout>
      </c:layout>
      <c:overlay val="0"/>
      <c:spPr>
        <a:solidFill>
          <a:srgbClr val="FFFFFF"/>
        </a:solidFill>
        <a:ln w="25400">
          <a:noFill/>
        </a:ln>
      </c:spPr>
      <c:txPr>
        <a:bodyPr/>
        <a:lstStyle/>
        <a:p>
          <a:pPr>
            <a:defRPr sz="100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105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1" i="0" u="none" strike="noStrike" baseline="0">
                <a:solidFill>
                  <a:srgbClr val="000000"/>
                </a:solidFill>
                <a:latin typeface="Arial Narrow" panose="020B0606020202030204" pitchFamily="34" charset="0"/>
                <a:ea typeface="Arial"/>
                <a:cs typeface="Arial"/>
              </a:defRPr>
            </a:pPr>
            <a:r>
              <a:rPr lang="en-US" sz="1400">
                <a:latin typeface="Arial Narrow" panose="020B0606020202030204" pitchFamily="34" charset="0"/>
              </a:rPr>
              <a:t>Collection of Revenues Administered by the Department, FY 2021
</a:t>
            </a:r>
          </a:p>
        </c:rich>
      </c:tx>
      <c:layout>
        <c:manualLayout>
          <c:xMode val="edge"/>
          <c:yMode val="edge"/>
          <c:x val="0.12062086494904278"/>
          <c:y val="6.4056487692841875E-3"/>
        </c:manualLayout>
      </c:layout>
      <c:overlay val="0"/>
      <c:spPr>
        <a:noFill/>
        <a:ln w="25400">
          <a:noFill/>
        </a:ln>
      </c:spPr>
    </c:title>
    <c:autoTitleDeleted val="0"/>
    <c:plotArea>
      <c:layout>
        <c:manualLayout>
          <c:layoutTarget val="inner"/>
          <c:xMode val="edge"/>
          <c:yMode val="edge"/>
          <c:x val="0.25462261744129822"/>
          <c:y val="0.18404850901964925"/>
          <c:w val="0.49374452553654097"/>
          <c:h val="0.81389991033569253"/>
        </c:manualLayout>
      </c:layout>
      <c:pieChart>
        <c:varyColors val="1"/>
        <c:ser>
          <c:idx val="0"/>
          <c:order val="0"/>
          <c:tx>
            <c:strRef>
              <c:f>ByAcct!$I$4</c:f>
              <c:strCache>
                <c:ptCount val="1"/>
                <c:pt idx="0">
                  <c:v>FY 2021</c:v>
                </c:pt>
              </c:strCache>
            </c:strRef>
          </c:tx>
          <c:spPr>
            <a:solidFill>
              <a:srgbClr val="9999FF"/>
            </a:solidFill>
            <a:ln w="12700">
              <a:solidFill>
                <a:schemeClr val="bg1">
                  <a:lumMod val="65000"/>
                </a:schemeClr>
              </a:solidFill>
              <a:prstDash val="solid"/>
            </a:ln>
          </c:spPr>
          <c:explosion val="5"/>
          <c:dPt>
            <c:idx val="1"/>
            <c:bubble3D val="0"/>
            <c:spPr>
              <a:solidFill>
                <a:srgbClr val="993366"/>
              </a:solidFill>
              <a:ln w="12700">
                <a:solidFill>
                  <a:schemeClr val="bg1">
                    <a:lumMod val="65000"/>
                  </a:schemeClr>
                </a:solidFill>
                <a:prstDash val="solid"/>
              </a:ln>
            </c:spPr>
            <c:extLst>
              <c:ext xmlns:c16="http://schemas.microsoft.com/office/drawing/2014/chart" uri="{C3380CC4-5D6E-409C-BE32-E72D297353CC}">
                <c16:uniqueId val="{00000000-ADD4-4E20-96B6-371490AA8BF6}"/>
              </c:ext>
            </c:extLst>
          </c:dPt>
          <c:dPt>
            <c:idx val="2"/>
            <c:bubble3D val="0"/>
            <c:spPr>
              <a:solidFill>
                <a:srgbClr val="FFFFCC"/>
              </a:solidFill>
              <a:ln w="12700">
                <a:solidFill>
                  <a:schemeClr val="bg1">
                    <a:lumMod val="65000"/>
                  </a:schemeClr>
                </a:solidFill>
                <a:prstDash val="solid"/>
              </a:ln>
            </c:spPr>
            <c:extLst>
              <c:ext xmlns:c16="http://schemas.microsoft.com/office/drawing/2014/chart" uri="{C3380CC4-5D6E-409C-BE32-E72D297353CC}">
                <c16:uniqueId val="{00000001-ADD4-4E20-96B6-371490AA8BF6}"/>
              </c:ext>
            </c:extLst>
          </c:dPt>
          <c:dPt>
            <c:idx val="3"/>
            <c:bubble3D val="0"/>
            <c:spPr>
              <a:solidFill>
                <a:srgbClr val="CCFFFF"/>
              </a:solidFill>
              <a:ln w="12700">
                <a:solidFill>
                  <a:schemeClr val="bg1">
                    <a:lumMod val="65000"/>
                  </a:schemeClr>
                </a:solidFill>
                <a:prstDash val="solid"/>
              </a:ln>
            </c:spPr>
            <c:extLst>
              <c:ext xmlns:c16="http://schemas.microsoft.com/office/drawing/2014/chart" uri="{C3380CC4-5D6E-409C-BE32-E72D297353CC}">
                <c16:uniqueId val="{00000002-ADD4-4E20-96B6-371490AA8BF6}"/>
              </c:ext>
            </c:extLst>
          </c:dPt>
          <c:dLbls>
            <c:dLbl>
              <c:idx val="0"/>
              <c:layout>
                <c:manualLayout>
                  <c:x val="-3.7002683846114645E-2"/>
                  <c:y val="3.6163965564746929E-2"/>
                </c:manualLayout>
              </c:layout>
              <c:dLblPos val="bestFit"/>
              <c:showLegendKey val="0"/>
              <c:showVal val="0"/>
              <c:showCatName val="1"/>
              <c:showSerName val="0"/>
              <c:showPercent val="1"/>
              <c:showBubbleSize val="0"/>
              <c:separator> </c:separator>
              <c:extLst>
                <c:ext xmlns:c15="http://schemas.microsoft.com/office/drawing/2012/chart" uri="{CE6537A1-D6FC-4f65-9D91-7224C49458BB}">
                  <c15:layout/>
                </c:ext>
                <c:ext xmlns:c16="http://schemas.microsoft.com/office/drawing/2014/chart" uri="{C3380CC4-5D6E-409C-BE32-E72D297353CC}">
                  <c16:uniqueId val="{00000003-ADD4-4E20-96B6-371490AA8BF6}"/>
                </c:ext>
              </c:extLst>
            </c:dLbl>
            <c:dLbl>
              <c:idx val="1"/>
              <c:layout>
                <c:manualLayout>
                  <c:x val="6.1910714519874642E-2"/>
                  <c:y val="-0.19568790473092101"/>
                </c:manualLayout>
              </c:layout>
              <c:numFmt formatCode="0%" sourceLinked="0"/>
              <c:spPr>
                <a:noFill/>
                <a:ln w="25400">
                  <a:noFill/>
                </a:ln>
              </c:spPr>
              <c:txPr>
                <a:bodyPr/>
                <a:lstStyle/>
                <a:p>
                  <a:pPr>
                    <a:defRPr sz="1200" b="0" i="0" u="none" strike="noStrike" baseline="0">
                      <a:solidFill>
                        <a:schemeClr val="bg1"/>
                      </a:solidFill>
                      <a:latin typeface="Arial Narrow" panose="020B0606020202030204" pitchFamily="34" charset="0"/>
                      <a:ea typeface="Arial"/>
                      <a:cs typeface="Arial"/>
                    </a:defRPr>
                  </a:pPr>
                  <a:endParaRPr lang="en-US"/>
                </a:p>
              </c:txPr>
              <c:dLblPos val="bestFit"/>
              <c:showLegendKey val="0"/>
              <c:showVal val="0"/>
              <c:showCatName val="1"/>
              <c:showSerName val="0"/>
              <c:showPercent val="1"/>
              <c:showBubbleSize val="0"/>
              <c:separator> </c:separator>
              <c:extLst>
                <c:ext xmlns:c15="http://schemas.microsoft.com/office/drawing/2012/chart" uri="{CE6537A1-D6FC-4f65-9D91-7224C49458BB}">
                  <c15:layout/>
                </c:ext>
                <c:ext xmlns:c16="http://schemas.microsoft.com/office/drawing/2014/chart" uri="{C3380CC4-5D6E-409C-BE32-E72D297353CC}">
                  <c16:uniqueId val="{00000000-ADD4-4E20-96B6-371490AA8BF6}"/>
                </c:ext>
              </c:extLst>
            </c:dLbl>
            <c:dLbl>
              <c:idx val="2"/>
              <c:layout>
                <c:manualLayout>
                  <c:x val="3.5148939433449364E-2"/>
                  <c:y val="3.311614523921378E-2"/>
                </c:manualLayout>
              </c:layout>
              <c:showLegendKey val="0"/>
              <c:showVal val="0"/>
              <c:showCatName val="1"/>
              <c:showSerName val="0"/>
              <c:showPercent val="1"/>
              <c:showBubbleSize val="0"/>
              <c:separator> </c:separator>
              <c:extLst>
                <c:ext xmlns:c15="http://schemas.microsoft.com/office/drawing/2012/chart" uri="{CE6537A1-D6FC-4f65-9D91-7224C49458BB}">
                  <c15:layout/>
                </c:ext>
                <c:ext xmlns:c16="http://schemas.microsoft.com/office/drawing/2014/chart" uri="{C3380CC4-5D6E-409C-BE32-E72D297353CC}">
                  <c16:uniqueId val="{00000001-ADD4-4E20-96B6-371490AA8BF6}"/>
                </c:ext>
              </c:extLst>
            </c:dLbl>
            <c:dLbl>
              <c:idx val="3"/>
              <c:layout>
                <c:manualLayout>
                  <c:x val="3.3241083212176552E-2"/>
                  <c:y val="-1.3621751242153006E-2"/>
                </c:manualLayout>
              </c:layout>
              <c:dLblPos val="bestFit"/>
              <c:showLegendKey val="0"/>
              <c:showVal val="0"/>
              <c:showCatName val="1"/>
              <c:showSerName val="0"/>
              <c:showPercent val="1"/>
              <c:showBubbleSize val="0"/>
              <c:separator> </c:separator>
              <c:extLst>
                <c:ext xmlns:c15="http://schemas.microsoft.com/office/drawing/2012/chart" uri="{CE6537A1-D6FC-4f65-9D91-7224C49458BB}">
                  <c15:layout/>
                </c:ext>
                <c:ext xmlns:c16="http://schemas.microsoft.com/office/drawing/2014/chart" uri="{C3380CC4-5D6E-409C-BE32-E72D297353CC}">
                  <c16:uniqueId val="{00000002-ADD4-4E20-96B6-371490AA8BF6}"/>
                </c:ext>
              </c:extLst>
            </c:dLbl>
            <c:numFmt formatCode="0%" sourceLinked="0"/>
            <c:spPr>
              <a:noFill/>
              <a:ln w="25400">
                <a:noFill/>
              </a:ln>
            </c:spPr>
            <c:txPr>
              <a:bodyPr/>
              <a:lstStyle/>
              <a:p>
                <a:pPr>
                  <a:defRPr sz="1200" b="0" i="0" u="none" strike="noStrike" baseline="0">
                    <a:solidFill>
                      <a:srgbClr val="000000"/>
                    </a:solidFill>
                    <a:latin typeface="Arial Narrow" panose="020B0606020202030204" pitchFamily="34" charset="0"/>
                    <a:ea typeface="Arial"/>
                    <a:cs typeface="Arial"/>
                  </a:defRPr>
                </a:pPr>
                <a:endParaRPr lang="en-US"/>
              </a:p>
            </c:txPr>
            <c:showLegendKey val="0"/>
            <c:showVal val="0"/>
            <c:showCatName val="1"/>
            <c:showSerName val="0"/>
            <c:showPercent val="1"/>
            <c:showBubbleSize val="0"/>
            <c:separator> </c:separator>
            <c:showLeaderLines val="0"/>
            <c:extLst>
              <c:ext xmlns:c15="http://schemas.microsoft.com/office/drawing/2012/chart" uri="{CE6537A1-D6FC-4f65-9D91-7224C49458BB}"/>
            </c:extLst>
          </c:dLbls>
          <c:cat>
            <c:strLit>
              <c:ptCount val="4"/>
              <c:pt idx="0">
                <c:v>Sales and Use Tax</c:v>
              </c:pt>
              <c:pt idx="1">
                <c:v>Individual Income Tax</c:v>
              </c:pt>
              <c:pt idx="2">
                <c:v>Corporate Income Tax </c:v>
              </c:pt>
              <c:pt idx="3">
                <c:v>Other </c:v>
              </c:pt>
            </c:strLit>
          </c:cat>
          <c:val>
            <c:numRef>
              <c:f>(ByAcct!$I$13,ByAcct!$I$9,ByAcct!$I$8,ByAcct!$I$41)</c:f>
              <c:numCache>
                <c:formatCode>#,##0</c:formatCode>
                <c:ptCount val="4"/>
                <c:pt idx="0">
                  <c:v>4166182000</c:v>
                </c:pt>
                <c:pt idx="1">
                  <c:v>17237352000</c:v>
                </c:pt>
                <c:pt idx="2">
                  <c:v>1515692000</c:v>
                </c:pt>
                <c:pt idx="3" formatCode="[$$-409]#,##0">
                  <c:v>2641043000</c:v>
                </c:pt>
              </c:numCache>
            </c:numRef>
          </c:val>
          <c:extLst>
            <c:ext xmlns:c16="http://schemas.microsoft.com/office/drawing/2014/chart" uri="{C3380CC4-5D6E-409C-BE32-E72D297353CC}">
              <c16:uniqueId val="{00000004-ADD4-4E20-96B6-371490AA8BF6}"/>
            </c:ext>
          </c:extLst>
        </c:ser>
        <c:dLbls>
          <c:showLegendKey val="0"/>
          <c:showVal val="0"/>
          <c:showCatName val="1"/>
          <c:showSerName val="0"/>
          <c:showPercent val="1"/>
          <c:showBubbleSize val="0"/>
          <c:showLeaderLines val="0"/>
        </c:dLbls>
        <c:firstSliceAng val="0"/>
      </c:pieChart>
    </c:plotArea>
    <c:plotVisOnly val="1"/>
    <c:dispBlanksAs val="zero"/>
    <c:showDLblsOverMax val="0"/>
  </c:chart>
  <c:spPr>
    <a:solidFill>
      <a:srgbClr val="FFFFFF"/>
    </a:solidFill>
    <a:ln w="9525">
      <a:noFill/>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nchor="ctr" anchorCtr="1"/>
          <a:lstStyle/>
          <a:p>
            <a:pPr>
              <a:defRPr sz="1400" b="1" i="0" u="none" strike="noStrike" baseline="0">
                <a:solidFill>
                  <a:srgbClr val="000000"/>
                </a:solidFill>
                <a:latin typeface="Arial Narrow" panose="020B0606020202030204" pitchFamily="34" charset="0"/>
                <a:ea typeface="Arial"/>
                <a:cs typeface="Arial"/>
              </a:defRPr>
            </a:pPr>
            <a:r>
              <a:rPr lang="en-US" sz="1400">
                <a:latin typeface="Arial Narrow" panose="020B0606020202030204" pitchFamily="34" charset="0"/>
              </a:rPr>
              <a:t>Fiscal Year Department Net Revenue Collections Selected Tax Types</a:t>
            </a:r>
          </a:p>
        </c:rich>
      </c:tx>
      <c:layout>
        <c:manualLayout>
          <c:xMode val="edge"/>
          <c:yMode val="edge"/>
          <c:x val="0.12270029527559055"/>
          <c:y val="3.0556031296692997E-3"/>
        </c:manualLayout>
      </c:layout>
      <c:overlay val="0"/>
      <c:spPr>
        <a:noFill/>
        <a:ln w="25400">
          <a:noFill/>
        </a:ln>
      </c:spPr>
    </c:title>
    <c:autoTitleDeleted val="0"/>
    <c:plotArea>
      <c:layout>
        <c:manualLayout>
          <c:layoutTarget val="inner"/>
          <c:xMode val="edge"/>
          <c:yMode val="edge"/>
          <c:x val="0.10451771653543308"/>
          <c:y val="0.15581304359651932"/>
          <c:w val="0.86093225065616796"/>
          <c:h val="0.75493201990180581"/>
        </c:manualLayout>
      </c:layout>
      <c:barChart>
        <c:barDir val="col"/>
        <c:grouping val="clustered"/>
        <c:varyColors val="0"/>
        <c:ser>
          <c:idx val="0"/>
          <c:order val="0"/>
          <c:tx>
            <c:strRef>
              <c:f>ByAcct!$A$9</c:f>
              <c:strCache>
                <c:ptCount val="1"/>
                <c:pt idx="0">
                  <c:v>Individual Income </c:v>
                </c:pt>
              </c:strCache>
            </c:strRef>
          </c:tx>
          <c:spPr>
            <a:solidFill>
              <a:srgbClr val="9999FF"/>
            </a:solidFill>
            <a:ln w="12700">
              <a:noFill/>
              <a:prstDash val="solid"/>
            </a:ln>
          </c:spPr>
          <c:invertIfNegative val="0"/>
          <c:dLbls>
            <c:numFmt formatCode="#,##0.0" sourceLinked="0"/>
            <c:spPr>
              <a:solidFill>
                <a:schemeClr val="bg1"/>
              </a:solidFill>
              <a:ln>
                <a:noFill/>
              </a:ln>
              <a:effectLst/>
            </c:spPr>
            <c:txPr>
              <a:bodyPr wrap="none" lIns="0" tIns="0" rIns="0" bIns="0" anchor="ctr">
                <a:spAutoFit/>
              </a:bodyPr>
              <a:lstStyle/>
              <a:p>
                <a:pPr>
                  <a:defRPr sz="1100">
                    <a:solidFill>
                      <a:schemeClr val="bg1">
                        <a:lumMod val="50000"/>
                      </a:schemeClr>
                    </a:solidFill>
                    <a:latin typeface="Arial Narrow" panose="020B060602020203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ByAcct!$C$4:$I$4</c:f>
              <c:strCache>
                <c:ptCount val="7"/>
                <c:pt idx="0">
                  <c:v>FY 2015</c:v>
                </c:pt>
                <c:pt idx="1">
                  <c:v>FY 2016</c:v>
                </c:pt>
                <c:pt idx="2">
                  <c:v>FY 2017</c:v>
                </c:pt>
                <c:pt idx="3">
                  <c:v>FY 2018</c:v>
                </c:pt>
                <c:pt idx="4">
                  <c:v>FY 2019</c:v>
                </c:pt>
                <c:pt idx="5">
                  <c:v>FY 2020</c:v>
                </c:pt>
                <c:pt idx="6">
                  <c:v>FY 2021</c:v>
                </c:pt>
              </c:strCache>
            </c:strRef>
          </c:cat>
          <c:val>
            <c:numRef>
              <c:f>ByAcct!$C$9:$I$9</c:f>
              <c:numCache>
                <c:formatCode>#,##0</c:formatCode>
                <c:ptCount val="7"/>
                <c:pt idx="0">
                  <c:v>12328675000</c:v>
                </c:pt>
                <c:pt idx="1">
                  <c:v>12555624000</c:v>
                </c:pt>
                <c:pt idx="2">
                  <c:v>13052887000</c:v>
                </c:pt>
                <c:pt idx="3">
                  <c:v>14105766000</c:v>
                </c:pt>
                <c:pt idx="4">
                  <c:v>15226471000</c:v>
                </c:pt>
                <c:pt idx="5">
                  <c:v>15351592000</c:v>
                </c:pt>
                <c:pt idx="6">
                  <c:v>17237352000</c:v>
                </c:pt>
              </c:numCache>
            </c:numRef>
          </c:val>
          <c:extLst>
            <c:ext xmlns:c16="http://schemas.microsoft.com/office/drawing/2014/chart" uri="{C3380CC4-5D6E-409C-BE32-E72D297353CC}">
              <c16:uniqueId val="{00000000-203F-4211-864B-C69215DCA9F6}"/>
            </c:ext>
          </c:extLst>
        </c:ser>
        <c:ser>
          <c:idx val="1"/>
          <c:order val="1"/>
          <c:tx>
            <c:v>Sales and Use Tax</c:v>
          </c:tx>
          <c:spPr>
            <a:solidFill>
              <a:srgbClr val="993366"/>
            </a:solidFill>
            <a:ln w="12700">
              <a:noFill/>
              <a:prstDash val="solid"/>
            </a:ln>
          </c:spPr>
          <c:invertIfNegative val="0"/>
          <c:dLbls>
            <c:numFmt formatCode="#,##0.0" sourceLinked="0"/>
            <c:spPr>
              <a:solidFill>
                <a:srgbClr val="FFFFFF"/>
              </a:solidFill>
              <a:ln>
                <a:noFill/>
              </a:ln>
              <a:effectLst/>
            </c:spPr>
            <c:txPr>
              <a:bodyPr wrap="square" lIns="0" tIns="0" rIns="0" bIns="0" anchor="ctr">
                <a:spAutoFit/>
              </a:bodyPr>
              <a:lstStyle/>
              <a:p>
                <a:pPr>
                  <a:defRPr sz="1100">
                    <a:solidFill>
                      <a:schemeClr val="bg1">
                        <a:lumMod val="50000"/>
                      </a:schemeClr>
                    </a:solidFill>
                    <a:latin typeface="Arial Narrow" panose="020B060602020203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ByAcct!$C$4:$I$4</c:f>
              <c:strCache>
                <c:ptCount val="7"/>
                <c:pt idx="0">
                  <c:v>FY 2015</c:v>
                </c:pt>
                <c:pt idx="1">
                  <c:v>FY 2016</c:v>
                </c:pt>
                <c:pt idx="2">
                  <c:v>FY 2017</c:v>
                </c:pt>
                <c:pt idx="3">
                  <c:v>FY 2018</c:v>
                </c:pt>
                <c:pt idx="4">
                  <c:v>FY 2019</c:v>
                </c:pt>
                <c:pt idx="5">
                  <c:v>FY 2020</c:v>
                </c:pt>
                <c:pt idx="6">
                  <c:v>FY 2021</c:v>
                </c:pt>
              </c:strCache>
            </c:strRef>
          </c:cat>
          <c:val>
            <c:numRef>
              <c:f>ByAcct!$C$13:$I$13</c:f>
              <c:numCache>
                <c:formatCode>#,##0</c:formatCode>
                <c:ptCount val="7"/>
                <c:pt idx="0">
                  <c:v>3235444000</c:v>
                </c:pt>
                <c:pt idx="1">
                  <c:v>3295853000</c:v>
                </c:pt>
                <c:pt idx="2">
                  <c:v>3354561000</c:v>
                </c:pt>
                <c:pt idx="3">
                  <c:v>3458249000</c:v>
                </c:pt>
                <c:pt idx="4">
                  <c:v>3580355000</c:v>
                </c:pt>
                <c:pt idx="5">
                  <c:v>3706817000</c:v>
                </c:pt>
                <c:pt idx="6">
                  <c:v>4166182000</c:v>
                </c:pt>
              </c:numCache>
            </c:numRef>
          </c:val>
          <c:extLst>
            <c:ext xmlns:c16="http://schemas.microsoft.com/office/drawing/2014/chart" uri="{C3380CC4-5D6E-409C-BE32-E72D297353CC}">
              <c16:uniqueId val="{00000001-203F-4211-864B-C69215DCA9F6}"/>
            </c:ext>
          </c:extLst>
        </c:ser>
        <c:dLbls>
          <c:showLegendKey val="0"/>
          <c:showVal val="0"/>
          <c:showCatName val="0"/>
          <c:showSerName val="0"/>
          <c:showPercent val="0"/>
          <c:showBubbleSize val="0"/>
        </c:dLbls>
        <c:gapWidth val="75"/>
        <c:axId val="74217344"/>
        <c:axId val="74218880"/>
      </c:barChart>
      <c:catAx>
        <c:axId val="74217344"/>
        <c:scaling>
          <c:orientation val="minMax"/>
        </c:scaling>
        <c:delete val="0"/>
        <c:axPos val="b"/>
        <c:numFmt formatCode="General" sourceLinked="1"/>
        <c:majorTickMark val="out"/>
        <c:minorTickMark val="none"/>
        <c:tickLblPos val="low"/>
        <c:spPr>
          <a:ln w="3175">
            <a:solidFill>
              <a:schemeClr val="bg1">
                <a:lumMod val="65000"/>
              </a:schemeClr>
            </a:solidFill>
            <a:prstDash val="solid"/>
          </a:ln>
        </c:spPr>
        <c:txPr>
          <a:bodyPr rot="0" vert="horz"/>
          <a:lstStyle/>
          <a:p>
            <a:pPr>
              <a:defRPr sz="1075" b="0" i="0" u="none" strike="noStrike" baseline="0">
                <a:solidFill>
                  <a:srgbClr val="000000"/>
                </a:solidFill>
                <a:latin typeface="Arial"/>
                <a:ea typeface="Arial"/>
                <a:cs typeface="Arial"/>
              </a:defRPr>
            </a:pPr>
            <a:endParaRPr lang="en-US"/>
          </a:p>
        </c:txPr>
        <c:crossAx val="74218880"/>
        <c:crosses val="autoZero"/>
        <c:auto val="1"/>
        <c:lblAlgn val="ctr"/>
        <c:lblOffset val="100"/>
        <c:noMultiLvlLbl val="0"/>
      </c:catAx>
      <c:valAx>
        <c:axId val="74218880"/>
        <c:scaling>
          <c:orientation val="minMax"/>
        </c:scaling>
        <c:delete val="0"/>
        <c:axPos val="l"/>
        <c:majorGridlines>
          <c:spPr>
            <a:ln w="3175">
              <a:solidFill>
                <a:schemeClr val="bg1">
                  <a:lumMod val="65000"/>
                </a:schemeClr>
              </a:solidFill>
              <a:prstDash val="dash"/>
            </a:ln>
          </c:spPr>
        </c:majorGridlines>
        <c:numFmt formatCode="\$#,##0" sourceLinked="0"/>
        <c:majorTickMark val="out"/>
        <c:minorTickMark val="none"/>
        <c:tickLblPos val="nextTo"/>
        <c:spPr>
          <a:ln w="3175">
            <a:solidFill>
              <a:schemeClr val="bg1">
                <a:lumMod val="65000"/>
              </a:schemeClr>
            </a:solidFill>
            <a:prstDash val="solid"/>
          </a:ln>
        </c:spPr>
        <c:txPr>
          <a:bodyPr rot="0" vert="horz"/>
          <a:lstStyle/>
          <a:p>
            <a:pPr>
              <a:defRPr sz="1075" b="0" i="0" u="none" strike="noStrike" baseline="0">
                <a:solidFill>
                  <a:srgbClr val="000000"/>
                </a:solidFill>
                <a:latin typeface="Arial"/>
                <a:ea typeface="Arial"/>
                <a:cs typeface="Arial"/>
              </a:defRPr>
            </a:pPr>
            <a:endParaRPr lang="en-US"/>
          </a:p>
        </c:txPr>
        <c:crossAx val="74217344"/>
        <c:crosses val="autoZero"/>
        <c:crossBetween val="between"/>
        <c:dispUnits>
          <c:builtInUnit val="billions"/>
          <c:dispUnitsLbl>
            <c:layout>
              <c:manualLayout>
                <c:xMode val="edge"/>
                <c:yMode val="edge"/>
                <c:x val="9.4302572440513877E-3"/>
                <c:y val="0.20690803631656957"/>
              </c:manualLayout>
            </c:layout>
          </c:dispUnitsLbl>
        </c:dispUnits>
      </c:valAx>
      <c:spPr>
        <a:solidFill>
          <a:srgbClr val="FFFFFF"/>
        </a:solidFill>
        <a:ln w="25400">
          <a:noFill/>
        </a:ln>
      </c:spPr>
    </c:plotArea>
    <c:legend>
      <c:legendPos val="b"/>
      <c:layout>
        <c:manualLayout>
          <c:xMode val="edge"/>
          <c:yMode val="edge"/>
          <c:x val="0.26637303149606301"/>
          <c:y val="7.4279282066272781E-2"/>
          <c:w val="0.49137407176078568"/>
          <c:h val="6.6672568450257208E-2"/>
        </c:manualLayout>
      </c:layout>
      <c:overlay val="0"/>
      <c:spPr>
        <a:solidFill>
          <a:srgbClr val="FFFFFF"/>
        </a:solidFill>
        <a:ln w="25400">
          <a:noFill/>
        </a:ln>
      </c:spPr>
      <c:txPr>
        <a:bodyPr/>
        <a:lstStyle/>
        <a:p>
          <a:pPr>
            <a:defRPr sz="105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325" b="1" i="0" u="none" strike="noStrike" baseline="0">
                <a:solidFill>
                  <a:srgbClr val="000000"/>
                </a:solidFill>
                <a:latin typeface="Arial"/>
                <a:ea typeface="Arial"/>
                <a:cs typeface="Arial"/>
              </a:defRPr>
            </a:pPr>
            <a:r>
              <a:rPr lang="en-US"/>
              <a:t>Individual Income Tax Liability</a:t>
            </a:r>
          </a:p>
        </c:rich>
      </c:tx>
      <c:layout>
        <c:manualLayout>
          <c:xMode val="edge"/>
          <c:yMode val="edge"/>
          <c:x val="0.32321102633178872"/>
          <c:y val="9.4643869244183181E-4"/>
        </c:manualLayout>
      </c:layout>
      <c:overlay val="0"/>
      <c:spPr>
        <a:noFill/>
        <a:ln w="25400">
          <a:noFill/>
        </a:ln>
      </c:spPr>
    </c:title>
    <c:autoTitleDeleted val="0"/>
    <c:plotArea>
      <c:layout>
        <c:manualLayout>
          <c:layoutTarget val="inner"/>
          <c:xMode val="edge"/>
          <c:yMode val="edge"/>
          <c:x val="0.10923299273644924"/>
          <c:y val="9.0234297900028779E-2"/>
          <c:w val="0.87708838915048948"/>
          <c:h val="0.77058187268105927"/>
        </c:manualLayout>
      </c:layout>
      <c:barChart>
        <c:barDir val="col"/>
        <c:grouping val="clustered"/>
        <c:varyColors val="0"/>
        <c:ser>
          <c:idx val="0"/>
          <c:order val="0"/>
          <c:tx>
            <c:strRef>
              <c:f>'1.1'!$C$6</c:f>
              <c:strCache>
                <c:ptCount val="1"/>
                <c:pt idx="0">
                  <c:v>Amount</c:v>
                </c:pt>
              </c:strCache>
            </c:strRef>
          </c:tx>
          <c:spPr>
            <a:solidFill>
              <a:srgbClr val="993366"/>
            </a:solidFill>
            <a:ln w="12700">
              <a:noFill/>
              <a:prstDash val="solid"/>
            </a:ln>
          </c:spPr>
          <c:invertIfNegative val="0"/>
          <c:dLbls>
            <c:numFmt formatCode="&quot;$&quot;#,##0.0" sourceLinked="0"/>
            <c:spPr>
              <a:noFill/>
              <a:ln>
                <a:noFill/>
              </a:ln>
              <a:effectLst/>
            </c:spPr>
            <c:txPr>
              <a:bodyPr wrap="square" lIns="38100" tIns="19050" rIns="38100" bIns="19050" anchor="ctr">
                <a:spAutoFit/>
              </a:bodyPr>
              <a:lstStyle/>
              <a:p>
                <a:pPr>
                  <a:defRPr sz="900">
                    <a:solidFill>
                      <a:schemeClr val="tx1">
                        <a:lumMod val="75000"/>
                        <a:lumOff val="25000"/>
                      </a:schemeClr>
                    </a:solidFill>
                    <a:latin typeface="Arial Narrow" panose="020B060602020203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'1.1'!$A$9:$A$21</c:f>
              <c:numCache>
                <c:formatCode>General</c:formatCode>
                <c:ptCount val="11"/>
                <c:pt idx="0">
                  <c:v>2009</c:v>
                </c:pt>
                <c:pt idx="1">
                  <c:v>2010</c:v>
                </c:pt>
                <c:pt idx="2">
                  <c:v>2011</c:v>
                </c:pt>
                <c:pt idx="3">
                  <c:v>2012</c:v>
                </c:pt>
                <c:pt idx="4">
                  <c:v>2013</c:v>
                </c:pt>
                <c:pt idx="5">
                  <c:v>2014</c:v>
                </c:pt>
                <c:pt idx="6">
                  <c:v>2015</c:v>
                </c:pt>
                <c:pt idx="7">
                  <c:v>2016</c:v>
                </c:pt>
                <c:pt idx="8">
                  <c:v>2017</c:v>
                </c:pt>
                <c:pt idx="9">
                  <c:v>2018</c:v>
                </c:pt>
                <c:pt idx="10">
                  <c:v>2019</c:v>
                </c:pt>
              </c:numCache>
            </c:numRef>
          </c:cat>
          <c:val>
            <c:numRef>
              <c:f>'1.1'!$C$9:$C$21</c:f>
              <c:numCache>
                <c:formatCode>#,##0</c:formatCode>
                <c:ptCount val="11"/>
                <c:pt idx="0" formatCode="&quot;$&quot;#,##0">
                  <c:v>8838405972.0000038</c:v>
                </c:pt>
                <c:pt idx="1">
                  <c:v>9537700528</c:v>
                </c:pt>
                <c:pt idx="2">
                  <c:v>9846787045</c:v>
                </c:pt>
                <c:pt idx="3">
                  <c:v>10527113882</c:v>
                </c:pt>
                <c:pt idx="4">
                  <c:v>10586343685</c:v>
                </c:pt>
                <c:pt idx="5">
                  <c:v>11623977320</c:v>
                </c:pt>
                <c:pt idx="6">
                  <c:v>12071058964</c:v>
                </c:pt>
                <c:pt idx="7">
                  <c:v>11800977144.559999</c:v>
                </c:pt>
                <c:pt idx="8">
                  <c:v>12342418241.27</c:v>
                </c:pt>
                <c:pt idx="9">
                  <c:v>14112424787.530001</c:v>
                </c:pt>
                <c:pt idx="10">
                  <c:v>14172033140.65</c:v>
                </c:pt>
              </c:numCache>
            </c:numRef>
          </c:val>
          <c:extLst>
            <c:ext xmlns:c16="http://schemas.microsoft.com/office/drawing/2014/chart" uri="{C3380CC4-5D6E-409C-BE32-E72D297353CC}">
              <c16:uniqueId val="{00000000-559C-4459-9869-AABE38F7692B}"/>
            </c:ext>
          </c:extLst>
        </c:ser>
        <c:dLbls>
          <c:showLegendKey val="0"/>
          <c:showVal val="0"/>
          <c:showCatName val="0"/>
          <c:showSerName val="0"/>
          <c:showPercent val="0"/>
          <c:showBubbleSize val="0"/>
        </c:dLbls>
        <c:gapWidth val="75"/>
        <c:axId val="75302016"/>
        <c:axId val="75303936"/>
      </c:barChart>
      <c:catAx>
        <c:axId val="75302016"/>
        <c:scaling>
          <c:orientation val="minMax"/>
        </c:scaling>
        <c:delete val="0"/>
        <c:axPos val="b"/>
        <c:title>
          <c:tx>
            <c:rich>
              <a:bodyPr/>
              <a:lstStyle/>
              <a:p>
                <a:pPr>
                  <a:defRPr sz="1075" b="1" i="0" u="none" strike="noStrike" baseline="0">
                    <a:solidFill>
                      <a:srgbClr val="000000"/>
                    </a:solidFill>
                    <a:latin typeface="Arial"/>
                    <a:ea typeface="Arial"/>
                    <a:cs typeface="Arial"/>
                  </a:defRPr>
                </a:pPr>
                <a:r>
                  <a:rPr lang="en-US"/>
                  <a:t>Taxable Year</a:t>
                </a:r>
              </a:p>
            </c:rich>
          </c:tx>
          <c:layout>
            <c:manualLayout>
              <c:xMode val="edge"/>
              <c:yMode val="edge"/>
              <c:x val="0.44447386360665669"/>
              <c:y val="0.9392015751443954"/>
            </c:manualLayout>
          </c:layout>
          <c:overlay val="0"/>
          <c:spPr>
            <a:noFill/>
            <a:ln w="25400">
              <a:noFill/>
            </a:ln>
          </c:spPr>
        </c:title>
        <c:numFmt formatCode="General" sourceLinked="1"/>
        <c:majorTickMark val="out"/>
        <c:minorTickMark val="none"/>
        <c:tickLblPos val="low"/>
        <c:spPr>
          <a:ln w="3175">
            <a:solidFill>
              <a:schemeClr val="bg1">
                <a:lumMod val="65000"/>
              </a:schemeClr>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75303936"/>
        <c:crosses val="autoZero"/>
        <c:auto val="1"/>
        <c:lblAlgn val="ctr"/>
        <c:lblOffset val="100"/>
        <c:noMultiLvlLbl val="0"/>
      </c:catAx>
      <c:valAx>
        <c:axId val="75303936"/>
        <c:scaling>
          <c:orientation val="minMax"/>
        </c:scaling>
        <c:delete val="0"/>
        <c:axPos val="l"/>
        <c:majorGridlines>
          <c:spPr>
            <a:ln w="3175">
              <a:solidFill>
                <a:schemeClr val="bg1">
                  <a:lumMod val="65000"/>
                </a:schemeClr>
              </a:solidFill>
              <a:prstDash val="dash"/>
            </a:ln>
          </c:spPr>
        </c:majorGridlines>
        <c:numFmt formatCode="&quot;$&quot;#,##0" sourceLinked="0"/>
        <c:majorTickMark val="out"/>
        <c:minorTickMark val="none"/>
        <c:tickLblPos val="nextTo"/>
        <c:spPr>
          <a:ln w="3175">
            <a:solidFill>
              <a:schemeClr val="bg1">
                <a:lumMod val="65000"/>
              </a:schemeClr>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75302016"/>
        <c:crosses val="autoZero"/>
        <c:crossBetween val="between"/>
        <c:dispUnits>
          <c:builtInUnit val="billions"/>
          <c:dispUnitsLbl>
            <c:layout>
              <c:manualLayout>
                <c:xMode val="edge"/>
                <c:yMode val="edge"/>
                <c:x val="1.0655731671023301E-2"/>
                <c:y val="9.0234297900028779E-2"/>
              </c:manualLayout>
            </c:layout>
          </c:dispUnitsLbl>
        </c:dispUnits>
      </c:valAx>
      <c:spPr>
        <a:solidFill>
          <a:srgbClr val="FFFFFF"/>
        </a:solidFill>
        <a:ln w="25400">
          <a:noFill/>
        </a:ln>
      </c:spPr>
    </c:plotArea>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64017824297466"/>
          <c:y val="5.0859768719405375E-2"/>
          <c:w val="0.47940629745956997"/>
          <c:h val="0.77121865508816778"/>
        </c:manualLayout>
      </c:layout>
      <c:pieChart>
        <c:varyColors val="1"/>
        <c:ser>
          <c:idx val="0"/>
          <c:order val="0"/>
          <c:spPr>
            <a:solidFill>
              <a:srgbClr val="9999FF"/>
            </a:solidFill>
            <a:ln w="12700">
              <a:solidFill>
                <a:srgbClr val="000000"/>
              </a:solidFill>
              <a:prstDash val="solid"/>
            </a:ln>
          </c:spPr>
          <c:dPt>
            <c:idx val="0"/>
            <c:bubble3D val="0"/>
            <c:explosion val="10"/>
            <c:extLst>
              <c:ext xmlns:c16="http://schemas.microsoft.com/office/drawing/2014/chart" uri="{C3380CC4-5D6E-409C-BE32-E72D297353CC}">
                <c16:uniqueId val="{00000001-524A-4E8F-9213-F66C938815E3}"/>
              </c:ext>
            </c:extLst>
          </c:dPt>
          <c:dPt>
            <c:idx val="1"/>
            <c:bubble3D val="0"/>
            <c:explosion val="10"/>
            <c:spPr>
              <a:solidFill>
                <a:srgbClr val="993366"/>
              </a:solidFill>
              <a:ln w="12700">
                <a:solidFill>
                  <a:srgbClr val="000000"/>
                </a:solidFill>
                <a:prstDash val="solid"/>
              </a:ln>
            </c:spPr>
            <c:extLst>
              <c:ext xmlns:c16="http://schemas.microsoft.com/office/drawing/2014/chart" uri="{C3380CC4-5D6E-409C-BE32-E72D297353CC}">
                <c16:uniqueId val="{00000003-524A-4E8F-9213-F66C938815E3}"/>
              </c:ext>
            </c:extLst>
          </c:dPt>
          <c:dPt>
            <c:idx val="2"/>
            <c:bubble3D val="0"/>
            <c:explosion val="10"/>
            <c:spPr>
              <a:solidFill>
                <a:srgbClr val="FFFFCC"/>
              </a:solidFill>
              <a:ln w="12700">
                <a:solidFill>
                  <a:srgbClr val="000000"/>
                </a:solidFill>
                <a:prstDash val="solid"/>
              </a:ln>
            </c:spPr>
            <c:extLst>
              <c:ext xmlns:c16="http://schemas.microsoft.com/office/drawing/2014/chart" uri="{C3380CC4-5D6E-409C-BE32-E72D297353CC}">
                <c16:uniqueId val="{00000005-524A-4E8F-9213-F66C938815E3}"/>
              </c:ext>
            </c:extLst>
          </c:dPt>
          <c:dLbls>
            <c:dLbl>
              <c:idx val="0"/>
              <c:layout>
                <c:manualLayout>
                  <c:x val="4.6115666669741283E-2"/>
                  <c:y val="-0.42802524254985069"/>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524A-4E8F-9213-F66C938815E3}"/>
                </c:ext>
              </c:extLst>
            </c:dLbl>
            <c:dLbl>
              <c:idx val="1"/>
              <c:layout>
                <c:manualLayout>
                  <c:x val="-1.5231281370943558E-2"/>
                  <c:y val="-4.5705242374737602E-2"/>
                </c:manualLayout>
              </c:layout>
              <c:spPr>
                <a:noFill/>
                <a:ln w="25400">
                  <a:noFill/>
                </a:ln>
                <a:effectLst/>
              </c:spPr>
              <c:txPr>
                <a:bodyPr wrap="square" lIns="38100" tIns="19050" rIns="38100" bIns="19050" anchor="ctr">
                  <a:spAutoFit/>
                </a:bodyPr>
                <a:lstStyle/>
                <a:p>
                  <a:pPr>
                    <a:defRPr sz="1100" b="0" i="0" u="none" strike="noStrike" baseline="0">
                      <a:solidFill>
                        <a:srgbClr val="000000"/>
                      </a:solidFill>
                      <a:latin typeface="Arial"/>
                      <a:ea typeface="Arial"/>
                      <a:cs typeface="Arial"/>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524A-4E8F-9213-F66C938815E3}"/>
                </c:ext>
              </c:extLst>
            </c:dLbl>
            <c:dLbl>
              <c:idx val="2"/>
              <c:layout>
                <c:manualLayout>
                  <c:x val="-6.9420856751984311E-2"/>
                  <c:y val="-2.3378507642591379E-2"/>
                </c:manualLayout>
              </c:layout>
              <c:dLblPos val="bestFit"/>
              <c:showLegendKey val="0"/>
              <c:showVal val="0"/>
              <c:showCatName val="1"/>
              <c:showSerName val="0"/>
              <c:showPercent val="1"/>
              <c:showBubbleSize val="0"/>
              <c:extLst>
                <c:ext xmlns:c15="http://schemas.microsoft.com/office/drawing/2012/chart" uri="{CE6537A1-D6FC-4f65-9D91-7224C49458BB}">
                  <c15:layout>
                    <c:manualLayout>
                      <c:w val="0.30648651257599596"/>
                      <c:h val="0.25506604390495075"/>
                    </c:manualLayout>
                  </c15:layout>
                </c:ext>
                <c:ext xmlns:c16="http://schemas.microsoft.com/office/drawing/2014/chart" uri="{C3380CC4-5D6E-409C-BE32-E72D297353CC}">
                  <c16:uniqueId val="{00000005-524A-4E8F-9213-F66C938815E3}"/>
                </c:ext>
              </c:extLst>
            </c:dLbl>
            <c:numFmt formatCode="0%" sourceLinked="0"/>
            <c:spPr>
              <a:noFill/>
              <a:ln w="25400">
                <a:noFill/>
              </a:ln>
            </c:spPr>
            <c:txPr>
              <a:bodyPr/>
              <a:lstStyle/>
              <a:p>
                <a:pPr>
                  <a:defRPr sz="1100" b="0" i="0" u="none" strike="noStrike" baseline="0">
                    <a:solidFill>
                      <a:srgbClr val="000000"/>
                    </a:solidFill>
                    <a:latin typeface="Arial"/>
                    <a:ea typeface="Arial"/>
                    <a:cs typeface="Arial"/>
                  </a:defRPr>
                </a:pPr>
                <a:endParaRPr lang="en-US"/>
              </a:p>
            </c:txPr>
            <c:dLblPos val="bestFit"/>
            <c:showLegendKey val="0"/>
            <c:showVal val="0"/>
            <c:showCatName val="1"/>
            <c:showSerName val="0"/>
            <c:showPercent val="1"/>
            <c:showBubbleSize val="0"/>
            <c:showLeaderLines val="0"/>
            <c:extLst>
              <c:ext xmlns:c15="http://schemas.microsoft.com/office/drawing/2012/chart" uri="{CE6537A1-D6FC-4f65-9D91-7224C49458BB}"/>
            </c:extLst>
          </c:dLbls>
          <c:cat>
            <c:strRef>
              <c:f>'1.3'!$D$5:$F$5</c:f>
              <c:strCache>
                <c:ptCount val="3"/>
                <c:pt idx="0">
                  <c:v>Single 
Returns</c:v>
                </c:pt>
                <c:pt idx="1">
                  <c:v>Married 
Filing Joint </c:v>
                </c:pt>
                <c:pt idx="2">
                  <c:v>Married 
Filing Separately </c:v>
                </c:pt>
              </c:strCache>
            </c:strRef>
          </c:cat>
          <c:val>
            <c:numRef>
              <c:f>'1.3'!$D$31:$F$31</c:f>
              <c:numCache>
                <c:formatCode>#,##0</c:formatCode>
                <c:ptCount val="3"/>
                <c:pt idx="0">
                  <c:v>2413420</c:v>
                </c:pt>
                <c:pt idx="1">
                  <c:v>1498003</c:v>
                </c:pt>
                <c:pt idx="2">
                  <c:v>164544</c:v>
                </c:pt>
              </c:numCache>
            </c:numRef>
          </c:val>
          <c:extLst>
            <c:ext xmlns:c16="http://schemas.microsoft.com/office/drawing/2014/chart" uri="{C3380CC4-5D6E-409C-BE32-E72D297353CC}">
              <c16:uniqueId val="{00000006-524A-4E8F-9213-F66C938815E3}"/>
            </c:ext>
          </c:extLst>
        </c:ser>
        <c:dLbls>
          <c:showLegendKey val="0"/>
          <c:showVal val="0"/>
          <c:showCatName val="1"/>
          <c:showSerName val="0"/>
          <c:showPercent val="1"/>
          <c:showBubbleSize val="0"/>
          <c:showLeaderLines val="0"/>
        </c:dLbls>
        <c:firstSliceAng val="150"/>
      </c:pieChart>
    </c:plotArea>
    <c:plotVisOnly val="1"/>
    <c:dispBlanksAs val="zero"/>
    <c:showDLblsOverMax val="0"/>
  </c:chart>
  <c:spPr>
    <a:solidFill>
      <a:srgbClr val="FFFFFF"/>
    </a:solidFill>
    <a:ln w="9525">
      <a:noFill/>
    </a:ln>
  </c:spPr>
  <c:txPr>
    <a:bodyPr/>
    <a:lstStyle/>
    <a:p>
      <a:pPr>
        <a:defRPr sz="5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312688962450612"/>
          <c:y val="0.16681477430023781"/>
          <c:w val="0.55124181742764555"/>
          <c:h val="0.97608991365930409"/>
        </c:manualLayout>
      </c:layout>
      <c:pieChart>
        <c:varyColors val="1"/>
        <c:ser>
          <c:idx val="0"/>
          <c:order val="0"/>
          <c:spPr>
            <a:solidFill>
              <a:srgbClr val="9999FF"/>
            </a:solidFill>
            <a:ln w="12700">
              <a:solidFill>
                <a:srgbClr val="000000"/>
              </a:solidFill>
              <a:prstDash val="solid"/>
            </a:ln>
          </c:spPr>
          <c:explosion val="10"/>
          <c:dPt>
            <c:idx val="1"/>
            <c:bubble3D val="0"/>
            <c:spPr>
              <a:solidFill>
                <a:srgbClr val="993366"/>
              </a:solidFill>
              <a:ln w="12700">
                <a:solidFill>
                  <a:srgbClr val="000000"/>
                </a:solidFill>
                <a:prstDash val="solid"/>
              </a:ln>
            </c:spPr>
            <c:extLst>
              <c:ext xmlns:c16="http://schemas.microsoft.com/office/drawing/2014/chart" uri="{C3380CC4-5D6E-409C-BE32-E72D297353CC}">
                <c16:uniqueId val="{00000001-CE55-47D9-B13A-2583F3984488}"/>
              </c:ext>
            </c:extLst>
          </c:dPt>
          <c:dPt>
            <c:idx val="2"/>
            <c:bubble3D val="0"/>
            <c:spPr>
              <a:solidFill>
                <a:srgbClr val="FFFFCC"/>
              </a:solidFill>
              <a:ln w="12700">
                <a:solidFill>
                  <a:srgbClr val="000000"/>
                </a:solidFill>
                <a:prstDash val="solid"/>
              </a:ln>
            </c:spPr>
            <c:extLst>
              <c:ext xmlns:c16="http://schemas.microsoft.com/office/drawing/2014/chart" uri="{C3380CC4-5D6E-409C-BE32-E72D297353CC}">
                <c16:uniqueId val="{00000003-CE55-47D9-B13A-2583F3984488}"/>
              </c:ext>
            </c:extLst>
          </c:dPt>
          <c:dPt>
            <c:idx val="3"/>
            <c:bubble3D val="0"/>
            <c:spPr>
              <a:solidFill>
                <a:srgbClr val="CCFFFF"/>
              </a:solidFill>
              <a:ln w="12700">
                <a:solidFill>
                  <a:srgbClr val="000000"/>
                </a:solidFill>
                <a:prstDash val="solid"/>
              </a:ln>
            </c:spPr>
            <c:extLst>
              <c:ext xmlns:c16="http://schemas.microsoft.com/office/drawing/2014/chart" uri="{C3380CC4-5D6E-409C-BE32-E72D297353CC}">
                <c16:uniqueId val="{00000005-CE55-47D9-B13A-2583F3984488}"/>
              </c:ext>
            </c:extLst>
          </c:dPt>
          <c:dLbls>
            <c:dLbl>
              <c:idx val="0"/>
              <c:layout>
                <c:manualLayout>
                  <c:x val="-0.15714204880052476"/>
                  <c:y val="-0.19378364537284598"/>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6-CE55-47D9-B13A-2583F3984488}"/>
                </c:ext>
              </c:extLst>
            </c:dLbl>
            <c:dLbl>
              <c:idx val="1"/>
              <c:layout>
                <c:manualLayout>
                  <c:x val="-3.6545689516751342E-2"/>
                  <c:y val="-0.10660671015403218"/>
                </c:manualLayout>
              </c:layout>
              <c:numFmt formatCode="0.0%" sourceLinked="0"/>
              <c:spPr>
                <a:noFill/>
                <a:ln w="25400">
                  <a:noFill/>
                </a:ln>
                <a:effectLst/>
              </c:spPr>
              <c:txPr>
                <a:bodyPr wrap="square" lIns="38100" tIns="19050" rIns="38100" bIns="19050" anchor="ctr">
                  <a:spAutoFit/>
                </a:bodyPr>
                <a:lstStyle/>
                <a:p>
                  <a:pPr>
                    <a:defRPr sz="1050" b="0" i="0" u="none" strike="noStrike" baseline="0">
                      <a:solidFill>
                        <a:srgbClr val="000000"/>
                      </a:solidFill>
                      <a:latin typeface="Arial"/>
                      <a:ea typeface="Arial"/>
                      <a:cs typeface="Arial"/>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CE55-47D9-B13A-2583F3984488}"/>
                </c:ext>
              </c:extLst>
            </c:dLbl>
            <c:dLbl>
              <c:idx val="2"/>
              <c:layout>
                <c:manualLayout>
                  <c:x val="-2.0813767997974325E-2"/>
                  <c:y val="5.5488902219556088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CE55-47D9-B13A-2583F3984488}"/>
                </c:ext>
              </c:extLst>
            </c:dLbl>
            <c:dLbl>
              <c:idx val="3"/>
              <c:layout>
                <c:manualLayout>
                  <c:x val="4.1852910843091201E-2"/>
                  <c:y val="2.9937319622689636E-3"/>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CE55-47D9-B13A-2583F3984488}"/>
                </c:ext>
              </c:extLst>
            </c:dLbl>
            <c:numFmt formatCode="0.0%" sourceLinked="0"/>
            <c:spPr>
              <a:noFill/>
              <a:ln w="25400">
                <a:noFill/>
              </a:ln>
            </c:spPr>
            <c:txPr>
              <a:bodyPr/>
              <a:lstStyle/>
              <a:p>
                <a:pPr>
                  <a:defRPr sz="1050" b="0" i="0" u="none" strike="noStrike" baseline="0">
                    <a:solidFill>
                      <a:srgbClr val="000000"/>
                    </a:solidFill>
                    <a:latin typeface="Arial"/>
                    <a:ea typeface="Arial"/>
                    <a:cs typeface="Arial"/>
                  </a:defRPr>
                </a:pPr>
                <a:endParaRPr lang="en-US"/>
              </a:p>
            </c:txPr>
            <c:dLblPos val="bestFit"/>
            <c:showLegendKey val="0"/>
            <c:showVal val="0"/>
            <c:showCatName val="1"/>
            <c:showSerName val="0"/>
            <c:showPercent val="1"/>
            <c:showBubbleSize val="0"/>
            <c:showLeaderLines val="0"/>
            <c:extLst>
              <c:ext xmlns:c15="http://schemas.microsoft.com/office/drawing/2012/chart" uri="{CE6537A1-D6FC-4f65-9D91-7224C49458BB}"/>
            </c:extLst>
          </c:dLbls>
          <c:cat>
            <c:strRef>
              <c:f>'1.4'!$E$5:$H$5</c:f>
              <c:strCache>
                <c:ptCount val="4"/>
                <c:pt idx="0">
                  <c:v>Personal</c:v>
                </c:pt>
                <c:pt idx="1">
                  <c:v>Dependent</c:v>
                </c:pt>
                <c:pt idx="2">
                  <c:v>Age</c:v>
                </c:pt>
                <c:pt idx="3">
                  <c:v>Blindness</c:v>
                </c:pt>
              </c:strCache>
            </c:strRef>
          </c:cat>
          <c:val>
            <c:numRef>
              <c:f>'1.4'!$E$31:$H$31</c:f>
              <c:numCache>
                <c:formatCode>#,##0</c:formatCode>
                <c:ptCount val="4"/>
                <c:pt idx="0">
                  <c:v>5585486</c:v>
                </c:pt>
                <c:pt idx="1">
                  <c:v>2266781</c:v>
                </c:pt>
                <c:pt idx="2">
                  <c:v>1012508</c:v>
                </c:pt>
                <c:pt idx="3">
                  <c:v>8838</c:v>
                </c:pt>
              </c:numCache>
            </c:numRef>
          </c:val>
          <c:extLst>
            <c:ext xmlns:c16="http://schemas.microsoft.com/office/drawing/2014/chart" uri="{C3380CC4-5D6E-409C-BE32-E72D297353CC}">
              <c16:uniqueId val="{00000007-CE55-47D9-B13A-2583F3984488}"/>
            </c:ext>
          </c:extLst>
        </c:ser>
        <c:dLbls>
          <c:showLegendKey val="0"/>
          <c:showVal val="0"/>
          <c:showCatName val="1"/>
          <c:showSerName val="0"/>
          <c:showPercent val="1"/>
          <c:showBubbleSize val="0"/>
          <c:showLeaderLines val="0"/>
        </c:dLbls>
        <c:firstSliceAng val="314"/>
      </c:pieChart>
    </c:plotArea>
    <c:plotVisOnly val="1"/>
    <c:dispBlanksAs val="zero"/>
    <c:showDLblsOverMax val="0"/>
  </c:chart>
  <c:spPr>
    <a:solidFill>
      <a:srgbClr val="FFFFFF"/>
    </a:solidFill>
    <a:ln w="9525">
      <a:noFill/>
    </a:ln>
  </c:spPr>
  <c:txPr>
    <a:bodyPr/>
    <a:lstStyle/>
    <a:p>
      <a:pPr>
        <a:defRPr sz="525"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US"/>
              <a:t>Refund Match Totals</a:t>
            </a:r>
          </a:p>
        </c:rich>
      </c:tx>
      <c:layout>
        <c:manualLayout>
          <c:xMode val="edge"/>
          <c:yMode val="edge"/>
          <c:x val="0.37048657703960636"/>
          <c:y val="4.1485746924121531E-3"/>
        </c:manualLayout>
      </c:layout>
      <c:overlay val="0"/>
      <c:spPr>
        <a:noFill/>
        <a:ln w="25400">
          <a:noFill/>
        </a:ln>
      </c:spPr>
    </c:title>
    <c:autoTitleDeleted val="0"/>
    <c:plotArea>
      <c:layout>
        <c:manualLayout>
          <c:layoutTarget val="inner"/>
          <c:xMode val="edge"/>
          <c:yMode val="edge"/>
          <c:x val="0.10323210201618688"/>
          <c:y val="9.4760952808360097E-2"/>
          <c:w val="0.87008042804938779"/>
          <c:h val="0.76004204137695242"/>
        </c:manualLayout>
      </c:layout>
      <c:barChart>
        <c:barDir val="col"/>
        <c:grouping val="clustered"/>
        <c:varyColors val="0"/>
        <c:ser>
          <c:idx val="1"/>
          <c:order val="0"/>
          <c:tx>
            <c:strRef>
              <c:f>'1.8-1.9'!$C$30</c:f>
              <c:strCache>
                <c:ptCount val="1"/>
                <c:pt idx="0">
                  <c:v>Total</c:v>
                </c:pt>
              </c:strCache>
            </c:strRef>
          </c:tx>
          <c:spPr>
            <a:solidFill>
              <a:srgbClr val="993366"/>
            </a:solidFill>
            <a:ln w="12700">
              <a:noFill/>
              <a:prstDash val="solid"/>
            </a:ln>
          </c:spPr>
          <c:invertIfNegative val="0"/>
          <c:dLbls>
            <c:numFmt formatCode="&quot;$&quot;#,##0.0" sourceLinked="0"/>
            <c:spPr>
              <a:solidFill>
                <a:schemeClr val="bg1"/>
              </a:solidFill>
              <a:ln>
                <a:noFill/>
              </a:ln>
              <a:effectLst/>
            </c:spPr>
            <c:txPr>
              <a:bodyPr wrap="square" lIns="38100" tIns="19050" rIns="38100" bIns="19050" anchor="ctr">
                <a:spAutoFit/>
              </a:bodyPr>
              <a:lstStyle/>
              <a:p>
                <a:pPr>
                  <a:defRPr>
                    <a:solidFill>
                      <a:schemeClr val="tx1">
                        <a:lumMod val="75000"/>
                        <a:lumOff val="25000"/>
                      </a:schemeClr>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'1.8-1.9'!$B$31:$B$41</c:f>
              <c:numCache>
                <c:formatCode>General</c:formatCode>
                <c:ptCount val="11"/>
                <c:pt idx="0">
                  <c:v>2009</c:v>
                </c:pt>
                <c:pt idx="1">
                  <c:v>2010</c:v>
                </c:pt>
                <c:pt idx="2">
                  <c:v>2011</c:v>
                </c:pt>
                <c:pt idx="3">
                  <c:v>2012</c:v>
                </c:pt>
                <c:pt idx="4">
                  <c:v>2013</c:v>
                </c:pt>
                <c:pt idx="5">
                  <c:v>2014</c:v>
                </c:pt>
                <c:pt idx="6">
                  <c:v>2015</c:v>
                </c:pt>
                <c:pt idx="7">
                  <c:v>2016</c:v>
                </c:pt>
                <c:pt idx="8">
                  <c:v>2017</c:v>
                </c:pt>
                <c:pt idx="9">
                  <c:v>2018</c:v>
                </c:pt>
                <c:pt idx="10">
                  <c:v>2019</c:v>
                </c:pt>
              </c:numCache>
            </c:numRef>
          </c:cat>
          <c:val>
            <c:numRef>
              <c:f>'1.8-1.9'!$D$31:$D$41</c:f>
              <c:numCache>
                <c:formatCode>#,##0</c:formatCode>
                <c:ptCount val="11"/>
                <c:pt idx="0" formatCode="&quot;$&quot;#,##0">
                  <c:v>17876422.93</c:v>
                </c:pt>
                <c:pt idx="1">
                  <c:v>18578293.82</c:v>
                </c:pt>
                <c:pt idx="2">
                  <c:v>18104923.309999999</c:v>
                </c:pt>
                <c:pt idx="3">
                  <c:v>17368776.620000001</c:v>
                </c:pt>
                <c:pt idx="4">
                  <c:v>18211926.469999999</c:v>
                </c:pt>
                <c:pt idx="5">
                  <c:v>19469019.920000002</c:v>
                </c:pt>
                <c:pt idx="6">
                  <c:v>19206043.66</c:v>
                </c:pt>
                <c:pt idx="7">
                  <c:v>16359793.289999999</c:v>
                </c:pt>
                <c:pt idx="8">
                  <c:v>17431562.34</c:v>
                </c:pt>
                <c:pt idx="9">
                  <c:v>16204019.57</c:v>
                </c:pt>
                <c:pt idx="10">
                  <c:v>17428289.379999999</c:v>
                </c:pt>
              </c:numCache>
            </c:numRef>
          </c:val>
          <c:extLst>
            <c:ext xmlns:c16="http://schemas.microsoft.com/office/drawing/2014/chart" uri="{C3380CC4-5D6E-409C-BE32-E72D297353CC}">
              <c16:uniqueId val="{00000000-9B35-46B5-9661-4A35C994072E}"/>
            </c:ext>
          </c:extLst>
        </c:ser>
        <c:dLbls>
          <c:showLegendKey val="0"/>
          <c:showVal val="0"/>
          <c:showCatName val="0"/>
          <c:showSerName val="0"/>
          <c:showPercent val="0"/>
          <c:showBubbleSize val="0"/>
        </c:dLbls>
        <c:gapWidth val="75"/>
        <c:axId val="80388096"/>
        <c:axId val="80390016"/>
      </c:barChart>
      <c:catAx>
        <c:axId val="80388096"/>
        <c:scaling>
          <c:orientation val="minMax"/>
        </c:scaling>
        <c:delete val="0"/>
        <c:axPos val="b"/>
        <c:title>
          <c:tx>
            <c:rich>
              <a:bodyPr/>
              <a:lstStyle/>
              <a:p>
                <a:pPr>
                  <a:defRPr sz="850" b="1" i="0" u="none" strike="noStrike" baseline="0">
                    <a:solidFill>
                      <a:srgbClr val="000000"/>
                    </a:solidFill>
                    <a:latin typeface="Arial"/>
                    <a:ea typeface="Arial"/>
                    <a:cs typeface="Arial"/>
                  </a:defRPr>
                </a:pPr>
                <a:r>
                  <a:rPr lang="en-US"/>
                  <a:t>Tax Year</a:t>
                </a:r>
              </a:p>
            </c:rich>
          </c:tx>
          <c:layout>
            <c:manualLayout>
              <c:xMode val="edge"/>
              <c:yMode val="edge"/>
              <c:x val="0.4833272147251691"/>
              <c:y val="0.92529107436699942"/>
            </c:manualLayout>
          </c:layout>
          <c:overlay val="0"/>
          <c:spPr>
            <a:noFill/>
            <a:ln w="25400">
              <a:noFill/>
            </a:ln>
          </c:spPr>
        </c:title>
        <c:numFmt formatCode="General" sourceLinked="1"/>
        <c:majorTickMark val="out"/>
        <c:minorTickMark val="none"/>
        <c:tickLblPos val="low"/>
        <c:spPr>
          <a:ln w="3175">
            <a:solidFill>
              <a:schemeClr val="bg1">
                <a:lumMod val="50000"/>
              </a:schemeClr>
            </a:solidFill>
            <a:prstDash val="solid"/>
          </a:ln>
        </c:spPr>
        <c:txPr>
          <a:bodyPr rot="0" vert="horz"/>
          <a:lstStyle/>
          <a:p>
            <a:pPr>
              <a:defRPr sz="850" b="0" i="0" u="none" strike="noStrike" baseline="0">
                <a:solidFill>
                  <a:srgbClr val="000000"/>
                </a:solidFill>
                <a:latin typeface="Arial"/>
                <a:ea typeface="Arial"/>
                <a:cs typeface="Arial"/>
              </a:defRPr>
            </a:pPr>
            <a:endParaRPr lang="en-US"/>
          </a:p>
        </c:txPr>
        <c:crossAx val="80390016"/>
        <c:crosses val="autoZero"/>
        <c:auto val="1"/>
        <c:lblAlgn val="ctr"/>
        <c:lblOffset val="100"/>
        <c:noMultiLvlLbl val="0"/>
      </c:catAx>
      <c:valAx>
        <c:axId val="80390016"/>
        <c:scaling>
          <c:orientation val="minMax"/>
        </c:scaling>
        <c:delete val="0"/>
        <c:axPos val="l"/>
        <c:majorGridlines>
          <c:spPr>
            <a:ln w="3175">
              <a:solidFill>
                <a:schemeClr val="bg1">
                  <a:lumMod val="50000"/>
                </a:schemeClr>
              </a:solidFill>
              <a:prstDash val="dash"/>
            </a:ln>
          </c:spPr>
        </c:majorGridlines>
        <c:numFmt formatCode="&quot;$&quot;#,##0" sourceLinked="0"/>
        <c:majorTickMark val="out"/>
        <c:minorTickMark val="none"/>
        <c:tickLblPos val="nextTo"/>
        <c:spPr>
          <a:ln w="3175">
            <a:solidFill>
              <a:schemeClr val="bg1">
                <a:lumMod val="50000"/>
              </a:schemeClr>
            </a:solidFill>
            <a:prstDash val="solid"/>
          </a:ln>
        </c:spPr>
        <c:txPr>
          <a:bodyPr rot="0" vert="horz"/>
          <a:lstStyle/>
          <a:p>
            <a:pPr>
              <a:defRPr sz="850" b="0" i="0" u="none" strike="noStrike" baseline="0">
                <a:solidFill>
                  <a:srgbClr val="000000"/>
                </a:solidFill>
                <a:latin typeface="Arial"/>
                <a:ea typeface="Arial"/>
                <a:cs typeface="Arial"/>
              </a:defRPr>
            </a:pPr>
            <a:endParaRPr lang="en-US"/>
          </a:p>
        </c:txPr>
        <c:crossAx val="80388096"/>
        <c:crosses val="autoZero"/>
        <c:crossBetween val="between"/>
        <c:dispUnits>
          <c:builtInUnit val="millions"/>
          <c:dispUnitsLbl>
            <c:layout>
              <c:manualLayout>
                <c:xMode val="edge"/>
                <c:yMode val="edge"/>
                <c:x val="7.4052037707505215E-3"/>
                <c:y val="0.19345327947996141"/>
              </c:manualLayout>
            </c:layout>
          </c:dispUnitsLbl>
        </c:dispUnits>
      </c:valAx>
      <c:spPr>
        <a:solidFill>
          <a:srgbClr val="FFFFFF"/>
        </a:solidFill>
        <a:ln w="25400">
          <a:noFill/>
        </a:ln>
      </c:spPr>
    </c:plotArea>
    <c:plotVisOnly val="1"/>
    <c:dispBlanksAs val="gap"/>
    <c:showDLblsOverMax val="0"/>
  </c:chart>
  <c:spPr>
    <a:solidFill>
      <a:srgbClr val="FFFFFF"/>
    </a:solidFill>
    <a:ln w="9525">
      <a:noFill/>
    </a:ln>
  </c:spPr>
  <c:txPr>
    <a:bodyPr/>
    <a:lstStyle/>
    <a:p>
      <a:pPr>
        <a:defRPr sz="85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n-US"/>
              <a:t>Corporate Income Tax Collections</a:t>
            </a:r>
          </a:p>
        </c:rich>
      </c:tx>
      <c:layout>
        <c:manualLayout>
          <c:xMode val="edge"/>
          <c:yMode val="edge"/>
          <c:x val="0.2828715450933188"/>
          <c:y val="6.8093790066523002E-3"/>
        </c:manualLayout>
      </c:layout>
      <c:overlay val="0"/>
      <c:spPr>
        <a:noFill/>
        <a:ln w="25400">
          <a:noFill/>
        </a:ln>
      </c:spPr>
    </c:title>
    <c:autoTitleDeleted val="0"/>
    <c:plotArea>
      <c:layout>
        <c:manualLayout>
          <c:layoutTarget val="inner"/>
          <c:xMode val="edge"/>
          <c:yMode val="edge"/>
          <c:x val="0.10279029337810965"/>
          <c:y val="9.1568963086775298E-2"/>
          <c:w val="0.87187598319192328"/>
          <c:h val="0.7878735084419356"/>
        </c:manualLayout>
      </c:layout>
      <c:barChart>
        <c:barDir val="col"/>
        <c:grouping val="clustered"/>
        <c:varyColors val="0"/>
        <c:ser>
          <c:idx val="0"/>
          <c:order val="0"/>
          <c:tx>
            <c:strRef>
              <c:f>'2.1'!$D$4</c:f>
              <c:strCache>
                <c:ptCount val="1"/>
                <c:pt idx="0">
                  <c:v>Amount</c:v>
                </c:pt>
              </c:strCache>
            </c:strRef>
          </c:tx>
          <c:spPr>
            <a:solidFill>
              <a:srgbClr val="9999FF"/>
            </a:solidFill>
            <a:ln w="12700">
              <a:solidFill>
                <a:schemeClr val="bg1">
                  <a:lumMod val="65000"/>
                </a:schemeClr>
              </a:solidFill>
              <a:prstDash val="solid"/>
            </a:ln>
          </c:spPr>
          <c:invertIfNegative val="0"/>
          <c:dLbls>
            <c:numFmt formatCode="&quot;$&quot;#,##0_);\(&quot;$&quot;#,##0\)" sourceLinked="0"/>
            <c:spPr>
              <a:solidFill>
                <a:schemeClr val="bg1"/>
              </a:solidFill>
              <a:ln>
                <a:noFill/>
              </a:ln>
              <a:effectLst/>
            </c:spPr>
            <c:txPr>
              <a:bodyPr wrap="square" lIns="38100" tIns="19050" rIns="38100" bIns="19050" anchor="ctr">
                <a:spAutoFit/>
              </a:bodyPr>
              <a:lstStyle/>
              <a:p>
                <a:pPr>
                  <a:defRPr>
                    <a:solidFill>
                      <a:schemeClr val="bg1">
                        <a:lumMod val="50000"/>
                      </a:schemeClr>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'2.1'!$A$6:$A$16</c:f>
              <c:numCache>
                <c:formatCode>General</c:formatCode>
                <c:ptCount val="11"/>
                <c:pt idx="0">
                  <c:v>2011</c:v>
                </c:pt>
                <c:pt idx="1">
                  <c:v>2012</c:v>
                </c:pt>
                <c:pt idx="2">
                  <c:v>2013</c:v>
                </c:pt>
                <c:pt idx="3">
                  <c:v>2014</c:v>
                </c:pt>
                <c:pt idx="4">
                  <c:v>2015</c:v>
                </c:pt>
                <c:pt idx="5">
                  <c:v>2016</c:v>
                </c:pt>
                <c:pt idx="6">
                  <c:v>2017</c:v>
                </c:pt>
                <c:pt idx="7">
                  <c:v>2018</c:v>
                </c:pt>
                <c:pt idx="8">
                  <c:v>2019</c:v>
                </c:pt>
                <c:pt idx="9">
                  <c:v>2020</c:v>
                </c:pt>
                <c:pt idx="10">
                  <c:v>2021</c:v>
                </c:pt>
              </c:numCache>
            </c:numRef>
          </c:cat>
          <c:val>
            <c:numRef>
              <c:f>'2.1'!$D$6:$D$16</c:f>
              <c:numCache>
                <c:formatCode>#,##0</c:formatCode>
                <c:ptCount val="11"/>
                <c:pt idx="0">
                  <c:v>822258802.83999991</c:v>
                </c:pt>
                <c:pt idx="1">
                  <c:v>859922839.54999995</c:v>
                </c:pt>
                <c:pt idx="2">
                  <c:v>796728154.4000001</c:v>
                </c:pt>
                <c:pt idx="3">
                  <c:v>757490742.09000015</c:v>
                </c:pt>
                <c:pt idx="4">
                  <c:v>831906887.15999985</c:v>
                </c:pt>
                <c:pt idx="5">
                  <c:v>764948013.7700001</c:v>
                </c:pt>
                <c:pt idx="6">
                  <c:v>826960822.31000006</c:v>
                </c:pt>
                <c:pt idx="7">
                  <c:v>861897138.17999983</c:v>
                </c:pt>
                <c:pt idx="8">
                  <c:v>943390660.94999993</c:v>
                </c:pt>
                <c:pt idx="9">
                  <c:v>1011649618.0699999</c:v>
                </c:pt>
                <c:pt idx="10">
                  <c:v>1515692110.6500001</c:v>
                </c:pt>
              </c:numCache>
            </c:numRef>
          </c:val>
          <c:extLst>
            <c:ext xmlns:c16="http://schemas.microsoft.com/office/drawing/2014/chart" uri="{C3380CC4-5D6E-409C-BE32-E72D297353CC}">
              <c16:uniqueId val="{00000000-715C-42C7-B77B-1C3EF491EC81}"/>
            </c:ext>
          </c:extLst>
        </c:ser>
        <c:dLbls>
          <c:showLegendKey val="0"/>
          <c:showVal val="0"/>
          <c:showCatName val="0"/>
          <c:showSerName val="0"/>
          <c:showPercent val="0"/>
          <c:showBubbleSize val="0"/>
        </c:dLbls>
        <c:gapWidth val="75"/>
        <c:axId val="80448512"/>
        <c:axId val="80454784"/>
      </c:barChart>
      <c:catAx>
        <c:axId val="80448512"/>
        <c:scaling>
          <c:orientation val="minMax"/>
        </c:scaling>
        <c:delete val="0"/>
        <c:axPos val="b"/>
        <c:title>
          <c:tx>
            <c:rich>
              <a:bodyPr/>
              <a:lstStyle/>
              <a:p>
                <a:pPr>
                  <a:defRPr sz="1000" b="1" i="0" u="none" strike="noStrike" baseline="0">
                    <a:solidFill>
                      <a:srgbClr val="000000"/>
                    </a:solidFill>
                    <a:latin typeface="Arial"/>
                    <a:ea typeface="Arial"/>
                    <a:cs typeface="Arial"/>
                  </a:defRPr>
                </a:pPr>
                <a:r>
                  <a:rPr lang="en-US"/>
                  <a:t>Fiscal Year</a:t>
                </a:r>
              </a:p>
            </c:rich>
          </c:tx>
          <c:layout>
            <c:manualLayout>
              <c:xMode val="edge"/>
              <c:yMode val="edge"/>
              <c:x val="0.44052440180252644"/>
              <c:y val="0.94411314953917203"/>
            </c:manualLayout>
          </c:layout>
          <c:overlay val="0"/>
          <c:spPr>
            <a:noFill/>
            <a:ln w="25400">
              <a:noFill/>
            </a:ln>
          </c:spPr>
        </c:title>
        <c:numFmt formatCode="General" sourceLinked="1"/>
        <c:majorTickMark val="out"/>
        <c:minorTickMark val="none"/>
        <c:tickLblPos val="low"/>
        <c:spPr>
          <a:ln w="3175">
            <a:solidFill>
              <a:schemeClr val="bg1">
                <a:lumMod val="65000"/>
              </a:schemeClr>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80454784"/>
        <c:crosses val="autoZero"/>
        <c:auto val="1"/>
        <c:lblAlgn val="ctr"/>
        <c:lblOffset val="100"/>
        <c:noMultiLvlLbl val="0"/>
      </c:catAx>
      <c:valAx>
        <c:axId val="80454784"/>
        <c:scaling>
          <c:orientation val="minMax"/>
          <c:max val="1700000000.0000002"/>
          <c:min val="0"/>
        </c:scaling>
        <c:delete val="0"/>
        <c:axPos val="l"/>
        <c:majorGridlines>
          <c:spPr>
            <a:ln w="3175">
              <a:solidFill>
                <a:schemeClr val="bg1">
                  <a:lumMod val="75000"/>
                </a:schemeClr>
              </a:solidFill>
              <a:prstDash val="dash"/>
            </a:ln>
          </c:spPr>
        </c:majorGridlines>
        <c:title>
          <c:tx>
            <c:rich>
              <a:bodyPr/>
              <a:lstStyle/>
              <a:p>
                <a:pPr>
                  <a:defRPr sz="1000" b="1" i="0" u="none" strike="noStrike" baseline="0">
                    <a:solidFill>
                      <a:srgbClr val="000000"/>
                    </a:solidFill>
                    <a:latin typeface="Arial"/>
                    <a:ea typeface="Arial"/>
                    <a:cs typeface="Arial"/>
                  </a:defRPr>
                </a:pPr>
                <a:r>
                  <a:rPr lang="en-US"/>
                  <a:t>Millions</a:t>
                </a:r>
              </a:p>
            </c:rich>
          </c:tx>
          <c:layout>
            <c:manualLayout>
              <c:xMode val="edge"/>
              <c:yMode val="edge"/>
              <c:x val="4.1463892852922511E-3"/>
              <c:y val="0.16583657221875397"/>
            </c:manualLayout>
          </c:layout>
          <c:overlay val="0"/>
          <c:spPr>
            <a:noFill/>
            <a:ln w="25400">
              <a:noFill/>
            </a:ln>
          </c:spPr>
        </c:title>
        <c:numFmt formatCode="#,##0" sourceLinked="1"/>
        <c:majorTickMark val="out"/>
        <c:minorTickMark val="none"/>
        <c:tickLblPos val="nextTo"/>
        <c:spPr>
          <a:ln w="3175">
            <a:solidFill>
              <a:schemeClr val="bg1">
                <a:lumMod val="65000"/>
              </a:schemeClr>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80448512"/>
        <c:crosses val="autoZero"/>
        <c:crossBetween val="between"/>
        <c:dispUnits>
          <c:builtInUnit val="millions"/>
        </c:dispUnits>
      </c:valAx>
      <c:spPr>
        <a:solidFill>
          <a:srgbClr val="FFFFFF"/>
        </a:solidFill>
        <a:ln w="12700">
          <a:solidFill>
            <a:schemeClr val="bg1">
              <a:lumMod val="85000"/>
            </a:schemeClr>
          </a:solidFill>
          <a:prstDash val="solid"/>
        </a:ln>
      </c:spPr>
    </c:plotArea>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orientation="portrait"/>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0">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2" Type="http://schemas.openxmlformats.org/officeDocument/2006/relationships/chart" Target="../charts/chart13.xml"/><Relationship Id="rId1" Type="http://schemas.openxmlformats.org/officeDocument/2006/relationships/chart" Target="../charts/chart12.xml"/></Relationships>
</file>

<file path=xl/drawings/_rels/drawing2.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1" Type="http://schemas.openxmlformats.org/officeDocument/2006/relationships/chart" Target="../charts/chart5.xml"/></Relationships>
</file>

<file path=xl/drawings/_rels/drawing4.xml.rels><?xml version="1.0" encoding="UTF-8" standalone="yes"?>
<Relationships xmlns="http://schemas.openxmlformats.org/package/2006/relationships"><Relationship Id="rId1" Type="http://schemas.openxmlformats.org/officeDocument/2006/relationships/chart" Target="../charts/chart6.xml"/></Relationships>
</file>

<file path=xl/drawings/_rels/drawing5.xml.rels><?xml version="1.0" encoding="UTF-8" standalone="yes"?>
<Relationships xmlns="http://schemas.openxmlformats.org/package/2006/relationships"><Relationship Id="rId1" Type="http://schemas.openxmlformats.org/officeDocument/2006/relationships/chart" Target="../charts/chart7.xml"/></Relationships>
</file>

<file path=xl/drawings/_rels/drawing6.xml.rels><?xml version="1.0" encoding="UTF-8" standalone="yes"?>
<Relationships xmlns="http://schemas.openxmlformats.org/package/2006/relationships"><Relationship Id="rId1" Type="http://schemas.openxmlformats.org/officeDocument/2006/relationships/chart" Target="../charts/chart8.xml"/></Relationships>
</file>

<file path=xl/drawings/_rels/drawing7.xml.rels><?xml version="1.0" encoding="UTF-8" standalone="yes"?>
<Relationships xmlns="http://schemas.openxmlformats.org/package/2006/relationships"><Relationship Id="rId1" Type="http://schemas.openxmlformats.org/officeDocument/2006/relationships/chart" Target="../charts/chart9.xml"/></Relationships>
</file>

<file path=xl/drawings/_rels/drawing8.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9.xml.rels><?xml version="1.0" encoding="UTF-8" standalone="yes"?>
<Relationships xmlns="http://schemas.openxmlformats.org/package/2006/relationships"><Relationship Id="rId1" Type="http://schemas.openxmlformats.org/officeDocument/2006/relationships/chart" Target="../charts/chart11.xml"/></Relationships>
</file>

<file path=xl/drawings/drawing1.xml><?xml version="1.0" encoding="utf-8"?>
<xdr:wsDr xmlns:xdr="http://schemas.openxmlformats.org/drawingml/2006/spreadsheetDrawing" xmlns:a="http://schemas.openxmlformats.org/drawingml/2006/main">
  <xdr:twoCellAnchor>
    <xdr:from>
      <xdr:col>11</xdr:col>
      <xdr:colOff>285751</xdr:colOff>
      <xdr:row>27</xdr:row>
      <xdr:rowOff>0</xdr:rowOff>
    </xdr:from>
    <xdr:to>
      <xdr:col>17</xdr:col>
      <xdr:colOff>457200</xdr:colOff>
      <xdr:row>49</xdr:row>
      <xdr:rowOff>95039</xdr:rowOff>
    </xdr:to>
    <xdr:graphicFrame macro="">
      <xdr:nvGraphicFramePr>
        <xdr:cNvPr id="2432"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243417</xdr:colOff>
      <xdr:row>0</xdr:row>
      <xdr:rowOff>52917</xdr:rowOff>
    </xdr:from>
    <xdr:to>
      <xdr:col>17</xdr:col>
      <xdr:colOff>476250</xdr:colOff>
      <xdr:row>21</xdr:row>
      <xdr:rowOff>148167</xdr:rowOff>
    </xdr:to>
    <xdr:graphicFrame macro="">
      <xdr:nvGraphicFramePr>
        <xdr:cNvPr id="2431"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3</xdr:col>
      <xdr:colOff>19050</xdr:colOff>
      <xdr:row>3</xdr:row>
      <xdr:rowOff>400051</xdr:rowOff>
    </xdr:from>
    <xdr:to>
      <xdr:col>5</xdr:col>
      <xdr:colOff>1371599</xdr:colOff>
      <xdr:row>21</xdr:row>
      <xdr:rowOff>180975</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0</xdr:colOff>
      <xdr:row>4</xdr:row>
      <xdr:rowOff>0</xdr:rowOff>
    </xdr:from>
    <xdr:to>
      <xdr:col>18</xdr:col>
      <xdr:colOff>190500</xdr:colOff>
      <xdr:row>20</xdr:row>
      <xdr:rowOff>133350</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11</xdr:col>
      <xdr:colOff>166685</xdr:colOff>
      <xdr:row>20</xdr:row>
      <xdr:rowOff>102391</xdr:rowOff>
    </xdr:from>
    <xdr:to>
      <xdr:col>16</xdr:col>
      <xdr:colOff>214309</xdr:colOff>
      <xdr:row>42</xdr:row>
      <xdr:rowOff>30478</xdr:rowOff>
    </xdr:to>
    <xdr:graphicFrame macro="">
      <xdr:nvGraphicFramePr>
        <xdr:cNvPr id="1709134"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11</xdr:col>
      <xdr:colOff>130968</xdr:colOff>
      <xdr:row>1</xdr:row>
      <xdr:rowOff>169334</xdr:rowOff>
    </xdr:from>
    <xdr:to>
      <xdr:col>16</xdr:col>
      <xdr:colOff>190498</xdr:colOff>
      <xdr:row>19</xdr:row>
      <xdr:rowOff>119060</xdr:rowOff>
    </xdr:to>
    <xdr:graphicFrame macro="">
      <xdr:nvGraphicFramePr>
        <xdr:cNvPr id="1709135"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4</xdr:col>
      <xdr:colOff>111127</xdr:colOff>
      <xdr:row>1</xdr:row>
      <xdr:rowOff>32809</xdr:rowOff>
    </xdr:from>
    <xdr:to>
      <xdr:col>4</xdr:col>
      <xdr:colOff>5817659</xdr:colOff>
      <xdr:row>23</xdr:row>
      <xdr:rowOff>148167</xdr:rowOff>
    </xdr:to>
    <xdr:graphicFrame macro="">
      <xdr:nvGraphicFramePr>
        <xdr:cNvPr id="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7</xdr:col>
      <xdr:colOff>10586</xdr:colOff>
      <xdr:row>5</xdr:row>
      <xdr:rowOff>52914</xdr:rowOff>
    </xdr:from>
    <xdr:to>
      <xdr:col>9</xdr:col>
      <xdr:colOff>328083</xdr:colOff>
      <xdr:row>21</xdr:row>
      <xdr:rowOff>148167</xdr:rowOff>
    </xdr:to>
    <xdr:graphicFrame macro="">
      <xdr:nvGraphicFramePr>
        <xdr:cNvPr id="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9</xdr:col>
      <xdr:colOff>97579</xdr:colOff>
      <xdr:row>4</xdr:row>
      <xdr:rowOff>275168</xdr:rowOff>
    </xdr:from>
    <xdr:to>
      <xdr:col>11</xdr:col>
      <xdr:colOff>529166</xdr:colOff>
      <xdr:row>25</xdr:row>
      <xdr:rowOff>74084</xdr:rowOff>
    </xdr:to>
    <xdr:graphicFrame macro="">
      <xdr:nvGraphicFramePr>
        <xdr:cNvPr id="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5</xdr:col>
      <xdr:colOff>557742</xdr:colOff>
      <xdr:row>26</xdr:row>
      <xdr:rowOff>190500</xdr:rowOff>
    </xdr:from>
    <xdr:to>
      <xdr:col>13</xdr:col>
      <xdr:colOff>63500</xdr:colOff>
      <xdr:row>43</xdr:row>
      <xdr:rowOff>148167</xdr:rowOff>
    </xdr:to>
    <xdr:graphicFrame macro="">
      <xdr:nvGraphicFramePr>
        <xdr:cNvPr id="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4</xdr:col>
      <xdr:colOff>238125</xdr:colOff>
      <xdr:row>0</xdr:row>
      <xdr:rowOff>219075</xdr:rowOff>
    </xdr:from>
    <xdr:to>
      <xdr:col>12</xdr:col>
      <xdr:colOff>0</xdr:colOff>
      <xdr:row>20</xdr:row>
      <xdr:rowOff>0</xdr:rowOff>
    </xdr:to>
    <xdr:graphicFrame macro="">
      <xdr:nvGraphicFramePr>
        <xdr:cNvPr id="13534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3</xdr:col>
      <xdr:colOff>45296</xdr:colOff>
      <xdr:row>35</xdr:row>
      <xdr:rowOff>31749</xdr:rowOff>
    </xdr:from>
    <xdr:to>
      <xdr:col>12</xdr:col>
      <xdr:colOff>158750</xdr:colOff>
      <xdr:row>61</xdr:row>
      <xdr:rowOff>31749</xdr:rowOff>
    </xdr:to>
    <xdr:graphicFrame macro="">
      <xdr:nvGraphicFramePr>
        <xdr:cNvPr id="9404"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247649</xdr:colOff>
      <xdr:row>31</xdr:row>
      <xdr:rowOff>57150</xdr:rowOff>
    </xdr:from>
    <xdr:to>
      <xdr:col>6</xdr:col>
      <xdr:colOff>180974</xdr:colOff>
      <xdr:row>47</xdr:row>
      <xdr:rowOff>114300</xdr:rowOff>
    </xdr:to>
    <xdr:graphicFrame macro="">
      <xdr:nvGraphicFramePr>
        <xdr:cNvPr id="139439"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taxi/RESCH/ANNREPRT/FY%2004/Annual%20Report%20FY%20200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RICK/Annual%20Report/AR98TBL2.WK4"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RESCH/ANNREPRT/FY%2004/Annual%20Report%20FY%202004.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M:\RESCH\ANNREPRT\FY%2004\Annual%20Report%20FY%202004.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taxi/RICK/Annual%20Report/AR98TBL2.WK4"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M:\RICK\Annual%20Report\AR98TBL2.WK4"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Page"/>
      <sheetName val="TitlePage"/>
      <sheetName val="AnnRptCont"/>
      <sheetName val="Rev..Exp"/>
      <sheetName val="By Acount"/>
      <sheetName val="Table1.1"/>
      <sheetName val="Table1.2"/>
      <sheetName val="Table1.3"/>
      <sheetName val="Table1.4"/>
      <sheetName val="Table1.5"/>
      <sheetName val="Table1.6"/>
      <sheetName val="Table1.7"/>
      <sheetName val="Table1.8..1.9"/>
      <sheetName val="Table1.10"/>
      <sheetName val="Table 2.1..2.2"/>
      <sheetName val="Table 2.3"/>
      <sheetName val="Table 3.1"/>
      <sheetName val="Table 3.2"/>
      <sheetName val="Table 3.3"/>
      <sheetName val="Table 3.4"/>
      <sheetName val="Table 4.1..4.3"/>
      <sheetName val="Table 4.4..4.5"/>
      <sheetName val="Table 4.6"/>
      <sheetName val="Table 5.1"/>
      <sheetName val="Table 5.2"/>
      <sheetName val="Table 5.3"/>
      <sheetName val="Table 5.4"/>
      <sheetName val="Director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ow r="14">
          <cell r="B14">
            <v>13353279.129999999</v>
          </cell>
          <cell r="C14">
            <v>17204905.25</v>
          </cell>
        </row>
        <row r="22">
          <cell r="B22">
            <v>5217873.93</v>
          </cell>
          <cell r="C22">
            <v>7225597.0500000007</v>
          </cell>
        </row>
      </sheetData>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2.1..2.2"/>
      <sheetName val="Table2.3"/>
    </sheetNames>
    <sheetDataSet>
      <sheetData sheetId="0">
        <row r="13">
          <cell r="A13">
            <v>1994</v>
          </cell>
          <cell r="B13">
            <v>361608041.31</v>
          </cell>
        </row>
        <row r="14">
          <cell r="A14">
            <v>1995</v>
          </cell>
          <cell r="B14">
            <v>292171323</v>
          </cell>
        </row>
        <row r="15">
          <cell r="A15">
            <v>1996</v>
          </cell>
          <cell r="B15">
            <v>374473579.27999997</v>
          </cell>
        </row>
        <row r="16">
          <cell r="A16">
            <v>1997</v>
          </cell>
          <cell r="B16">
            <v>389180393.55000001</v>
          </cell>
        </row>
        <row r="17">
          <cell r="A17">
            <v>1998</v>
          </cell>
          <cell r="B17">
            <v>403413969.03000003</v>
          </cell>
        </row>
      </sheetData>
      <sheetData sheetId="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Page"/>
      <sheetName val="TitlePage"/>
      <sheetName val="AnnRptCont"/>
      <sheetName val="Rev..Exp"/>
      <sheetName val="By Acount"/>
      <sheetName val="Table1.1"/>
      <sheetName val="Table1.2"/>
      <sheetName val="Table1.3"/>
      <sheetName val="Table1.4"/>
      <sheetName val="Table1.5"/>
      <sheetName val="Table1.6"/>
      <sheetName val="Table1.7"/>
      <sheetName val="Table1.8..1.9"/>
      <sheetName val="Table1.10"/>
      <sheetName val="Table 2.1..2.2"/>
      <sheetName val="Table 2.3"/>
      <sheetName val="Table 3.1"/>
      <sheetName val="Table 3.2"/>
      <sheetName val="Table 3.3"/>
      <sheetName val="Table 3.4"/>
      <sheetName val="Table 4.1..4.3"/>
      <sheetName val="Table 4.4..4.5"/>
      <sheetName val="Table 4.6"/>
      <sheetName val="Table 5.1"/>
      <sheetName val="Table 5.2"/>
      <sheetName val="Table 5.3"/>
      <sheetName val="Table 5.4"/>
      <sheetName val="Directory"/>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ow r="14">
          <cell r="B14">
            <v>13353279.129999999</v>
          </cell>
          <cell r="C14">
            <v>17204905.25</v>
          </cell>
        </row>
        <row r="22">
          <cell r="B22">
            <v>5217873.93</v>
          </cell>
          <cell r="C22">
            <v>7225597.0500000007</v>
          </cell>
        </row>
      </sheetData>
      <sheetData sheetId="20"/>
      <sheetData sheetId="21"/>
      <sheetData sheetId="22"/>
      <sheetData sheetId="23"/>
      <sheetData sheetId="24"/>
      <sheetData sheetId="25"/>
      <sheetData sheetId="26"/>
      <sheetData sheetId="27"/>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Page"/>
      <sheetName val="TitlePage"/>
      <sheetName val="AnnRptCont"/>
      <sheetName val="Rev..Exp"/>
      <sheetName val="By Acount"/>
      <sheetName val="Table1.1"/>
      <sheetName val="Table1.2"/>
      <sheetName val="Table1.3"/>
      <sheetName val="Table1.4"/>
      <sheetName val="Table1.5"/>
      <sheetName val="Table1.6"/>
      <sheetName val="Table1.7"/>
      <sheetName val="Table1.8..1.9"/>
      <sheetName val="Table1.10"/>
      <sheetName val="Table 2.1..2.2"/>
      <sheetName val="Table 2.3"/>
      <sheetName val="Table 3.1"/>
      <sheetName val="Table 3.2"/>
      <sheetName val="Table 3.3"/>
      <sheetName val="Table 3.4"/>
      <sheetName val="Table 4.1..4.3"/>
      <sheetName val="Table 4.4..4.5"/>
      <sheetName val="Table 4.6"/>
      <sheetName val="Table 5.1"/>
      <sheetName val="Table 5.2"/>
      <sheetName val="Table 5.3"/>
      <sheetName val="Table 5.4"/>
      <sheetName val="Directory"/>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34">
          <cell r="V34">
            <v>1998</v>
          </cell>
        </row>
      </sheetData>
      <sheetData sheetId="14"/>
      <sheetData sheetId="15"/>
      <sheetData sheetId="16"/>
      <sheetData sheetId="17"/>
      <sheetData sheetId="18"/>
      <sheetData sheetId="19">
        <row r="14">
          <cell r="B14">
            <v>13353279.129999999</v>
          </cell>
          <cell r="C14">
            <v>17204905.25</v>
          </cell>
        </row>
        <row r="22">
          <cell r="B22">
            <v>5217873.93</v>
          </cell>
          <cell r="C22">
            <v>7225597.0500000007</v>
          </cell>
        </row>
      </sheetData>
      <sheetData sheetId="20"/>
      <sheetData sheetId="21"/>
      <sheetData sheetId="22"/>
      <sheetData sheetId="23"/>
      <sheetData sheetId="24"/>
      <sheetData sheetId="25"/>
      <sheetData sheetId="26"/>
      <sheetData sheetId="27"/>
      <sheetData sheetId="28"/>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2.1..2.2"/>
      <sheetName val="Table2.3"/>
    </sheetNames>
    <sheetDataSet>
      <sheetData sheetId="0">
        <row r="13">
          <cell r="A13">
            <v>1994</v>
          </cell>
        </row>
        <row r="14">
          <cell r="A14">
            <v>1995</v>
          </cell>
        </row>
        <row r="15">
          <cell r="A15">
            <v>1996</v>
          </cell>
        </row>
        <row r="16">
          <cell r="A16">
            <v>1997</v>
          </cell>
        </row>
        <row r="17">
          <cell r="A17">
            <v>1998</v>
          </cell>
        </row>
      </sheetData>
      <sheetData sheetId="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2.1..2.2"/>
      <sheetName val="Table2.3"/>
    </sheetNames>
    <sheetDataSet>
      <sheetData sheetId="0">
        <row r="13">
          <cell r="A13">
            <v>1994</v>
          </cell>
          <cell r="B13">
            <v>361608041.31</v>
          </cell>
        </row>
        <row r="14">
          <cell r="A14">
            <v>1995</v>
          </cell>
          <cell r="B14">
            <v>292171323</v>
          </cell>
        </row>
        <row r="15">
          <cell r="A15">
            <v>1996</v>
          </cell>
          <cell r="B15">
            <v>374473579.27999997</v>
          </cell>
        </row>
        <row r="16">
          <cell r="A16">
            <v>1997</v>
          </cell>
          <cell r="B16">
            <v>389180393.55000001</v>
          </cell>
        </row>
        <row r="17">
          <cell r="A17">
            <v>1998</v>
          </cell>
          <cell r="B17">
            <v>403413969.03000003</v>
          </cell>
        </row>
      </sheetData>
      <sheetData sheetId="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24.bin"/><Relationship Id="rId1" Type="http://schemas.openxmlformats.org/officeDocument/2006/relationships/printerSettings" Target="../printerSettings/printerSettings23.bin"/></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s>
</file>

<file path=xl/worksheets/_rels/sheet14.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s>
</file>

<file path=xl/worksheets/_rels/sheet15.xml.rels><?xml version="1.0" encoding="UTF-8" standalone="yes"?>
<Relationships xmlns="http://schemas.openxmlformats.org/package/2006/relationships"><Relationship Id="rId2" Type="http://schemas.openxmlformats.org/officeDocument/2006/relationships/printerSettings" Target="../printerSettings/printerSettings30.bin"/><Relationship Id="rId1" Type="http://schemas.openxmlformats.org/officeDocument/2006/relationships/printerSettings" Target="../printerSettings/printerSettings29.bin"/></Relationships>
</file>

<file path=xl/worksheets/_rels/sheet16.xml.rels><?xml version="1.0" encoding="UTF-8" standalone="yes"?>
<Relationships xmlns="http://schemas.openxmlformats.org/package/2006/relationships"><Relationship Id="rId2" Type="http://schemas.openxmlformats.org/officeDocument/2006/relationships/printerSettings" Target="../printerSettings/printerSettings32.bin"/><Relationship Id="rId1" Type="http://schemas.openxmlformats.org/officeDocument/2006/relationships/printerSettings" Target="../printerSettings/printerSettings31.bin"/></Relationships>
</file>

<file path=xl/worksheets/_rels/sheet17.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34.bin"/><Relationship Id="rId1" Type="http://schemas.openxmlformats.org/officeDocument/2006/relationships/printerSettings" Target="../printerSettings/printerSettings33.bin"/></Relationships>
</file>

<file path=xl/worksheets/_rels/sheet18.xml.rels><?xml version="1.0" encoding="UTF-8" standalone="yes"?>
<Relationships xmlns="http://schemas.openxmlformats.org/package/2006/relationships"><Relationship Id="rId2" Type="http://schemas.openxmlformats.org/officeDocument/2006/relationships/printerSettings" Target="../printerSettings/printerSettings36.bin"/><Relationship Id="rId1" Type="http://schemas.openxmlformats.org/officeDocument/2006/relationships/printerSettings" Target="../printerSettings/printerSettings35.bin"/></Relationships>
</file>

<file path=xl/worksheets/_rels/sheet19.xml.rels><?xml version="1.0" encoding="UTF-8" standalone="yes"?>
<Relationships xmlns="http://schemas.openxmlformats.org/package/2006/relationships"><Relationship Id="rId2" Type="http://schemas.openxmlformats.org/officeDocument/2006/relationships/printerSettings" Target="../printerSettings/printerSettings38.bin"/><Relationship Id="rId1" Type="http://schemas.openxmlformats.org/officeDocument/2006/relationships/printerSettings" Target="../printerSettings/printerSettings37.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20.xml.rels><?xml version="1.0" encoding="UTF-8" standalone="yes"?>
<Relationships xmlns="http://schemas.openxmlformats.org/package/2006/relationships"><Relationship Id="rId2" Type="http://schemas.openxmlformats.org/officeDocument/2006/relationships/printerSettings" Target="../printerSettings/printerSettings40.bin"/><Relationship Id="rId1" Type="http://schemas.openxmlformats.org/officeDocument/2006/relationships/printerSettings" Target="../printerSettings/printerSettings39.bin"/></Relationships>
</file>

<file path=xl/worksheets/_rels/sheet21.xml.rels><?xml version="1.0" encoding="UTF-8" standalone="yes"?>
<Relationships xmlns="http://schemas.openxmlformats.org/package/2006/relationships"><Relationship Id="rId2" Type="http://schemas.openxmlformats.org/officeDocument/2006/relationships/printerSettings" Target="../printerSettings/printerSettings42.bin"/><Relationship Id="rId1" Type="http://schemas.openxmlformats.org/officeDocument/2006/relationships/printerSettings" Target="../printerSettings/printerSettings41.bin"/></Relationships>
</file>

<file path=xl/worksheets/_rels/sheet22.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44.bin"/><Relationship Id="rId1" Type="http://schemas.openxmlformats.org/officeDocument/2006/relationships/printerSettings" Target="../printerSettings/printerSettings43.bin"/></Relationships>
</file>

<file path=xl/worksheets/_rels/sheet23.xml.rels><?xml version="1.0" encoding="UTF-8" standalone="yes"?>
<Relationships xmlns="http://schemas.openxmlformats.org/package/2006/relationships"><Relationship Id="rId2" Type="http://schemas.openxmlformats.org/officeDocument/2006/relationships/printerSettings" Target="../printerSettings/printerSettings46.bin"/><Relationship Id="rId1" Type="http://schemas.openxmlformats.org/officeDocument/2006/relationships/printerSettings" Target="../printerSettings/printerSettings45.bin"/></Relationships>
</file>

<file path=xl/worksheets/_rels/sheet24.xml.rels><?xml version="1.0" encoding="UTF-8" standalone="yes"?>
<Relationships xmlns="http://schemas.openxmlformats.org/package/2006/relationships"><Relationship Id="rId2" Type="http://schemas.openxmlformats.org/officeDocument/2006/relationships/printerSettings" Target="../printerSettings/printerSettings48.bin"/><Relationship Id="rId1" Type="http://schemas.openxmlformats.org/officeDocument/2006/relationships/printerSettings" Target="../printerSettings/printerSettings47.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30.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printerSettings" Target="../printerSettings/printerSettings55.bin"/><Relationship Id="rId1" Type="http://schemas.openxmlformats.org/officeDocument/2006/relationships/printerSettings" Target="../printerSettings/printerSettings54.bin"/><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31.xml.rels><?xml version="1.0" encoding="UTF-8" standalone="yes"?>
<Relationships xmlns="http://schemas.openxmlformats.org/package/2006/relationships"><Relationship Id="rId2" Type="http://schemas.openxmlformats.org/officeDocument/2006/relationships/printerSettings" Target="../printerSettings/printerSettings57.bin"/><Relationship Id="rId1" Type="http://schemas.openxmlformats.org/officeDocument/2006/relationships/printerSettings" Target="../printerSettings/printerSettings56.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dimension ref="A1:H20"/>
  <sheetViews>
    <sheetView tabSelected="1" zoomScaleNormal="100" workbookViewId="0"/>
  </sheetViews>
  <sheetFormatPr defaultRowHeight="12.75"/>
  <sheetData>
    <row r="1" spans="1:8" ht="15">
      <c r="A1" s="650"/>
      <c r="B1" s="101"/>
      <c r="C1" s="101"/>
      <c r="D1" s="101"/>
      <c r="E1" s="101"/>
      <c r="F1" s="101"/>
      <c r="G1" s="101"/>
      <c r="H1" s="101"/>
    </row>
    <row r="2" spans="1:8" ht="15">
      <c r="A2" s="101"/>
      <c r="B2" s="101"/>
      <c r="C2" s="101"/>
      <c r="D2" s="101"/>
      <c r="E2" s="101"/>
      <c r="F2" s="101"/>
      <c r="G2" s="101"/>
      <c r="H2" s="101"/>
    </row>
    <row r="3" spans="1:8" ht="15">
      <c r="A3" s="101"/>
      <c r="B3" s="101"/>
      <c r="C3" s="101"/>
      <c r="D3" s="101"/>
      <c r="E3" s="101"/>
      <c r="F3" s="101"/>
      <c r="G3" s="101"/>
      <c r="H3" s="101"/>
    </row>
    <row r="4" spans="1:8" ht="15">
      <c r="A4" s="101"/>
      <c r="B4" s="101"/>
      <c r="C4" s="101"/>
      <c r="D4" s="101"/>
      <c r="E4" s="101"/>
      <c r="F4" s="101"/>
      <c r="G4" s="101"/>
      <c r="H4" s="101"/>
    </row>
    <row r="5" spans="1:8" ht="20.25">
      <c r="A5" s="1382" t="s">
        <v>1035</v>
      </c>
      <c r="B5" s="1382"/>
      <c r="C5" s="1382"/>
      <c r="D5" s="1382"/>
      <c r="E5" s="1382"/>
      <c r="F5" s="1382"/>
      <c r="G5" s="1382"/>
      <c r="H5" s="1382"/>
    </row>
    <row r="6" spans="1:8" ht="20.25">
      <c r="A6" s="102"/>
      <c r="B6" s="103"/>
      <c r="C6" s="103"/>
      <c r="D6" s="103"/>
      <c r="E6" s="103"/>
      <c r="F6" s="103"/>
      <c r="G6" s="103"/>
      <c r="H6" s="103"/>
    </row>
    <row r="7" spans="1:8" ht="20.25">
      <c r="A7" s="1382" t="s">
        <v>309</v>
      </c>
      <c r="B7" s="1382"/>
      <c r="C7" s="1382"/>
      <c r="D7" s="1382"/>
      <c r="E7" s="1382"/>
      <c r="F7" s="1382"/>
      <c r="G7" s="1382"/>
      <c r="H7" s="1382"/>
    </row>
    <row r="8" spans="1:8" ht="20.25">
      <c r="A8" s="102"/>
      <c r="B8" s="103"/>
      <c r="C8" s="103"/>
      <c r="D8" s="103"/>
      <c r="E8" s="103"/>
      <c r="F8" s="103"/>
      <c r="G8" s="103"/>
      <c r="H8" s="103"/>
    </row>
    <row r="9" spans="1:8" ht="20.25">
      <c r="A9" s="1382" t="s">
        <v>1113</v>
      </c>
      <c r="B9" s="1382"/>
      <c r="C9" s="1382"/>
      <c r="D9" s="1382"/>
      <c r="E9" s="1382"/>
      <c r="F9" s="1382"/>
      <c r="G9" s="1382"/>
      <c r="H9" s="1382"/>
    </row>
    <row r="10" spans="1:8" ht="15.75">
      <c r="A10" s="104"/>
      <c r="B10" s="105"/>
      <c r="C10" s="105"/>
      <c r="D10" s="105"/>
      <c r="E10" s="105"/>
      <c r="F10" s="105"/>
      <c r="G10" s="105"/>
      <c r="H10" s="105"/>
    </row>
    <row r="11" spans="1:8" ht="15.75">
      <c r="A11" s="104"/>
      <c r="B11" s="105"/>
      <c r="C11" s="105"/>
      <c r="D11" s="105"/>
      <c r="E11" s="105"/>
      <c r="F11" s="105"/>
      <c r="G11" s="105"/>
      <c r="H11" s="105"/>
    </row>
    <row r="12" spans="1:8" ht="18">
      <c r="A12" s="1381" t="s">
        <v>310</v>
      </c>
      <c r="B12" s="1381"/>
      <c r="C12" s="1381"/>
      <c r="D12" s="1381"/>
      <c r="E12" s="1381"/>
      <c r="F12" s="1381"/>
      <c r="G12" s="1381"/>
      <c r="H12" s="1381"/>
    </row>
    <row r="13" spans="1:8" ht="18">
      <c r="A13" s="1381" t="s">
        <v>311</v>
      </c>
      <c r="B13" s="1381"/>
      <c r="C13" s="1381"/>
      <c r="D13" s="1381"/>
      <c r="E13" s="1381"/>
      <c r="F13" s="1381"/>
      <c r="G13" s="1381"/>
      <c r="H13" s="1381"/>
    </row>
    <row r="14" spans="1:8" ht="18">
      <c r="A14" s="106"/>
      <c r="B14" s="106"/>
      <c r="C14" s="106"/>
      <c r="D14" s="106"/>
      <c r="E14" s="106"/>
      <c r="F14" s="106"/>
      <c r="G14" s="106"/>
      <c r="H14" s="106"/>
    </row>
    <row r="15" spans="1:8" ht="18">
      <c r="A15" s="106"/>
      <c r="B15" s="106"/>
      <c r="C15" s="106"/>
      <c r="D15" s="106"/>
      <c r="E15" s="106"/>
      <c r="F15" s="106"/>
      <c r="G15" s="106"/>
      <c r="H15" s="106"/>
    </row>
    <row r="16" spans="1:8" ht="18">
      <c r="A16" s="1381" t="s">
        <v>953</v>
      </c>
      <c r="B16" s="1381"/>
      <c r="C16" s="1381"/>
      <c r="D16" s="1381"/>
      <c r="E16" s="1381"/>
      <c r="F16" s="1381"/>
      <c r="G16" s="1381"/>
      <c r="H16" s="1381"/>
    </row>
    <row r="17" spans="1:8" ht="18">
      <c r="A17" s="106"/>
      <c r="B17" s="106"/>
      <c r="C17" s="106"/>
      <c r="D17" s="106"/>
      <c r="E17" s="106"/>
      <c r="F17" s="106"/>
      <c r="G17" s="106"/>
      <c r="H17" s="106"/>
    </row>
    <row r="18" spans="1:8" ht="18">
      <c r="A18" s="1381" t="s">
        <v>1193</v>
      </c>
      <c r="B18" s="1381"/>
      <c r="C18" s="1381"/>
      <c r="D18" s="1381"/>
      <c r="E18" s="1381"/>
      <c r="F18" s="1381"/>
      <c r="G18" s="1381"/>
      <c r="H18" s="1381"/>
    </row>
    <row r="19" spans="1:8" ht="18">
      <c r="A19" s="106"/>
      <c r="B19" s="106"/>
      <c r="C19" s="106"/>
      <c r="D19" s="106"/>
      <c r="E19" s="106"/>
      <c r="F19" s="106"/>
      <c r="G19" s="106"/>
      <c r="H19" s="106"/>
    </row>
    <row r="20" spans="1:8" ht="18">
      <c r="A20" s="1381" t="s">
        <v>312</v>
      </c>
      <c r="B20" s="1381"/>
      <c r="C20" s="1381"/>
      <c r="D20" s="1381"/>
      <c r="E20" s="1381"/>
      <c r="F20" s="1381"/>
      <c r="G20" s="1381"/>
      <c r="H20" s="1381"/>
    </row>
  </sheetData>
  <customSheetViews>
    <customSheetView guid="{E6BBE5A7-0B25-4EE8-BA45-5EA5DBAF3AD4}" showPageBreaks="1" printArea="1">
      <pageMargins left="0.75" right="0.75" top="1" bottom="1" header="0.5" footer="0.5"/>
      <printOptions horizontalCentered="1"/>
      <pageSetup orientation="landscape" r:id="rId1"/>
      <headerFooter alignWithMargins="0"/>
    </customSheetView>
  </customSheetViews>
  <mergeCells count="8">
    <mergeCell ref="A13:H13"/>
    <mergeCell ref="A16:H16"/>
    <mergeCell ref="A18:H18"/>
    <mergeCell ref="A20:H20"/>
    <mergeCell ref="A5:H5"/>
    <mergeCell ref="A7:H7"/>
    <mergeCell ref="A9:H9"/>
    <mergeCell ref="A12:H12"/>
  </mergeCells>
  <phoneticPr fontId="11" type="noConversion"/>
  <printOptions horizontalCentered="1"/>
  <pageMargins left="0.75" right="0.75" top="1" bottom="1" header="0.5" footer="0.5"/>
  <pageSetup orientation="landscape" r:id="rId2"/>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N177"/>
  <sheetViews>
    <sheetView showOutlineSymbols="0" zoomScaleNormal="100" zoomScaleSheetLayoutView="80" workbookViewId="0"/>
  </sheetViews>
  <sheetFormatPr defaultColWidth="10.7109375" defaultRowHeight="15"/>
  <cols>
    <col min="1" max="1" width="15" style="335" customWidth="1"/>
    <col min="2" max="2" width="12.7109375" style="335" bestFit="1" customWidth="1"/>
    <col min="3" max="3" width="15.85546875" style="335" customWidth="1"/>
    <col min="4" max="4" width="2.7109375" style="335" customWidth="1"/>
    <col min="5" max="6" width="12" style="335" bestFit="1" customWidth="1"/>
    <col min="7" max="7" width="17.5703125" style="335" customWidth="1"/>
    <col min="8" max="8" width="12.7109375" style="335" bestFit="1" customWidth="1"/>
    <col min="9" max="9" width="2.5703125" style="335" customWidth="1"/>
    <col min="10" max="10" width="12" style="518" bestFit="1" customWidth="1"/>
    <col min="11" max="11" width="14.7109375" style="518" customWidth="1"/>
    <col min="12" max="12" width="12.85546875" style="518" customWidth="1"/>
    <col min="13" max="13" width="2.7109375" style="335" customWidth="1"/>
    <col min="14" max="14" width="5.28515625" style="335" bestFit="1" customWidth="1"/>
    <col min="15" max="16384" width="10.7109375" style="335"/>
  </cols>
  <sheetData>
    <row r="1" spans="1:14" ht="17.100000000000001" customHeight="1">
      <c r="A1" s="314" t="s">
        <v>700</v>
      </c>
      <c r="B1" s="458"/>
      <c r="C1" s="323"/>
      <c r="D1" s="323"/>
      <c r="E1" s="458"/>
      <c r="F1" s="458"/>
      <c r="G1" s="323"/>
      <c r="H1" s="458"/>
      <c r="I1" s="458"/>
      <c r="J1" s="459"/>
      <c r="K1" s="459"/>
      <c r="L1" s="460"/>
      <c r="N1" s="1276" t="s">
        <v>1194</v>
      </c>
    </row>
    <row r="2" spans="1:14" ht="15" customHeight="1">
      <c r="A2" s="317" t="s">
        <v>949</v>
      </c>
      <c r="B2" s="458"/>
      <c r="C2" s="323"/>
      <c r="D2" s="323"/>
      <c r="E2" s="458"/>
      <c r="F2" s="458"/>
      <c r="G2" s="323"/>
      <c r="H2" s="458"/>
      <c r="I2" s="458"/>
      <c r="J2" s="461"/>
      <c r="K2" s="461"/>
      <c r="L2" s="380"/>
    </row>
    <row r="3" spans="1:14" ht="15" customHeight="1">
      <c r="A3" s="462" t="str">
        <f>'1.2'!A3</f>
        <v>Taxable Year 2019</v>
      </c>
      <c r="B3" s="463"/>
      <c r="C3" s="342"/>
      <c r="D3" s="342"/>
      <c r="E3" s="463"/>
      <c r="F3" s="463"/>
      <c r="G3" s="342"/>
      <c r="H3" s="463"/>
      <c r="I3" s="463"/>
      <c r="J3" s="461"/>
      <c r="K3" s="461"/>
      <c r="L3" s="380"/>
    </row>
    <row r="4" spans="1:14" ht="6" customHeight="1" thickBot="1">
      <c r="A4" s="340"/>
      <c r="B4" s="463"/>
      <c r="C4" s="342"/>
      <c r="D4" s="342"/>
      <c r="E4" s="463"/>
      <c r="F4" s="463"/>
      <c r="G4" s="342"/>
      <c r="H4" s="463"/>
      <c r="I4" s="463"/>
      <c r="J4" s="461"/>
      <c r="K4" s="461"/>
      <c r="L4" s="380"/>
      <c r="M4" s="464"/>
      <c r="N4" s="464"/>
    </row>
    <row r="5" spans="1:14">
      <c r="A5" s="465"/>
      <c r="B5" s="1270" t="s">
        <v>386</v>
      </c>
      <c r="C5" s="1270"/>
      <c r="D5" s="466"/>
      <c r="E5" s="1271" t="s">
        <v>387</v>
      </c>
      <c r="F5" s="1272"/>
      <c r="G5" s="1272"/>
      <c r="H5" s="1272"/>
      <c r="I5" s="467"/>
      <c r="J5" s="1273" t="s">
        <v>701</v>
      </c>
      <c r="K5" s="1273"/>
      <c r="L5" s="1274"/>
      <c r="M5" s="464"/>
      <c r="N5" s="464"/>
    </row>
    <row r="6" spans="1:14" ht="13.15" customHeight="1">
      <c r="A6" s="468"/>
      <c r="B6" s="469"/>
      <c r="C6" s="470"/>
      <c r="D6" s="470"/>
      <c r="E6" s="471"/>
      <c r="F6" s="469"/>
      <c r="G6" s="470"/>
      <c r="H6" s="472" t="s">
        <v>17</v>
      </c>
      <c r="I6" s="473"/>
      <c r="J6" s="474"/>
      <c r="K6" s="475" t="s">
        <v>930</v>
      </c>
      <c r="L6" s="475" t="s">
        <v>930</v>
      </c>
    </row>
    <row r="7" spans="1:14" ht="13.15" customHeight="1">
      <c r="A7" s="326" t="s">
        <v>23</v>
      </c>
      <c r="B7" s="476" t="s">
        <v>702</v>
      </c>
      <c r="C7" s="326" t="s">
        <v>20</v>
      </c>
      <c r="D7" s="326"/>
      <c r="E7" s="477" t="s">
        <v>383</v>
      </c>
      <c r="F7" s="476" t="s">
        <v>382</v>
      </c>
      <c r="G7" s="326" t="s">
        <v>20</v>
      </c>
      <c r="H7" s="476" t="s">
        <v>380</v>
      </c>
      <c r="I7" s="478"/>
      <c r="J7" s="479" t="s">
        <v>703</v>
      </c>
      <c r="K7" s="479" t="s">
        <v>378</v>
      </c>
      <c r="L7" s="480" t="s">
        <v>929</v>
      </c>
    </row>
    <row r="8" spans="1:14" ht="24" customHeight="1">
      <c r="A8" s="284" t="s">
        <v>398</v>
      </c>
      <c r="B8" s="276">
        <v>42608</v>
      </c>
      <c r="C8" s="481">
        <v>38635524.450000003</v>
      </c>
      <c r="D8" s="481"/>
      <c r="E8" s="482">
        <v>16970</v>
      </c>
      <c r="F8" s="280">
        <v>2054</v>
      </c>
      <c r="G8" s="481">
        <v>262014690.41999999</v>
      </c>
      <c r="H8" s="280">
        <v>19024</v>
      </c>
      <c r="I8" s="483"/>
      <c r="J8" s="379">
        <v>11413</v>
      </c>
      <c r="K8" s="375">
        <v>6888</v>
      </c>
      <c r="L8" s="459">
        <v>723</v>
      </c>
    </row>
    <row r="9" spans="1:14" ht="13.15" customHeight="1">
      <c r="A9" s="309" t="s">
        <v>402</v>
      </c>
      <c r="B9" s="276">
        <v>114205</v>
      </c>
      <c r="C9" s="280">
        <v>102792350.86</v>
      </c>
      <c r="D9" s="280"/>
      <c r="E9" s="482">
        <v>40465</v>
      </c>
      <c r="F9" s="280">
        <v>9489</v>
      </c>
      <c r="G9" s="280">
        <v>602218833.75</v>
      </c>
      <c r="H9" s="280">
        <v>49954</v>
      </c>
      <c r="I9" s="483"/>
      <c r="J9" s="379">
        <v>27886</v>
      </c>
      <c r="K9" s="375">
        <v>20556</v>
      </c>
      <c r="L9" s="459">
        <v>1512</v>
      </c>
    </row>
    <row r="10" spans="1:14" ht="13.15" customHeight="1">
      <c r="A10" s="309" t="s">
        <v>406</v>
      </c>
      <c r="B10" s="276">
        <v>16523</v>
      </c>
      <c r="C10" s="280">
        <v>14983727.720000001</v>
      </c>
      <c r="D10" s="280"/>
      <c r="E10" s="482">
        <v>6840</v>
      </c>
      <c r="F10" s="280">
        <v>379</v>
      </c>
      <c r="G10" s="280">
        <v>60800264.909999996</v>
      </c>
      <c r="H10" s="280">
        <v>7219</v>
      </c>
      <c r="I10" s="483"/>
      <c r="J10" s="379">
        <v>3885</v>
      </c>
      <c r="K10" s="375">
        <v>3111</v>
      </c>
      <c r="L10" s="459">
        <v>223</v>
      </c>
    </row>
    <row r="11" spans="1:14" ht="13.15" customHeight="1">
      <c r="A11" s="309" t="s">
        <v>410</v>
      </c>
      <c r="B11" s="276">
        <v>13849</v>
      </c>
      <c r="C11" s="280">
        <v>12604430.23</v>
      </c>
      <c r="D11" s="280"/>
      <c r="E11" s="482">
        <v>5560</v>
      </c>
      <c r="F11" s="280">
        <v>520</v>
      </c>
      <c r="G11" s="280">
        <v>49290211.530000001</v>
      </c>
      <c r="H11" s="280">
        <v>6080</v>
      </c>
      <c r="I11" s="483"/>
      <c r="J11" s="379">
        <v>3351</v>
      </c>
      <c r="K11" s="375">
        <v>2545</v>
      </c>
      <c r="L11" s="459">
        <v>184</v>
      </c>
    </row>
    <row r="12" spans="1:14" ht="13.15" customHeight="1">
      <c r="A12" s="309" t="s">
        <v>414</v>
      </c>
      <c r="B12" s="276">
        <v>30988</v>
      </c>
      <c r="C12" s="280">
        <v>28149646.809999999</v>
      </c>
      <c r="D12" s="280"/>
      <c r="E12" s="482">
        <v>12880</v>
      </c>
      <c r="F12" s="280">
        <v>829</v>
      </c>
      <c r="G12" s="280">
        <v>102155535.92</v>
      </c>
      <c r="H12" s="280">
        <v>13709</v>
      </c>
      <c r="I12" s="483"/>
      <c r="J12" s="379">
        <v>7836</v>
      </c>
      <c r="K12" s="375">
        <v>5556</v>
      </c>
      <c r="L12" s="459">
        <v>317</v>
      </c>
    </row>
    <row r="13" spans="1:14" ht="24" customHeight="1">
      <c r="A13" s="309" t="s">
        <v>418</v>
      </c>
      <c r="B13" s="276">
        <v>16483</v>
      </c>
      <c r="C13" s="280">
        <v>15004444.6</v>
      </c>
      <c r="D13" s="280"/>
      <c r="E13" s="482">
        <v>6598</v>
      </c>
      <c r="F13" s="280">
        <v>421</v>
      </c>
      <c r="G13" s="280">
        <v>53000307.990000002</v>
      </c>
      <c r="H13" s="280">
        <v>7019</v>
      </c>
      <c r="I13" s="483"/>
      <c r="J13" s="379">
        <v>3769</v>
      </c>
      <c r="K13" s="375">
        <v>3038</v>
      </c>
      <c r="L13" s="459">
        <v>212</v>
      </c>
    </row>
    <row r="14" spans="1:14" ht="13.15" customHeight="1">
      <c r="A14" s="309" t="s">
        <v>422</v>
      </c>
      <c r="B14" s="276">
        <v>240008</v>
      </c>
      <c r="C14" s="280">
        <v>214926551.05000001</v>
      </c>
      <c r="D14" s="280"/>
      <c r="E14" s="482">
        <v>101058</v>
      </c>
      <c r="F14" s="280">
        <v>31604</v>
      </c>
      <c r="G14" s="280">
        <v>1566890008.3599999</v>
      </c>
      <c r="H14" s="280">
        <v>132662</v>
      </c>
      <c r="I14" s="483"/>
      <c r="J14" s="379">
        <v>90689</v>
      </c>
      <c r="K14" s="375">
        <v>36772</v>
      </c>
      <c r="L14" s="459">
        <v>5201</v>
      </c>
    </row>
    <row r="15" spans="1:14" ht="13.15" customHeight="1">
      <c r="A15" s="309" t="s">
        <v>426</v>
      </c>
      <c r="B15" s="276">
        <v>81827</v>
      </c>
      <c r="C15" s="280">
        <v>74224508.189999998</v>
      </c>
      <c r="D15" s="280"/>
      <c r="E15" s="482">
        <v>32602</v>
      </c>
      <c r="F15" s="280">
        <v>2844</v>
      </c>
      <c r="G15" s="280">
        <v>288469515.18000001</v>
      </c>
      <c r="H15" s="280">
        <v>35446</v>
      </c>
      <c r="I15" s="483"/>
      <c r="J15" s="379">
        <v>18721</v>
      </c>
      <c r="K15" s="375">
        <v>15865</v>
      </c>
      <c r="L15" s="459">
        <v>860</v>
      </c>
    </row>
    <row r="16" spans="1:14" ht="13.15" customHeight="1">
      <c r="A16" s="309" t="s">
        <v>430</v>
      </c>
      <c r="B16" s="276">
        <v>5172</v>
      </c>
      <c r="C16" s="280">
        <v>4680229.53</v>
      </c>
      <c r="D16" s="280"/>
      <c r="E16" s="482">
        <v>2283</v>
      </c>
      <c r="F16" s="280">
        <v>146</v>
      </c>
      <c r="G16" s="280">
        <v>24630352.370000001</v>
      </c>
      <c r="H16" s="280">
        <v>2429</v>
      </c>
      <c r="I16" s="483"/>
      <c r="J16" s="379">
        <v>1425</v>
      </c>
      <c r="K16" s="375">
        <v>931</v>
      </c>
      <c r="L16" s="459">
        <v>73</v>
      </c>
    </row>
    <row r="17" spans="1:12" ht="13.15" customHeight="1">
      <c r="A17" s="309" t="s">
        <v>434</v>
      </c>
      <c r="B17" s="276">
        <v>85159</v>
      </c>
      <c r="C17" s="280">
        <v>76990454.030000001</v>
      </c>
      <c r="D17" s="280"/>
      <c r="E17" s="482">
        <v>32201</v>
      </c>
      <c r="F17" s="280">
        <v>3774</v>
      </c>
      <c r="G17" s="280">
        <v>333003945.81</v>
      </c>
      <c r="H17" s="280">
        <v>35975</v>
      </c>
      <c r="I17" s="483"/>
      <c r="J17" s="379">
        <v>17889</v>
      </c>
      <c r="K17" s="375">
        <v>17159</v>
      </c>
      <c r="L17" s="459">
        <v>927</v>
      </c>
    </row>
    <row r="18" spans="1:12" ht="24" customHeight="1">
      <c r="A18" s="309" t="s">
        <v>438</v>
      </c>
      <c r="B18" s="276">
        <v>5690</v>
      </c>
      <c r="C18" s="280">
        <v>5161093.22</v>
      </c>
      <c r="D18" s="280"/>
      <c r="E18" s="482">
        <v>2355</v>
      </c>
      <c r="F18" s="280">
        <v>98</v>
      </c>
      <c r="G18" s="280">
        <v>18561759.190000001</v>
      </c>
      <c r="H18" s="280">
        <v>2453</v>
      </c>
      <c r="I18" s="483"/>
      <c r="J18" s="379">
        <v>1203</v>
      </c>
      <c r="K18" s="375">
        <v>1169</v>
      </c>
      <c r="L18" s="459">
        <v>81</v>
      </c>
    </row>
    <row r="19" spans="1:12" ht="13.15" customHeight="1">
      <c r="A19" s="309" t="s">
        <v>442</v>
      </c>
      <c r="B19" s="276">
        <v>36380</v>
      </c>
      <c r="C19" s="280">
        <v>32928694.440000001</v>
      </c>
      <c r="D19" s="280"/>
      <c r="E19" s="482">
        <v>13494</v>
      </c>
      <c r="F19" s="280">
        <v>1711</v>
      </c>
      <c r="G19" s="280">
        <v>138202575.88</v>
      </c>
      <c r="H19" s="280">
        <v>15205</v>
      </c>
      <c r="I19" s="483"/>
      <c r="J19" s="379">
        <v>7345</v>
      </c>
      <c r="K19" s="375">
        <v>7496</v>
      </c>
      <c r="L19" s="459">
        <v>364</v>
      </c>
    </row>
    <row r="20" spans="1:12" ht="13.15" customHeight="1">
      <c r="A20" s="309" t="s">
        <v>446</v>
      </c>
      <c r="B20" s="276">
        <v>13947</v>
      </c>
      <c r="C20" s="280">
        <v>12675106.07</v>
      </c>
      <c r="D20" s="280"/>
      <c r="E20" s="482">
        <v>5905</v>
      </c>
      <c r="F20" s="280">
        <v>479</v>
      </c>
      <c r="G20" s="280">
        <v>46457802.259999998</v>
      </c>
      <c r="H20" s="280">
        <v>6384</v>
      </c>
      <c r="I20" s="483"/>
      <c r="J20" s="379">
        <v>4228</v>
      </c>
      <c r="K20" s="375">
        <v>1930</v>
      </c>
      <c r="L20" s="459">
        <v>226</v>
      </c>
    </row>
    <row r="21" spans="1:12" ht="13.15" customHeight="1">
      <c r="A21" s="309" t="s">
        <v>450</v>
      </c>
      <c r="B21" s="276">
        <v>15831</v>
      </c>
      <c r="C21" s="280">
        <v>14448476.130000001</v>
      </c>
      <c r="D21" s="280"/>
      <c r="E21" s="482">
        <v>6429</v>
      </c>
      <c r="F21" s="280">
        <v>178</v>
      </c>
      <c r="G21" s="280">
        <v>55958139.039999999</v>
      </c>
      <c r="H21" s="280">
        <v>6607</v>
      </c>
      <c r="I21" s="483"/>
      <c r="J21" s="379">
        <v>3225</v>
      </c>
      <c r="K21" s="375">
        <v>3247</v>
      </c>
      <c r="L21" s="459">
        <v>135</v>
      </c>
    </row>
    <row r="22" spans="1:12" ht="13.15" customHeight="1">
      <c r="A22" s="309" t="s">
        <v>454</v>
      </c>
      <c r="B22" s="276">
        <v>13748</v>
      </c>
      <c r="C22" s="280">
        <v>12510052</v>
      </c>
      <c r="D22" s="280"/>
      <c r="E22" s="482">
        <v>5774</v>
      </c>
      <c r="F22" s="280">
        <v>360</v>
      </c>
      <c r="G22" s="280">
        <v>44210428.799999997</v>
      </c>
      <c r="H22" s="280">
        <v>6134</v>
      </c>
      <c r="I22" s="483"/>
      <c r="J22" s="379">
        <v>3733</v>
      </c>
      <c r="K22" s="375">
        <v>2187</v>
      </c>
      <c r="L22" s="459">
        <v>214</v>
      </c>
    </row>
    <row r="23" spans="1:12" ht="24" customHeight="1">
      <c r="A23" s="309" t="s">
        <v>458</v>
      </c>
      <c r="B23" s="276">
        <v>54522</v>
      </c>
      <c r="C23" s="280">
        <v>49567824.149999999</v>
      </c>
      <c r="D23" s="280"/>
      <c r="E23" s="482">
        <v>22884</v>
      </c>
      <c r="F23" s="280">
        <v>1315</v>
      </c>
      <c r="G23" s="379">
        <v>177019210.09</v>
      </c>
      <c r="H23" s="280">
        <v>24199</v>
      </c>
      <c r="I23" s="483"/>
      <c r="J23" s="379">
        <v>13696</v>
      </c>
      <c r="K23" s="375">
        <v>9864</v>
      </c>
      <c r="L23" s="459">
        <v>639</v>
      </c>
    </row>
    <row r="24" spans="1:12" ht="13.15" customHeight="1">
      <c r="A24" s="309" t="s">
        <v>460</v>
      </c>
      <c r="B24" s="276">
        <v>30348</v>
      </c>
      <c r="C24" s="280">
        <v>27655449.16</v>
      </c>
      <c r="D24" s="280"/>
      <c r="E24" s="482">
        <v>12206</v>
      </c>
      <c r="F24" s="280">
        <v>1672</v>
      </c>
      <c r="G24" s="280">
        <v>113938411.08</v>
      </c>
      <c r="H24" s="280">
        <v>13878</v>
      </c>
      <c r="I24" s="483"/>
      <c r="J24" s="379">
        <v>8411</v>
      </c>
      <c r="K24" s="375">
        <v>5010</v>
      </c>
      <c r="L24" s="459">
        <v>457</v>
      </c>
    </row>
    <row r="25" spans="1:12" ht="13.15" customHeight="1">
      <c r="A25" s="309" t="s">
        <v>463</v>
      </c>
      <c r="B25" s="276">
        <v>28166</v>
      </c>
      <c r="C25" s="280">
        <v>25518090.859999999</v>
      </c>
      <c r="D25" s="280"/>
      <c r="E25" s="482">
        <v>11935</v>
      </c>
      <c r="F25" s="280">
        <v>371</v>
      </c>
      <c r="G25" s="280">
        <v>94004912.260000005</v>
      </c>
      <c r="H25" s="280">
        <v>12306</v>
      </c>
      <c r="I25" s="483"/>
      <c r="J25" s="379">
        <v>6389</v>
      </c>
      <c r="K25" s="375">
        <v>5521</v>
      </c>
      <c r="L25" s="459">
        <v>396</v>
      </c>
    </row>
    <row r="26" spans="1:12" ht="13.15" customHeight="1">
      <c r="A26" s="309" t="s">
        <v>466</v>
      </c>
      <c r="B26" s="276">
        <v>7102</v>
      </c>
      <c r="C26" s="280">
        <v>6445653</v>
      </c>
      <c r="D26" s="280"/>
      <c r="E26" s="482">
        <v>3013</v>
      </c>
      <c r="F26" s="280">
        <v>347</v>
      </c>
      <c r="G26" s="280">
        <v>26959031.260000002</v>
      </c>
      <c r="H26" s="280">
        <v>3360</v>
      </c>
      <c r="I26" s="483"/>
      <c r="J26" s="379">
        <v>2058</v>
      </c>
      <c r="K26" s="375">
        <v>1187</v>
      </c>
      <c r="L26" s="459">
        <v>115</v>
      </c>
    </row>
    <row r="27" spans="1:12" ht="13.15" customHeight="1">
      <c r="A27" s="309" t="s">
        <v>469</v>
      </c>
      <c r="B27" s="276">
        <v>11654</v>
      </c>
      <c r="C27" s="280">
        <v>10600361.310000001</v>
      </c>
      <c r="D27" s="280"/>
      <c r="E27" s="482">
        <v>4759</v>
      </c>
      <c r="F27" s="280">
        <v>263</v>
      </c>
      <c r="G27" s="280">
        <v>38179912.369999997</v>
      </c>
      <c r="H27" s="280">
        <v>5022</v>
      </c>
      <c r="I27" s="483"/>
      <c r="J27" s="379">
        <v>2888</v>
      </c>
      <c r="K27" s="375">
        <v>2002</v>
      </c>
      <c r="L27" s="459">
        <v>132</v>
      </c>
    </row>
    <row r="28" spans="1:12" ht="24" customHeight="1">
      <c r="A28" s="309" t="s">
        <v>471</v>
      </c>
      <c r="B28" s="276">
        <v>375350</v>
      </c>
      <c r="C28" s="280">
        <v>340746506.55000001</v>
      </c>
      <c r="D28" s="280"/>
      <c r="E28" s="482">
        <v>137293</v>
      </c>
      <c r="F28" s="280">
        <v>26831</v>
      </c>
      <c r="G28" s="280">
        <v>1515111997.04</v>
      </c>
      <c r="H28" s="280">
        <v>164124</v>
      </c>
      <c r="I28" s="483"/>
      <c r="J28" s="379">
        <v>94038</v>
      </c>
      <c r="K28" s="375">
        <v>64915</v>
      </c>
      <c r="L28" s="459">
        <v>5171</v>
      </c>
    </row>
    <row r="29" spans="1:12" ht="13.15" customHeight="1">
      <c r="A29" s="309" t="s">
        <v>474</v>
      </c>
      <c r="B29" s="276">
        <v>16673</v>
      </c>
      <c r="C29" s="280">
        <v>15069911.689999999</v>
      </c>
      <c r="D29" s="280"/>
      <c r="E29" s="482">
        <v>5859</v>
      </c>
      <c r="F29" s="280">
        <v>1446</v>
      </c>
      <c r="G29" s="280">
        <v>73860812.159999996</v>
      </c>
      <c r="H29" s="280">
        <v>7305</v>
      </c>
      <c r="I29" s="483"/>
      <c r="J29" s="379">
        <v>3921</v>
      </c>
      <c r="K29" s="375">
        <v>3176</v>
      </c>
      <c r="L29" s="459">
        <v>208</v>
      </c>
    </row>
    <row r="30" spans="1:12" ht="13.15" customHeight="1">
      <c r="A30" s="309" t="s">
        <v>476</v>
      </c>
      <c r="B30" s="276">
        <v>5122</v>
      </c>
      <c r="C30" s="280">
        <v>4649679.4400000004</v>
      </c>
      <c r="D30" s="280"/>
      <c r="E30" s="482">
        <v>2114</v>
      </c>
      <c r="F30" s="280">
        <v>113</v>
      </c>
      <c r="G30" s="280">
        <v>16974884.25</v>
      </c>
      <c r="H30" s="280">
        <v>2227</v>
      </c>
      <c r="I30" s="483"/>
      <c r="J30" s="379">
        <v>1144</v>
      </c>
      <c r="K30" s="375">
        <v>1032</v>
      </c>
      <c r="L30" s="459">
        <v>51</v>
      </c>
    </row>
    <row r="31" spans="1:12" ht="13.15" customHeight="1">
      <c r="A31" s="309" t="s">
        <v>479</v>
      </c>
      <c r="B31" s="276">
        <v>53295</v>
      </c>
      <c r="C31" s="280">
        <v>48463075.049999997</v>
      </c>
      <c r="D31" s="280"/>
      <c r="E31" s="482">
        <v>19416</v>
      </c>
      <c r="F31" s="280">
        <v>3570</v>
      </c>
      <c r="G31" s="280">
        <v>208755398.55000001</v>
      </c>
      <c r="H31" s="280">
        <v>22986</v>
      </c>
      <c r="I31" s="483"/>
      <c r="J31" s="379">
        <v>12937</v>
      </c>
      <c r="K31" s="375">
        <v>9383</v>
      </c>
      <c r="L31" s="459">
        <v>666</v>
      </c>
    </row>
    <row r="32" spans="1:12" ht="13.15" customHeight="1">
      <c r="A32" s="309" t="s">
        <v>482</v>
      </c>
      <c r="B32" s="276">
        <v>9417</v>
      </c>
      <c r="C32" s="280">
        <v>8550860</v>
      </c>
      <c r="D32" s="280"/>
      <c r="E32" s="482">
        <v>3863</v>
      </c>
      <c r="F32" s="280">
        <v>297</v>
      </c>
      <c r="G32" s="280">
        <v>31659813.890000001</v>
      </c>
      <c r="H32" s="280">
        <v>4160</v>
      </c>
      <c r="I32" s="483"/>
      <c r="J32" s="379">
        <v>2432</v>
      </c>
      <c r="K32" s="375">
        <v>1572</v>
      </c>
      <c r="L32" s="459">
        <v>156</v>
      </c>
    </row>
    <row r="33" spans="1:14" ht="24" customHeight="1">
      <c r="A33" s="309" t="s">
        <v>485</v>
      </c>
      <c r="B33" s="276">
        <v>11182</v>
      </c>
      <c r="C33" s="280">
        <v>10198967.27</v>
      </c>
      <c r="D33" s="280"/>
      <c r="E33" s="482">
        <v>4599</v>
      </c>
      <c r="F33" s="280">
        <v>81</v>
      </c>
      <c r="G33" s="280">
        <v>47990363.020000003</v>
      </c>
      <c r="H33" s="280">
        <v>4680</v>
      </c>
      <c r="I33" s="483"/>
      <c r="J33" s="379">
        <v>2358</v>
      </c>
      <c r="K33" s="375">
        <v>2216</v>
      </c>
      <c r="L33" s="459">
        <v>106</v>
      </c>
    </row>
    <row r="34" spans="1:14" ht="13.15" customHeight="1">
      <c r="A34" s="309" t="s">
        <v>488</v>
      </c>
      <c r="B34" s="276">
        <v>27245</v>
      </c>
      <c r="C34" s="280">
        <v>24836533.98</v>
      </c>
      <c r="D34" s="280"/>
      <c r="E34" s="482">
        <v>11085</v>
      </c>
      <c r="F34" s="280">
        <v>1268</v>
      </c>
      <c r="G34" s="280">
        <v>96922405.810000002</v>
      </c>
      <c r="H34" s="280">
        <v>12353</v>
      </c>
      <c r="I34" s="483"/>
      <c r="J34" s="379">
        <v>7569</v>
      </c>
      <c r="K34" s="375">
        <v>4375</v>
      </c>
      <c r="L34" s="459">
        <v>409</v>
      </c>
    </row>
    <row r="35" spans="1:14" ht="13.15" customHeight="1">
      <c r="A35" s="309" t="s">
        <v>491</v>
      </c>
      <c r="B35" s="276">
        <v>11160</v>
      </c>
      <c r="C35" s="280">
        <v>10119248.720000001</v>
      </c>
      <c r="D35" s="280"/>
      <c r="E35" s="482">
        <v>4558</v>
      </c>
      <c r="F35" s="280">
        <v>524</v>
      </c>
      <c r="G35" s="379">
        <v>43611998.369999997</v>
      </c>
      <c r="H35" s="280">
        <v>5082</v>
      </c>
      <c r="I35" s="483"/>
      <c r="J35" s="379">
        <v>3182</v>
      </c>
      <c r="K35" s="375">
        <v>1726</v>
      </c>
      <c r="L35" s="459">
        <v>174</v>
      </c>
    </row>
    <row r="36" spans="1:14" ht="13.15" customHeight="1">
      <c r="A36" s="310" t="s">
        <v>494</v>
      </c>
      <c r="B36" s="276">
        <v>1209236</v>
      </c>
      <c r="C36" s="280">
        <v>1095381946.9000001</v>
      </c>
      <c r="D36" s="280"/>
      <c r="E36" s="482">
        <v>389903</v>
      </c>
      <c r="F36" s="280">
        <v>155208</v>
      </c>
      <c r="G36" s="280">
        <v>7596743928.9300003</v>
      </c>
      <c r="H36" s="280">
        <v>545111</v>
      </c>
      <c r="I36" s="483"/>
      <c r="J36" s="379">
        <v>304931</v>
      </c>
      <c r="K36" s="375">
        <v>220072</v>
      </c>
      <c r="L36" s="459">
        <v>20108</v>
      </c>
    </row>
    <row r="37" spans="1:14" ht="13.15" customHeight="1">
      <c r="A37" s="310" t="s">
        <v>497</v>
      </c>
      <c r="B37" s="280">
        <v>78822</v>
      </c>
      <c r="C37" s="280">
        <v>71591496.310000002</v>
      </c>
      <c r="D37" s="280"/>
      <c r="E37" s="482">
        <v>25373</v>
      </c>
      <c r="F37" s="280">
        <v>8680</v>
      </c>
      <c r="G37" s="280">
        <v>493194333.81999999</v>
      </c>
      <c r="H37" s="280">
        <v>34053</v>
      </c>
      <c r="I37" s="483"/>
      <c r="J37" s="379">
        <v>18171</v>
      </c>
      <c r="K37" s="379">
        <v>14872</v>
      </c>
      <c r="L37" s="461">
        <v>1010</v>
      </c>
      <c r="M37" s="464"/>
      <c r="N37" s="464"/>
    </row>
    <row r="38" spans="1:14" ht="24" customHeight="1">
      <c r="A38" s="309" t="s">
        <v>500</v>
      </c>
      <c r="B38" s="276">
        <v>15277</v>
      </c>
      <c r="C38" s="481">
        <v>13818393.07</v>
      </c>
      <c r="D38" s="481"/>
      <c r="E38" s="482">
        <v>6191</v>
      </c>
      <c r="F38" s="280">
        <v>340</v>
      </c>
      <c r="G38" s="481">
        <v>54249860.969999999</v>
      </c>
      <c r="H38" s="280">
        <v>6531</v>
      </c>
      <c r="I38" s="483"/>
      <c r="J38" s="379">
        <v>3259</v>
      </c>
      <c r="K38" s="375">
        <v>3118</v>
      </c>
      <c r="L38" s="459">
        <v>154</v>
      </c>
    </row>
    <row r="39" spans="1:14" ht="13.15" customHeight="1">
      <c r="A39" s="309" t="s">
        <v>502</v>
      </c>
      <c r="B39" s="276">
        <v>28106</v>
      </c>
      <c r="C39" s="280">
        <v>25399451.780000001</v>
      </c>
      <c r="D39" s="280"/>
      <c r="E39" s="482">
        <v>10863</v>
      </c>
      <c r="F39" s="280">
        <v>1281</v>
      </c>
      <c r="G39" s="280">
        <v>101238300.98999999</v>
      </c>
      <c r="H39" s="280">
        <v>12144</v>
      </c>
      <c r="I39" s="483"/>
      <c r="J39" s="379">
        <v>6391</v>
      </c>
      <c r="K39" s="375">
        <v>5345</v>
      </c>
      <c r="L39" s="459">
        <v>408</v>
      </c>
    </row>
    <row r="40" spans="1:14" ht="13.15" customHeight="1">
      <c r="A40" s="309" t="s">
        <v>505</v>
      </c>
      <c r="B40" s="276">
        <v>55080</v>
      </c>
      <c r="C40" s="280">
        <v>49794920.119999997</v>
      </c>
      <c r="D40" s="280"/>
      <c r="E40" s="482">
        <v>21731</v>
      </c>
      <c r="F40" s="280">
        <v>1847</v>
      </c>
      <c r="G40" s="280">
        <v>194995673.71000001</v>
      </c>
      <c r="H40" s="280">
        <v>23578</v>
      </c>
      <c r="I40" s="483"/>
      <c r="J40" s="379">
        <v>12377</v>
      </c>
      <c r="K40" s="375">
        <v>10539</v>
      </c>
      <c r="L40" s="459">
        <v>662</v>
      </c>
    </row>
    <row r="41" spans="1:14" ht="13.15" customHeight="1">
      <c r="A41" s="309" t="s">
        <v>507</v>
      </c>
      <c r="B41" s="276">
        <v>99701</v>
      </c>
      <c r="C41" s="280">
        <v>90242742.590000004</v>
      </c>
      <c r="D41" s="280"/>
      <c r="E41" s="482">
        <v>37524</v>
      </c>
      <c r="F41" s="280">
        <v>6090</v>
      </c>
      <c r="G41" s="280">
        <v>410484454.54000002</v>
      </c>
      <c r="H41" s="280">
        <v>43614</v>
      </c>
      <c r="I41" s="483"/>
      <c r="J41" s="379">
        <v>23948</v>
      </c>
      <c r="K41" s="375">
        <v>18364</v>
      </c>
      <c r="L41" s="459">
        <v>1302</v>
      </c>
    </row>
    <row r="42" spans="1:14" ht="13.15" customHeight="1">
      <c r="A42" s="309" t="s">
        <v>510</v>
      </c>
      <c r="B42" s="276">
        <v>16949</v>
      </c>
      <c r="C42" s="280">
        <v>15357081.83</v>
      </c>
      <c r="D42" s="280"/>
      <c r="E42" s="482">
        <v>7131</v>
      </c>
      <c r="F42" s="280">
        <v>290</v>
      </c>
      <c r="G42" s="280">
        <v>52452206.18</v>
      </c>
      <c r="H42" s="280">
        <v>7421</v>
      </c>
      <c r="I42" s="483"/>
      <c r="J42" s="379">
        <v>4063</v>
      </c>
      <c r="K42" s="375">
        <v>3159</v>
      </c>
      <c r="L42" s="459">
        <v>199</v>
      </c>
    </row>
    <row r="43" spans="1:14" ht="17.100000000000001" customHeight="1">
      <c r="A43" s="330" t="s">
        <v>704</v>
      </c>
      <c r="B43" s="463"/>
      <c r="C43" s="463"/>
      <c r="D43" s="463"/>
      <c r="E43" s="463"/>
      <c r="F43" s="463"/>
      <c r="G43" s="463"/>
      <c r="H43" s="463"/>
      <c r="I43" s="463"/>
      <c r="J43" s="461"/>
      <c r="K43" s="461"/>
      <c r="L43" s="461"/>
      <c r="M43" s="464"/>
      <c r="N43" s="464"/>
    </row>
    <row r="44" spans="1:14" ht="15" customHeight="1">
      <c r="A44" s="484" t="str">
        <f>A2</f>
        <v>Exemptions, Standard and Itemized Deductions, and Number of Returns by Filing Status/Locality</v>
      </c>
      <c r="B44" s="463"/>
      <c r="C44" s="463"/>
      <c r="D44" s="463"/>
      <c r="E44" s="463"/>
      <c r="F44" s="463"/>
      <c r="G44" s="463"/>
      <c r="H44" s="463"/>
      <c r="I44" s="463"/>
      <c r="J44" s="461"/>
      <c r="K44" s="461"/>
      <c r="L44" s="461"/>
    </row>
    <row r="45" spans="1:14" ht="15" customHeight="1">
      <c r="A45" s="462" t="str">
        <f>A$3</f>
        <v>Taxable Year 2019</v>
      </c>
      <c r="B45" s="463"/>
      <c r="C45" s="463"/>
      <c r="D45" s="463"/>
      <c r="E45" s="463"/>
      <c r="F45" s="463"/>
      <c r="G45" s="463"/>
      <c r="H45" s="463"/>
      <c r="I45" s="463"/>
      <c r="J45" s="461"/>
      <c r="K45" s="461"/>
      <c r="L45" s="461"/>
    </row>
    <row r="46" spans="1:14" ht="6" customHeight="1" thickBot="1">
      <c r="A46" s="464"/>
      <c r="B46" s="485"/>
      <c r="C46" s="485"/>
      <c r="D46" s="485"/>
      <c r="E46" s="485"/>
      <c r="F46" s="485"/>
      <c r="G46" s="485"/>
      <c r="H46" s="485"/>
      <c r="I46" s="485"/>
      <c r="J46" s="486"/>
      <c r="K46" s="486"/>
      <c r="L46" s="486"/>
    </row>
    <row r="47" spans="1:14">
      <c r="A47" s="465"/>
      <c r="B47" s="1270" t="s">
        <v>386</v>
      </c>
      <c r="C47" s="1270"/>
      <c r="D47" s="466"/>
      <c r="E47" s="1271" t="s">
        <v>387</v>
      </c>
      <c r="F47" s="1272"/>
      <c r="G47" s="1272"/>
      <c r="H47" s="1272"/>
      <c r="I47" s="467"/>
      <c r="J47" s="1273" t="s">
        <v>701</v>
      </c>
      <c r="K47" s="1273"/>
      <c r="L47" s="1274"/>
      <c r="M47" s="464"/>
      <c r="N47" s="464"/>
    </row>
    <row r="48" spans="1:14" ht="13.15" customHeight="1">
      <c r="A48" s="487"/>
      <c r="B48" s="488"/>
      <c r="C48" s="488"/>
      <c r="D48" s="488"/>
      <c r="E48" s="489"/>
      <c r="F48" s="488"/>
      <c r="G48" s="488"/>
      <c r="H48" s="490" t="s">
        <v>17</v>
      </c>
      <c r="I48" s="491"/>
      <c r="J48" s="492"/>
      <c r="K48" s="475" t="s">
        <v>930</v>
      </c>
      <c r="L48" s="475" t="s">
        <v>930</v>
      </c>
    </row>
    <row r="49" spans="1:12" ht="13.15" customHeight="1">
      <c r="A49" s="326" t="s">
        <v>23</v>
      </c>
      <c r="B49" s="476" t="s">
        <v>702</v>
      </c>
      <c r="C49" s="476" t="s">
        <v>20</v>
      </c>
      <c r="D49" s="476"/>
      <c r="E49" s="477" t="s">
        <v>383</v>
      </c>
      <c r="F49" s="476" t="s">
        <v>382</v>
      </c>
      <c r="G49" s="326" t="s">
        <v>20</v>
      </c>
      <c r="H49" s="476" t="s">
        <v>380</v>
      </c>
      <c r="I49" s="478"/>
      <c r="J49" s="479" t="s">
        <v>703</v>
      </c>
      <c r="K49" s="479" t="s">
        <v>378</v>
      </c>
      <c r="L49" s="480" t="s">
        <v>929</v>
      </c>
    </row>
    <row r="50" spans="1:12" ht="24" customHeight="1">
      <c r="A50" s="309" t="s">
        <v>513</v>
      </c>
      <c r="B50" s="276">
        <v>39326</v>
      </c>
      <c r="C50" s="280">
        <v>35615260.159999996</v>
      </c>
      <c r="D50" s="280"/>
      <c r="E50" s="482">
        <v>15761</v>
      </c>
      <c r="F50" s="280">
        <v>1852</v>
      </c>
      <c r="G50" s="280">
        <v>148860393.75</v>
      </c>
      <c r="H50" s="280">
        <v>17613</v>
      </c>
      <c r="I50" s="483"/>
      <c r="J50" s="379">
        <v>9557</v>
      </c>
      <c r="K50" s="375">
        <v>7511</v>
      </c>
      <c r="L50" s="459">
        <v>545</v>
      </c>
    </row>
    <row r="51" spans="1:12" ht="13.15" customHeight="1">
      <c r="A51" s="309" t="s">
        <v>515</v>
      </c>
      <c r="B51" s="276">
        <v>27533</v>
      </c>
      <c r="C51" s="280">
        <v>24817298.600000001</v>
      </c>
      <c r="D51" s="280"/>
      <c r="E51" s="482">
        <v>9016</v>
      </c>
      <c r="F51" s="280">
        <v>2587</v>
      </c>
      <c r="G51" s="280">
        <v>154735178.13999999</v>
      </c>
      <c r="H51" s="280">
        <v>11603</v>
      </c>
      <c r="I51" s="483"/>
      <c r="J51" s="379">
        <v>5594</v>
      </c>
      <c r="K51" s="375">
        <v>5681</v>
      </c>
      <c r="L51" s="459">
        <v>328</v>
      </c>
    </row>
    <row r="52" spans="1:12" ht="13.15" customHeight="1">
      <c r="A52" s="309" t="s">
        <v>517</v>
      </c>
      <c r="B52" s="276">
        <v>14653</v>
      </c>
      <c r="C52" s="280">
        <v>13271636.359999999</v>
      </c>
      <c r="D52" s="280"/>
      <c r="E52" s="482">
        <v>6231</v>
      </c>
      <c r="F52" s="280">
        <v>216</v>
      </c>
      <c r="G52" s="280">
        <v>46233263.020000003</v>
      </c>
      <c r="H52" s="280">
        <v>6447</v>
      </c>
      <c r="I52" s="483"/>
      <c r="J52" s="379">
        <v>3307</v>
      </c>
      <c r="K52" s="375">
        <v>2897</v>
      </c>
      <c r="L52" s="459">
        <v>243</v>
      </c>
    </row>
    <row r="53" spans="1:12" ht="13.15" customHeight="1">
      <c r="A53" s="309" t="s">
        <v>520</v>
      </c>
      <c r="B53" s="276">
        <v>20425</v>
      </c>
      <c r="C53" s="280">
        <v>18549089.57</v>
      </c>
      <c r="D53" s="280"/>
      <c r="E53" s="482">
        <v>7995</v>
      </c>
      <c r="F53" s="280">
        <v>904</v>
      </c>
      <c r="G53" s="280">
        <v>75249583.709999993</v>
      </c>
      <c r="H53" s="280">
        <v>8899</v>
      </c>
      <c r="I53" s="483"/>
      <c r="J53" s="379">
        <v>4808</v>
      </c>
      <c r="K53" s="375">
        <v>3815</v>
      </c>
      <c r="L53" s="459">
        <v>276</v>
      </c>
    </row>
    <row r="54" spans="1:12" ht="13.15" customHeight="1">
      <c r="A54" s="309" t="s">
        <v>523</v>
      </c>
      <c r="B54" s="276">
        <v>11325</v>
      </c>
      <c r="C54" s="280">
        <v>10339072.279999999</v>
      </c>
      <c r="D54" s="280"/>
      <c r="E54" s="482">
        <v>4684</v>
      </c>
      <c r="F54" s="280">
        <v>483</v>
      </c>
      <c r="G54" s="280">
        <v>48998824.530000001</v>
      </c>
      <c r="H54" s="280">
        <v>5167</v>
      </c>
      <c r="I54" s="483"/>
      <c r="J54" s="379">
        <v>3539</v>
      </c>
      <c r="K54" s="375">
        <v>1371</v>
      </c>
      <c r="L54" s="459">
        <v>257</v>
      </c>
    </row>
    <row r="55" spans="1:12" ht="24" customHeight="1">
      <c r="A55" s="309" t="s">
        <v>399</v>
      </c>
      <c r="B55" s="276">
        <v>33030</v>
      </c>
      <c r="C55" s="280">
        <v>30015553.629999999</v>
      </c>
      <c r="D55" s="280"/>
      <c r="E55" s="482">
        <v>13997</v>
      </c>
      <c r="F55" s="280">
        <v>773</v>
      </c>
      <c r="G55" s="280">
        <v>103857446.37</v>
      </c>
      <c r="H55" s="280">
        <v>14770</v>
      </c>
      <c r="I55" s="483"/>
      <c r="J55" s="379">
        <v>9089</v>
      </c>
      <c r="K55" s="375">
        <v>5120</v>
      </c>
      <c r="L55" s="459">
        <v>561</v>
      </c>
    </row>
    <row r="56" spans="1:12" ht="13.15" customHeight="1">
      <c r="A56" s="309" t="s">
        <v>403</v>
      </c>
      <c r="B56" s="276">
        <v>120017</v>
      </c>
      <c r="C56" s="280">
        <v>109048192.76000001</v>
      </c>
      <c r="D56" s="280"/>
      <c r="E56" s="482">
        <v>43008</v>
      </c>
      <c r="F56" s="280">
        <v>8640</v>
      </c>
      <c r="G56" s="379">
        <v>499330311.99000001</v>
      </c>
      <c r="H56" s="280">
        <v>51648</v>
      </c>
      <c r="I56" s="483"/>
      <c r="J56" s="379">
        <v>27192</v>
      </c>
      <c r="K56" s="375">
        <v>23116</v>
      </c>
      <c r="L56" s="459">
        <v>1340</v>
      </c>
    </row>
    <row r="57" spans="1:12" ht="13.15" customHeight="1">
      <c r="A57" s="309" t="s">
        <v>407</v>
      </c>
      <c r="B57" s="276">
        <v>341839</v>
      </c>
      <c r="C57" s="280">
        <v>310424285.81999999</v>
      </c>
      <c r="D57" s="280"/>
      <c r="E57" s="482">
        <v>134739</v>
      </c>
      <c r="F57" s="280">
        <v>24589</v>
      </c>
      <c r="G57" s="280">
        <v>1453193864.8800001</v>
      </c>
      <c r="H57" s="280">
        <v>159328</v>
      </c>
      <c r="I57" s="483"/>
      <c r="J57" s="379">
        <v>100809</v>
      </c>
      <c r="K57" s="375">
        <v>53405</v>
      </c>
      <c r="L57" s="459">
        <v>5114</v>
      </c>
    </row>
    <row r="58" spans="1:12" ht="13.15" customHeight="1">
      <c r="A58" s="309" t="s">
        <v>411</v>
      </c>
      <c r="B58" s="276">
        <v>50108</v>
      </c>
      <c r="C58" s="280">
        <v>45593130.039999999</v>
      </c>
      <c r="D58" s="280"/>
      <c r="E58" s="482">
        <v>21612</v>
      </c>
      <c r="F58" s="280">
        <v>955</v>
      </c>
      <c r="G58" s="280">
        <v>167475532.27000001</v>
      </c>
      <c r="H58" s="280">
        <v>22567</v>
      </c>
      <c r="I58" s="483"/>
      <c r="J58" s="379">
        <v>13782</v>
      </c>
      <c r="K58" s="375">
        <v>8083</v>
      </c>
      <c r="L58" s="459">
        <v>702</v>
      </c>
    </row>
    <row r="59" spans="1:12" ht="13.15" customHeight="1">
      <c r="A59" s="309" t="s">
        <v>415</v>
      </c>
      <c r="B59" s="276">
        <v>2591</v>
      </c>
      <c r="C59" s="280">
        <v>2319695.9300000002</v>
      </c>
      <c r="D59" s="280"/>
      <c r="E59" s="482">
        <v>991</v>
      </c>
      <c r="F59" s="280">
        <v>60</v>
      </c>
      <c r="G59" s="280">
        <v>10730730.4</v>
      </c>
      <c r="H59" s="280">
        <v>1051</v>
      </c>
      <c r="I59" s="483"/>
      <c r="J59" s="379">
        <v>472</v>
      </c>
      <c r="K59" s="375">
        <v>547</v>
      </c>
      <c r="L59" s="493">
        <v>32</v>
      </c>
    </row>
    <row r="60" spans="1:12" ht="24" customHeight="1">
      <c r="A60" s="309" t="s">
        <v>419</v>
      </c>
      <c r="B60" s="276">
        <v>40416</v>
      </c>
      <c r="C60" s="280">
        <v>36571260.350000001</v>
      </c>
      <c r="D60" s="280"/>
      <c r="E60" s="482">
        <v>14535</v>
      </c>
      <c r="F60" s="280">
        <v>2968</v>
      </c>
      <c r="G60" s="280">
        <v>166306470.97999999</v>
      </c>
      <c r="H60" s="280">
        <v>17503</v>
      </c>
      <c r="I60" s="483"/>
      <c r="J60" s="379">
        <v>9175</v>
      </c>
      <c r="K60" s="375">
        <v>7674</v>
      </c>
      <c r="L60" s="459">
        <v>654</v>
      </c>
    </row>
    <row r="61" spans="1:12" ht="13.15" customHeight="1">
      <c r="A61" s="309" t="s">
        <v>423</v>
      </c>
      <c r="B61" s="276">
        <v>88082</v>
      </c>
      <c r="C61" s="280">
        <v>78709751.819999993</v>
      </c>
      <c r="D61" s="280"/>
      <c r="E61" s="482">
        <v>29055</v>
      </c>
      <c r="F61" s="280">
        <v>7252</v>
      </c>
      <c r="G61" s="280">
        <v>521824760.63999999</v>
      </c>
      <c r="H61" s="280">
        <v>36307</v>
      </c>
      <c r="I61" s="483"/>
      <c r="J61" s="379">
        <v>18461</v>
      </c>
      <c r="K61" s="375">
        <v>16696</v>
      </c>
      <c r="L61" s="459">
        <v>1150</v>
      </c>
    </row>
    <row r="62" spans="1:12" ht="13.15" customHeight="1">
      <c r="A62" s="309" t="s">
        <v>427</v>
      </c>
      <c r="B62" s="276">
        <v>7229</v>
      </c>
      <c r="C62" s="280">
        <v>6566236.7699999996</v>
      </c>
      <c r="D62" s="280"/>
      <c r="E62" s="482">
        <v>3026</v>
      </c>
      <c r="F62" s="280">
        <v>268</v>
      </c>
      <c r="G62" s="280">
        <v>24724740.390000001</v>
      </c>
      <c r="H62" s="280">
        <v>3294</v>
      </c>
      <c r="I62" s="483"/>
      <c r="J62" s="379">
        <v>1944</v>
      </c>
      <c r="K62" s="375">
        <v>1222</v>
      </c>
      <c r="L62" s="459">
        <v>128</v>
      </c>
    </row>
    <row r="63" spans="1:12" ht="13.15" customHeight="1">
      <c r="A63" s="309" t="s">
        <v>431</v>
      </c>
      <c r="B63" s="276">
        <v>27781</v>
      </c>
      <c r="C63" s="280">
        <v>25175318.190000001</v>
      </c>
      <c r="D63" s="280"/>
      <c r="E63" s="482">
        <v>9860</v>
      </c>
      <c r="F63" s="280">
        <v>2179</v>
      </c>
      <c r="G63" s="280">
        <v>114379280.36</v>
      </c>
      <c r="H63" s="280">
        <v>12039</v>
      </c>
      <c r="I63" s="483"/>
      <c r="J63" s="379">
        <v>6414</v>
      </c>
      <c r="K63" s="375">
        <v>5107</v>
      </c>
      <c r="L63" s="459">
        <v>518</v>
      </c>
    </row>
    <row r="64" spans="1:12" ht="13.15" customHeight="1">
      <c r="A64" s="309" t="s">
        <v>435</v>
      </c>
      <c r="B64" s="276">
        <v>18646</v>
      </c>
      <c r="C64" s="280">
        <v>17015735.73</v>
      </c>
      <c r="D64" s="280"/>
      <c r="E64" s="482">
        <v>7472</v>
      </c>
      <c r="F64" s="280">
        <v>814</v>
      </c>
      <c r="G64" s="280">
        <v>66131564.469999999</v>
      </c>
      <c r="H64" s="280">
        <v>8286</v>
      </c>
      <c r="I64" s="483"/>
      <c r="J64" s="379">
        <v>4493</v>
      </c>
      <c r="K64" s="375">
        <v>3488</v>
      </c>
      <c r="L64" s="459">
        <v>305</v>
      </c>
    </row>
    <row r="65" spans="1:14" ht="24" customHeight="1">
      <c r="A65" s="309" t="s">
        <v>439</v>
      </c>
      <c r="B65" s="276">
        <v>12704</v>
      </c>
      <c r="C65" s="280">
        <v>11337316.59</v>
      </c>
      <c r="D65" s="280"/>
      <c r="E65" s="482">
        <v>4443</v>
      </c>
      <c r="F65" s="280">
        <v>957</v>
      </c>
      <c r="G65" s="280">
        <v>79608186.579999998</v>
      </c>
      <c r="H65" s="280">
        <v>5400</v>
      </c>
      <c r="I65" s="483"/>
      <c r="J65" s="379">
        <v>3130</v>
      </c>
      <c r="K65" s="375">
        <v>2104</v>
      </c>
      <c r="L65" s="459">
        <v>166</v>
      </c>
    </row>
    <row r="66" spans="1:14" ht="13.15" customHeight="1">
      <c r="A66" s="309" t="s">
        <v>443</v>
      </c>
      <c r="B66" s="276">
        <v>18046</v>
      </c>
      <c r="C66" s="280">
        <v>16423166.74</v>
      </c>
      <c r="D66" s="280"/>
      <c r="E66" s="482">
        <v>7451</v>
      </c>
      <c r="F66" s="280">
        <v>184</v>
      </c>
      <c r="G66" s="280">
        <v>52386717</v>
      </c>
      <c r="H66" s="280">
        <v>7635</v>
      </c>
      <c r="I66" s="483"/>
      <c r="J66" s="379">
        <v>4008</v>
      </c>
      <c r="K66" s="375">
        <v>3386</v>
      </c>
      <c r="L66" s="459">
        <v>241</v>
      </c>
    </row>
    <row r="67" spans="1:14" ht="13.15" customHeight="1">
      <c r="A67" s="309" t="s">
        <v>447</v>
      </c>
      <c r="B67" s="276">
        <v>455725</v>
      </c>
      <c r="C67" s="280">
        <v>415358634.69999999</v>
      </c>
      <c r="D67" s="280"/>
      <c r="E67" s="482">
        <v>125971</v>
      </c>
      <c r="F67" s="280">
        <v>64002</v>
      </c>
      <c r="G67" s="280">
        <v>2694990932.96</v>
      </c>
      <c r="H67" s="280">
        <v>189973</v>
      </c>
      <c r="I67" s="483"/>
      <c r="J67" s="379">
        <v>94425</v>
      </c>
      <c r="K67" s="375">
        <v>89577</v>
      </c>
      <c r="L67" s="459">
        <v>5971</v>
      </c>
    </row>
    <row r="68" spans="1:14" ht="13.15" customHeight="1">
      <c r="A68" s="309" t="s">
        <v>451</v>
      </c>
      <c r="B68" s="276">
        <v>37894</v>
      </c>
      <c r="C68" s="280">
        <v>34361277.609999999</v>
      </c>
      <c r="D68" s="280"/>
      <c r="E68" s="482">
        <v>14783</v>
      </c>
      <c r="F68" s="280">
        <v>1927</v>
      </c>
      <c r="G68" s="280">
        <v>151634972.03999999</v>
      </c>
      <c r="H68" s="280">
        <v>16710</v>
      </c>
      <c r="I68" s="483"/>
      <c r="J68" s="379">
        <v>9076</v>
      </c>
      <c r="K68" s="375">
        <v>7115</v>
      </c>
      <c r="L68" s="459">
        <v>519</v>
      </c>
    </row>
    <row r="69" spans="1:14" ht="13.15" customHeight="1">
      <c r="A69" s="309" t="s">
        <v>455</v>
      </c>
      <c r="B69" s="276">
        <v>10431</v>
      </c>
      <c r="C69" s="280">
        <v>9442212.6400000006</v>
      </c>
      <c r="D69" s="280"/>
      <c r="E69" s="482">
        <v>4268</v>
      </c>
      <c r="F69" s="280">
        <v>235</v>
      </c>
      <c r="G69" s="280">
        <v>33703540.270000003</v>
      </c>
      <c r="H69" s="280">
        <v>4503</v>
      </c>
      <c r="I69" s="483"/>
      <c r="J69" s="379">
        <v>2724</v>
      </c>
      <c r="K69" s="375">
        <v>1645</v>
      </c>
      <c r="L69" s="459">
        <v>134</v>
      </c>
    </row>
    <row r="70" spans="1:14" ht="24" customHeight="1">
      <c r="A70" s="309" t="s">
        <v>459</v>
      </c>
      <c r="B70" s="276">
        <v>13645</v>
      </c>
      <c r="C70" s="280">
        <v>12368762.960000001</v>
      </c>
      <c r="D70" s="280"/>
      <c r="E70" s="482">
        <v>5253</v>
      </c>
      <c r="F70" s="280">
        <v>630</v>
      </c>
      <c r="G70" s="280">
        <v>51432639.869999997</v>
      </c>
      <c r="H70" s="280">
        <v>5883</v>
      </c>
      <c r="I70" s="483"/>
      <c r="J70" s="379">
        <v>3120</v>
      </c>
      <c r="K70" s="375">
        <v>2611</v>
      </c>
      <c r="L70" s="459">
        <v>152</v>
      </c>
    </row>
    <row r="71" spans="1:14" ht="13.15" customHeight="1">
      <c r="A71" s="309" t="s">
        <v>461</v>
      </c>
      <c r="B71" s="276">
        <v>9802</v>
      </c>
      <c r="C71" s="280">
        <v>8805979.8499999996</v>
      </c>
      <c r="D71" s="280"/>
      <c r="E71" s="482">
        <v>3719</v>
      </c>
      <c r="F71" s="280">
        <v>457</v>
      </c>
      <c r="G71" s="280">
        <v>37198985.329999998</v>
      </c>
      <c r="H71" s="280">
        <v>4176</v>
      </c>
      <c r="I71" s="483"/>
      <c r="J71" s="379">
        <v>2156</v>
      </c>
      <c r="K71" s="375">
        <v>1874</v>
      </c>
      <c r="L71" s="459">
        <v>146</v>
      </c>
    </row>
    <row r="72" spans="1:14" ht="13.15" customHeight="1">
      <c r="A72" s="309" t="s">
        <v>464</v>
      </c>
      <c r="B72" s="276">
        <v>31885</v>
      </c>
      <c r="C72" s="280">
        <v>28851469.699999999</v>
      </c>
      <c r="D72" s="280"/>
      <c r="E72" s="482">
        <v>13080</v>
      </c>
      <c r="F72" s="280">
        <v>1049</v>
      </c>
      <c r="G72" s="280">
        <v>136272790.80000001</v>
      </c>
      <c r="H72" s="280">
        <v>14129</v>
      </c>
      <c r="I72" s="483"/>
      <c r="J72" s="379">
        <v>8649</v>
      </c>
      <c r="K72" s="375">
        <v>4995</v>
      </c>
      <c r="L72" s="459">
        <v>485</v>
      </c>
    </row>
    <row r="73" spans="1:14" ht="13.15" customHeight="1">
      <c r="A73" s="310" t="s">
        <v>467</v>
      </c>
      <c r="B73" s="280">
        <v>11484</v>
      </c>
      <c r="C73" s="280">
        <v>10318608.720000001</v>
      </c>
      <c r="D73" s="280"/>
      <c r="E73" s="482">
        <v>4434</v>
      </c>
      <c r="F73" s="280">
        <v>540</v>
      </c>
      <c r="G73" s="379">
        <v>43641381.25</v>
      </c>
      <c r="H73" s="280">
        <v>4974</v>
      </c>
      <c r="I73" s="483"/>
      <c r="J73" s="379">
        <v>2762</v>
      </c>
      <c r="K73" s="379">
        <v>2079</v>
      </c>
      <c r="L73" s="461">
        <v>133</v>
      </c>
    </row>
    <row r="74" spans="1:14" ht="13.15" customHeight="1">
      <c r="A74" s="310" t="s">
        <v>470</v>
      </c>
      <c r="B74" s="280">
        <v>79620</v>
      </c>
      <c r="C74" s="280">
        <v>71875742.25</v>
      </c>
      <c r="D74" s="280"/>
      <c r="E74" s="482">
        <v>34624</v>
      </c>
      <c r="F74" s="280">
        <v>3700</v>
      </c>
      <c r="G74" s="280">
        <v>306424064.11000001</v>
      </c>
      <c r="H74" s="280">
        <v>38324</v>
      </c>
      <c r="I74" s="483"/>
      <c r="J74" s="379">
        <v>22883</v>
      </c>
      <c r="K74" s="379">
        <v>14189</v>
      </c>
      <c r="L74" s="461">
        <v>1252</v>
      </c>
      <c r="M74" s="464"/>
      <c r="N74" s="464"/>
    </row>
    <row r="75" spans="1:14" ht="24" customHeight="1">
      <c r="A75" s="309" t="s">
        <v>472</v>
      </c>
      <c r="B75" s="276">
        <v>16967</v>
      </c>
      <c r="C75" s="481">
        <v>15276769.119999999</v>
      </c>
      <c r="D75" s="481"/>
      <c r="E75" s="482">
        <v>6695</v>
      </c>
      <c r="F75" s="280">
        <v>750</v>
      </c>
      <c r="G75" s="481">
        <v>64722137.619999997</v>
      </c>
      <c r="H75" s="280">
        <v>7445</v>
      </c>
      <c r="I75" s="483"/>
      <c r="J75" s="379">
        <v>4139</v>
      </c>
      <c r="K75" s="375">
        <v>3105</v>
      </c>
      <c r="L75" s="459">
        <v>201</v>
      </c>
    </row>
    <row r="76" spans="1:14" ht="13.15" customHeight="1">
      <c r="A76" s="309" t="s">
        <v>475</v>
      </c>
      <c r="B76" s="276">
        <v>25319</v>
      </c>
      <c r="C76" s="280">
        <v>22945666.859999999</v>
      </c>
      <c r="D76" s="280"/>
      <c r="E76" s="482">
        <v>8959</v>
      </c>
      <c r="F76" s="280">
        <v>1866</v>
      </c>
      <c r="G76" s="280">
        <v>114198382.81</v>
      </c>
      <c r="H76" s="280">
        <v>10825</v>
      </c>
      <c r="I76" s="483"/>
      <c r="J76" s="379">
        <v>5266</v>
      </c>
      <c r="K76" s="375">
        <v>5216</v>
      </c>
      <c r="L76" s="459">
        <v>343</v>
      </c>
    </row>
    <row r="77" spans="1:14" ht="13.15" customHeight="1">
      <c r="A77" s="309" t="s">
        <v>477</v>
      </c>
      <c r="B77" s="276">
        <v>12634</v>
      </c>
      <c r="C77" s="280">
        <v>11360841.380000001</v>
      </c>
      <c r="D77" s="280"/>
      <c r="E77" s="482">
        <v>5154</v>
      </c>
      <c r="F77" s="280">
        <v>570</v>
      </c>
      <c r="G77" s="280">
        <v>44680316.920000002</v>
      </c>
      <c r="H77" s="280">
        <v>5724</v>
      </c>
      <c r="I77" s="483"/>
      <c r="J77" s="379">
        <v>3660</v>
      </c>
      <c r="K77" s="375">
        <v>1881</v>
      </c>
      <c r="L77" s="459">
        <v>183</v>
      </c>
    </row>
    <row r="78" spans="1:14" ht="13.15" customHeight="1">
      <c r="A78" s="309" t="s">
        <v>480</v>
      </c>
      <c r="B78" s="276">
        <v>14147</v>
      </c>
      <c r="C78" s="280">
        <v>12653967.279999999</v>
      </c>
      <c r="D78" s="280"/>
      <c r="E78" s="482">
        <v>4962</v>
      </c>
      <c r="F78" s="280">
        <v>830</v>
      </c>
      <c r="G78" s="280">
        <v>54746285.520000003</v>
      </c>
      <c r="H78" s="280">
        <v>5792</v>
      </c>
      <c r="I78" s="483"/>
      <c r="J78" s="379">
        <v>3133</v>
      </c>
      <c r="K78" s="375">
        <v>2469</v>
      </c>
      <c r="L78" s="459">
        <v>190</v>
      </c>
    </row>
    <row r="79" spans="1:14" ht="13.15" customHeight="1">
      <c r="A79" s="309" t="s">
        <v>483</v>
      </c>
      <c r="B79" s="276">
        <v>13253</v>
      </c>
      <c r="C79" s="280">
        <v>12042940.960000001</v>
      </c>
      <c r="D79" s="280"/>
      <c r="E79" s="482">
        <v>5510</v>
      </c>
      <c r="F79" s="280">
        <v>372</v>
      </c>
      <c r="G79" s="280">
        <v>44799616.57</v>
      </c>
      <c r="H79" s="280">
        <v>5882</v>
      </c>
      <c r="I79" s="483"/>
      <c r="J79" s="379">
        <v>3713</v>
      </c>
      <c r="K79" s="375">
        <v>1982</v>
      </c>
      <c r="L79" s="459">
        <v>187</v>
      </c>
    </row>
    <row r="80" spans="1:14" ht="24" customHeight="1">
      <c r="A80" s="309" t="s">
        <v>486</v>
      </c>
      <c r="B80" s="276">
        <v>40065</v>
      </c>
      <c r="C80" s="280">
        <v>36265253.450000003</v>
      </c>
      <c r="D80" s="280"/>
      <c r="E80" s="482">
        <v>15271</v>
      </c>
      <c r="F80" s="280">
        <v>2215</v>
      </c>
      <c r="G80" s="280">
        <v>154162003.96000001</v>
      </c>
      <c r="H80" s="280">
        <v>17486</v>
      </c>
      <c r="I80" s="483"/>
      <c r="J80" s="379">
        <v>9704</v>
      </c>
      <c r="K80" s="375">
        <v>7225</v>
      </c>
      <c r="L80" s="459">
        <v>557</v>
      </c>
    </row>
    <row r="81" spans="1:14" ht="13.15" customHeight="1">
      <c r="A81" s="309" t="s">
        <v>489</v>
      </c>
      <c r="B81" s="276">
        <v>23752</v>
      </c>
      <c r="C81" s="280">
        <v>21592556.559999999</v>
      </c>
      <c r="D81" s="280"/>
      <c r="E81" s="482">
        <v>10003</v>
      </c>
      <c r="F81" s="280">
        <v>568</v>
      </c>
      <c r="G81" s="280">
        <v>76681886.739999995</v>
      </c>
      <c r="H81" s="280">
        <v>10571</v>
      </c>
      <c r="I81" s="483"/>
      <c r="J81" s="379">
        <v>6031</v>
      </c>
      <c r="K81" s="375">
        <v>4306</v>
      </c>
      <c r="L81" s="459">
        <v>234</v>
      </c>
    </row>
    <row r="82" spans="1:14" ht="13.15" customHeight="1">
      <c r="A82" s="309" t="s">
        <v>492</v>
      </c>
      <c r="B82" s="276">
        <v>16246</v>
      </c>
      <c r="C82" s="280">
        <v>14707629.52</v>
      </c>
      <c r="D82" s="280"/>
      <c r="E82" s="482">
        <v>6787</v>
      </c>
      <c r="F82" s="280">
        <v>275</v>
      </c>
      <c r="G82" s="280">
        <v>51269008.090000004</v>
      </c>
      <c r="H82" s="280">
        <v>7062</v>
      </c>
      <c r="I82" s="483"/>
      <c r="J82" s="379">
        <v>3756</v>
      </c>
      <c r="K82" s="375">
        <v>3109</v>
      </c>
      <c r="L82" s="459">
        <v>197</v>
      </c>
    </row>
    <row r="83" spans="1:14" ht="13.15" customHeight="1">
      <c r="A83" s="309" t="s">
        <v>495</v>
      </c>
      <c r="B83" s="276">
        <v>60339</v>
      </c>
      <c r="C83" s="280">
        <v>54896889.380000003</v>
      </c>
      <c r="D83" s="280"/>
      <c r="E83" s="482">
        <v>24913</v>
      </c>
      <c r="F83" s="280">
        <v>1593</v>
      </c>
      <c r="G83" s="280">
        <v>200657368.44999999</v>
      </c>
      <c r="H83" s="280">
        <v>26506</v>
      </c>
      <c r="I83" s="483"/>
      <c r="J83" s="379">
        <v>15016</v>
      </c>
      <c r="K83" s="375">
        <v>10635</v>
      </c>
      <c r="L83" s="459">
        <v>855</v>
      </c>
    </row>
    <row r="84" spans="1:14" ht="13.15" customHeight="1">
      <c r="A84" s="309" t="s">
        <v>498</v>
      </c>
      <c r="B84" s="276">
        <v>33327</v>
      </c>
      <c r="C84" s="280">
        <v>30217028.539999999</v>
      </c>
      <c r="D84" s="280"/>
      <c r="E84" s="482">
        <v>11489</v>
      </c>
      <c r="F84" s="280">
        <v>2364</v>
      </c>
      <c r="G84" s="280">
        <v>139533099.63999999</v>
      </c>
      <c r="H84" s="280">
        <v>13853</v>
      </c>
      <c r="I84" s="483"/>
      <c r="J84" s="379">
        <v>6551</v>
      </c>
      <c r="K84" s="375">
        <v>6913</v>
      </c>
      <c r="L84" s="459">
        <v>389</v>
      </c>
    </row>
    <row r="85" spans="1:14" ht="17.100000000000001" customHeight="1">
      <c r="A85" s="330" t="s">
        <v>704</v>
      </c>
      <c r="B85" s="463"/>
      <c r="C85" s="463"/>
      <c r="D85" s="463"/>
      <c r="E85" s="463"/>
      <c r="F85" s="463"/>
      <c r="G85" s="463"/>
      <c r="H85" s="463"/>
      <c r="I85" s="463"/>
      <c r="J85" s="461"/>
      <c r="K85" s="461"/>
      <c r="L85" s="461"/>
      <c r="M85" s="464"/>
      <c r="N85" s="464"/>
    </row>
    <row r="86" spans="1:14" ht="15" customHeight="1">
      <c r="A86" s="484" t="str">
        <f>A44</f>
        <v>Exemptions, Standard and Itemized Deductions, and Number of Returns by Filing Status/Locality</v>
      </c>
      <c r="B86" s="463"/>
      <c r="C86" s="463"/>
      <c r="D86" s="463"/>
      <c r="E86" s="463"/>
      <c r="F86" s="463"/>
      <c r="G86" s="463"/>
      <c r="H86" s="463"/>
      <c r="I86" s="463"/>
      <c r="J86" s="461"/>
      <c r="K86" s="461"/>
      <c r="L86" s="461"/>
    </row>
    <row r="87" spans="1:14" ht="15" customHeight="1">
      <c r="A87" s="462" t="str">
        <f>A$3</f>
        <v>Taxable Year 2019</v>
      </c>
      <c r="B87" s="463"/>
      <c r="C87" s="463"/>
      <c r="D87" s="463"/>
      <c r="E87" s="463"/>
      <c r="F87" s="463"/>
      <c r="G87" s="463"/>
      <c r="H87" s="463"/>
      <c r="I87" s="463"/>
      <c r="J87" s="486"/>
      <c r="K87" s="486"/>
      <c r="L87" s="486"/>
    </row>
    <row r="88" spans="1:14" ht="6" customHeight="1" thickBot="1">
      <c r="A88" s="340"/>
      <c r="B88" s="485"/>
      <c r="C88" s="485"/>
      <c r="D88" s="485"/>
      <c r="E88" s="485"/>
      <c r="F88" s="485"/>
      <c r="G88" s="485"/>
      <c r="H88" s="485"/>
      <c r="I88" s="485"/>
      <c r="J88" s="486"/>
      <c r="K88" s="486"/>
      <c r="L88" s="486"/>
    </row>
    <row r="89" spans="1:14">
      <c r="A89" s="465"/>
      <c r="B89" s="1270" t="s">
        <v>386</v>
      </c>
      <c r="C89" s="1270"/>
      <c r="D89" s="466"/>
      <c r="E89" s="1271" t="s">
        <v>387</v>
      </c>
      <c r="F89" s="1272"/>
      <c r="G89" s="1272"/>
      <c r="H89" s="1272"/>
      <c r="I89" s="467"/>
      <c r="J89" s="1273" t="s">
        <v>701</v>
      </c>
      <c r="K89" s="1273"/>
      <c r="L89" s="1274"/>
      <c r="M89" s="464"/>
      <c r="N89" s="464"/>
    </row>
    <row r="90" spans="1:14" ht="13.15" customHeight="1">
      <c r="A90" s="487"/>
      <c r="B90" s="488"/>
      <c r="C90" s="488"/>
      <c r="D90" s="488"/>
      <c r="E90" s="489"/>
      <c r="F90" s="488"/>
      <c r="G90" s="488"/>
      <c r="H90" s="490" t="s">
        <v>17</v>
      </c>
      <c r="I90" s="491"/>
      <c r="J90" s="492"/>
      <c r="K90" s="475" t="s">
        <v>930</v>
      </c>
      <c r="L90" s="475" t="s">
        <v>930</v>
      </c>
    </row>
    <row r="91" spans="1:14" ht="13.15" customHeight="1">
      <c r="A91" s="326" t="s">
        <v>23</v>
      </c>
      <c r="B91" s="476" t="s">
        <v>702</v>
      </c>
      <c r="C91" s="476" t="s">
        <v>20</v>
      </c>
      <c r="D91" s="476"/>
      <c r="E91" s="477" t="s">
        <v>383</v>
      </c>
      <c r="F91" s="476" t="s">
        <v>382</v>
      </c>
      <c r="G91" s="476" t="s">
        <v>20</v>
      </c>
      <c r="H91" s="476" t="s">
        <v>380</v>
      </c>
      <c r="I91" s="478"/>
      <c r="J91" s="479" t="s">
        <v>703</v>
      </c>
      <c r="K91" s="479" t="s">
        <v>378</v>
      </c>
      <c r="L91" s="480" t="s">
        <v>929</v>
      </c>
    </row>
    <row r="92" spans="1:14" ht="24" customHeight="1">
      <c r="A92" s="309" t="s">
        <v>501</v>
      </c>
      <c r="B92" s="276">
        <v>17364</v>
      </c>
      <c r="C92" s="280">
        <v>15700683.66</v>
      </c>
      <c r="D92" s="280"/>
      <c r="E92" s="482">
        <v>7457</v>
      </c>
      <c r="F92" s="280">
        <v>550</v>
      </c>
      <c r="G92" s="280">
        <v>59400147.159999996</v>
      </c>
      <c r="H92" s="280">
        <v>8007</v>
      </c>
      <c r="I92" s="483"/>
      <c r="J92" s="379">
        <v>5140</v>
      </c>
      <c r="K92" s="375">
        <v>2588</v>
      </c>
      <c r="L92" s="459">
        <v>279</v>
      </c>
    </row>
    <row r="93" spans="1:14" ht="13.15" customHeight="1">
      <c r="A93" s="309" t="s">
        <v>503</v>
      </c>
      <c r="B93" s="276">
        <v>32966</v>
      </c>
      <c r="C93" s="280">
        <v>29880157.170000002</v>
      </c>
      <c r="D93" s="280"/>
      <c r="E93" s="482">
        <v>12891</v>
      </c>
      <c r="F93" s="280">
        <v>1767</v>
      </c>
      <c r="G93" s="280">
        <v>135165850.80000001</v>
      </c>
      <c r="H93" s="280">
        <v>14658</v>
      </c>
      <c r="I93" s="483"/>
      <c r="J93" s="379">
        <v>8415</v>
      </c>
      <c r="K93" s="375">
        <v>5616</v>
      </c>
      <c r="L93" s="459">
        <v>627</v>
      </c>
    </row>
    <row r="94" spans="1:14" ht="13.15" customHeight="1">
      <c r="A94" s="309" t="s">
        <v>506</v>
      </c>
      <c r="B94" s="276">
        <v>489488</v>
      </c>
      <c r="C94" s="280">
        <v>446480167.06999999</v>
      </c>
      <c r="D94" s="280"/>
      <c r="E94" s="482">
        <v>161644</v>
      </c>
      <c r="F94" s="280">
        <v>55755</v>
      </c>
      <c r="G94" s="280">
        <v>2437375622.21</v>
      </c>
      <c r="H94" s="280">
        <v>217399</v>
      </c>
      <c r="I94" s="483"/>
      <c r="J94" s="379">
        <v>127016</v>
      </c>
      <c r="K94" s="375">
        <v>82518</v>
      </c>
      <c r="L94" s="459">
        <v>7865</v>
      </c>
    </row>
    <row r="95" spans="1:14" ht="13.15" customHeight="1">
      <c r="A95" s="309" t="s">
        <v>508</v>
      </c>
      <c r="B95" s="276">
        <v>31404</v>
      </c>
      <c r="C95" s="280">
        <v>28521413.09</v>
      </c>
      <c r="D95" s="280"/>
      <c r="E95" s="482">
        <v>13678</v>
      </c>
      <c r="F95" s="280">
        <v>645</v>
      </c>
      <c r="G95" s="280">
        <v>100768354.95999999</v>
      </c>
      <c r="H95" s="280">
        <v>14323</v>
      </c>
      <c r="I95" s="483"/>
      <c r="J95" s="379">
        <v>8151</v>
      </c>
      <c r="K95" s="375">
        <v>5816</v>
      </c>
      <c r="L95" s="459">
        <v>356</v>
      </c>
    </row>
    <row r="96" spans="1:14" ht="13.15" customHeight="1">
      <c r="A96" s="309" t="s">
        <v>511</v>
      </c>
      <c r="B96" s="276">
        <v>8024</v>
      </c>
      <c r="C96" s="280">
        <v>7223470.3700000001</v>
      </c>
      <c r="D96" s="280"/>
      <c r="E96" s="482">
        <v>2832</v>
      </c>
      <c r="F96" s="280">
        <v>677</v>
      </c>
      <c r="G96" s="280">
        <v>39509064.240000002</v>
      </c>
      <c r="H96" s="280">
        <v>3509</v>
      </c>
      <c r="I96" s="483"/>
      <c r="J96" s="379">
        <v>1868</v>
      </c>
      <c r="K96" s="375">
        <v>1526</v>
      </c>
      <c r="L96" s="459">
        <v>115</v>
      </c>
    </row>
    <row r="97" spans="1:14" ht="24" customHeight="1">
      <c r="A97" s="309" t="s">
        <v>441</v>
      </c>
      <c r="B97" s="375">
        <v>14125</v>
      </c>
      <c r="C97" s="379">
        <v>12859056.279999999</v>
      </c>
      <c r="D97" s="379"/>
      <c r="E97" s="494">
        <v>5067</v>
      </c>
      <c r="F97" s="379">
        <v>1121</v>
      </c>
      <c r="G97" s="379">
        <v>101553265.22</v>
      </c>
      <c r="H97" s="379">
        <v>6188</v>
      </c>
      <c r="I97" s="495"/>
      <c r="J97" s="379">
        <v>3385</v>
      </c>
      <c r="K97" s="375">
        <v>2462</v>
      </c>
      <c r="L97" s="459">
        <v>341</v>
      </c>
    </row>
    <row r="98" spans="1:14" ht="13.15" customHeight="1">
      <c r="A98" s="309" t="s">
        <v>445</v>
      </c>
      <c r="B98" s="276">
        <v>105921</v>
      </c>
      <c r="C98" s="280">
        <v>95692381.980000004</v>
      </c>
      <c r="D98" s="280"/>
      <c r="E98" s="482">
        <v>41278</v>
      </c>
      <c r="F98" s="280">
        <v>4761</v>
      </c>
      <c r="G98" s="280">
        <v>386724612.00999999</v>
      </c>
      <c r="H98" s="280">
        <v>46039</v>
      </c>
      <c r="I98" s="483"/>
      <c r="J98" s="379">
        <v>25060</v>
      </c>
      <c r="K98" s="375">
        <v>19752</v>
      </c>
      <c r="L98" s="459">
        <v>1227</v>
      </c>
    </row>
    <row r="99" spans="1:14" ht="13.15" customHeight="1">
      <c r="A99" s="309" t="s">
        <v>518</v>
      </c>
      <c r="B99" s="276">
        <v>22818</v>
      </c>
      <c r="C99" s="280">
        <v>20567981.670000002</v>
      </c>
      <c r="D99" s="280"/>
      <c r="E99" s="482">
        <v>9133</v>
      </c>
      <c r="F99" s="280">
        <v>801</v>
      </c>
      <c r="G99" s="280">
        <v>81377869.549999997</v>
      </c>
      <c r="H99" s="280">
        <v>9934</v>
      </c>
      <c r="I99" s="483"/>
      <c r="J99" s="379">
        <v>5405</v>
      </c>
      <c r="K99" s="375">
        <v>4280</v>
      </c>
      <c r="L99" s="459">
        <v>249</v>
      </c>
    </row>
    <row r="100" spans="1:14" ht="13.15" customHeight="1">
      <c r="A100" s="309" t="s">
        <v>521</v>
      </c>
      <c r="B100" s="276">
        <v>88034</v>
      </c>
      <c r="C100" s="280">
        <v>79884887.989999995</v>
      </c>
      <c r="D100" s="280"/>
      <c r="E100" s="482">
        <v>34526</v>
      </c>
      <c r="F100" s="280">
        <v>3393</v>
      </c>
      <c r="G100" s="280">
        <v>331515793.43000001</v>
      </c>
      <c r="H100" s="280">
        <v>37919</v>
      </c>
      <c r="I100" s="483"/>
      <c r="J100" s="379">
        <v>20379</v>
      </c>
      <c r="K100" s="375">
        <v>16635</v>
      </c>
      <c r="L100" s="459">
        <v>905</v>
      </c>
    </row>
    <row r="101" spans="1:14" ht="13.15" customHeight="1">
      <c r="A101" s="309" t="s">
        <v>524</v>
      </c>
      <c r="B101" s="276">
        <v>22306</v>
      </c>
      <c r="C101" s="280">
        <v>20356934.73</v>
      </c>
      <c r="D101" s="280"/>
      <c r="E101" s="482">
        <v>9316</v>
      </c>
      <c r="F101" s="280">
        <v>249</v>
      </c>
      <c r="G101" s="280">
        <v>68337866.290000007</v>
      </c>
      <c r="H101" s="280">
        <v>9565</v>
      </c>
      <c r="I101" s="483"/>
      <c r="J101" s="379">
        <v>4753</v>
      </c>
      <c r="K101" s="375">
        <v>4597</v>
      </c>
      <c r="L101" s="459">
        <v>215</v>
      </c>
    </row>
    <row r="102" spans="1:14" ht="24" customHeight="1">
      <c r="A102" s="309" t="s">
        <v>400</v>
      </c>
      <c r="B102" s="276">
        <v>19968</v>
      </c>
      <c r="C102" s="280">
        <v>18089478.140000001</v>
      </c>
      <c r="D102" s="280"/>
      <c r="E102" s="482">
        <v>8412</v>
      </c>
      <c r="F102" s="280">
        <v>251</v>
      </c>
      <c r="G102" s="280">
        <v>63094242.719999999</v>
      </c>
      <c r="H102" s="280">
        <v>8663</v>
      </c>
      <c r="I102" s="483"/>
      <c r="J102" s="379">
        <v>4382</v>
      </c>
      <c r="K102" s="375">
        <v>3878</v>
      </c>
      <c r="L102" s="459">
        <v>403</v>
      </c>
    </row>
    <row r="103" spans="1:14" ht="13.15" customHeight="1">
      <c r="A103" s="309" t="s">
        <v>404</v>
      </c>
      <c r="B103" s="276">
        <v>46703</v>
      </c>
      <c r="C103" s="280">
        <v>42320811.090000004</v>
      </c>
      <c r="D103" s="280"/>
      <c r="E103" s="482">
        <v>19050</v>
      </c>
      <c r="F103" s="280">
        <v>1779</v>
      </c>
      <c r="G103" s="379">
        <v>163523763.41999999</v>
      </c>
      <c r="H103" s="280">
        <v>20829</v>
      </c>
      <c r="I103" s="483"/>
      <c r="J103" s="379">
        <v>12095</v>
      </c>
      <c r="K103" s="375">
        <v>8214</v>
      </c>
      <c r="L103" s="459">
        <v>520</v>
      </c>
    </row>
    <row r="104" spans="1:14" ht="13.15" customHeight="1">
      <c r="A104" s="309" t="s">
        <v>408</v>
      </c>
      <c r="B104" s="276">
        <v>27313</v>
      </c>
      <c r="C104" s="280">
        <v>24851022.43</v>
      </c>
      <c r="D104" s="280"/>
      <c r="E104" s="482">
        <v>11786</v>
      </c>
      <c r="F104" s="280">
        <v>395</v>
      </c>
      <c r="G104" s="280">
        <v>86385995.719999999</v>
      </c>
      <c r="H104" s="280">
        <v>12181</v>
      </c>
      <c r="I104" s="483"/>
      <c r="J104" s="379">
        <v>6837</v>
      </c>
      <c r="K104" s="375">
        <v>5042</v>
      </c>
      <c r="L104" s="459">
        <v>302</v>
      </c>
    </row>
    <row r="105" spans="1:14" ht="13.15" customHeight="1">
      <c r="A105" s="309" t="s">
        <v>412</v>
      </c>
      <c r="B105" s="276">
        <v>17974</v>
      </c>
      <c r="C105" s="280">
        <v>16344962.15</v>
      </c>
      <c r="D105" s="280"/>
      <c r="E105" s="482">
        <v>7179</v>
      </c>
      <c r="F105" s="280">
        <v>727</v>
      </c>
      <c r="G105" s="280">
        <v>62098693.350000001</v>
      </c>
      <c r="H105" s="280">
        <v>7906</v>
      </c>
      <c r="I105" s="483"/>
      <c r="J105" s="379">
        <v>4543</v>
      </c>
      <c r="K105" s="375">
        <v>3073</v>
      </c>
      <c r="L105" s="459">
        <v>290</v>
      </c>
    </row>
    <row r="106" spans="1:14" ht="13.15" customHeight="1">
      <c r="A106" s="309" t="s">
        <v>416</v>
      </c>
      <c r="B106" s="276">
        <v>142876</v>
      </c>
      <c r="C106" s="280">
        <v>129893699.58</v>
      </c>
      <c r="D106" s="280"/>
      <c r="E106" s="482">
        <v>51456</v>
      </c>
      <c r="F106" s="280">
        <v>11272</v>
      </c>
      <c r="G106" s="280">
        <v>597315596.91999996</v>
      </c>
      <c r="H106" s="280">
        <v>62728</v>
      </c>
      <c r="I106" s="483"/>
      <c r="J106" s="379">
        <v>35695</v>
      </c>
      <c r="K106" s="375">
        <v>25136</v>
      </c>
      <c r="L106" s="459">
        <v>1897</v>
      </c>
    </row>
    <row r="107" spans="1:14" ht="24" customHeight="1">
      <c r="A107" s="309" t="s">
        <v>420</v>
      </c>
      <c r="B107" s="276">
        <v>154896</v>
      </c>
      <c r="C107" s="280">
        <v>140670965.59999999</v>
      </c>
      <c r="D107" s="280"/>
      <c r="E107" s="482">
        <v>50363</v>
      </c>
      <c r="F107" s="280">
        <v>16291</v>
      </c>
      <c r="G107" s="280">
        <v>750692164.98000002</v>
      </c>
      <c r="H107" s="280">
        <v>66654</v>
      </c>
      <c r="I107" s="483"/>
      <c r="J107" s="379">
        <v>36281</v>
      </c>
      <c r="K107" s="375">
        <v>27892</v>
      </c>
      <c r="L107" s="459">
        <v>2481</v>
      </c>
    </row>
    <row r="108" spans="1:14" ht="13.15" customHeight="1">
      <c r="A108" s="309" t="s">
        <v>424</v>
      </c>
      <c r="B108" s="276">
        <v>7197</v>
      </c>
      <c r="C108" s="280">
        <v>6532072.9000000004</v>
      </c>
      <c r="D108" s="280"/>
      <c r="E108" s="482">
        <v>2933</v>
      </c>
      <c r="F108" s="280">
        <v>324</v>
      </c>
      <c r="G108" s="280">
        <v>25892651.390000001</v>
      </c>
      <c r="H108" s="280">
        <v>3257</v>
      </c>
      <c r="I108" s="483"/>
      <c r="J108" s="379">
        <v>1870</v>
      </c>
      <c r="K108" s="375">
        <v>1268</v>
      </c>
      <c r="L108" s="459">
        <v>119</v>
      </c>
    </row>
    <row r="109" spans="1:14" ht="13.15" customHeight="1">
      <c r="A109" s="309" t="s">
        <v>428</v>
      </c>
      <c r="B109" s="276">
        <v>8329</v>
      </c>
      <c r="C109" s="280">
        <v>7577215.8799999999</v>
      </c>
      <c r="D109" s="280"/>
      <c r="E109" s="482">
        <v>3463</v>
      </c>
      <c r="F109" s="280">
        <v>395</v>
      </c>
      <c r="G109" s="280">
        <v>29662466.359999999</v>
      </c>
      <c r="H109" s="280">
        <v>3858</v>
      </c>
      <c r="I109" s="483"/>
      <c r="J109" s="379">
        <v>2549</v>
      </c>
      <c r="K109" s="375">
        <v>1193</v>
      </c>
      <c r="L109" s="459">
        <v>116</v>
      </c>
    </row>
    <row r="110" spans="1:14" ht="13.15" customHeight="1">
      <c r="A110" s="310" t="s">
        <v>432</v>
      </c>
      <c r="B110" s="280">
        <v>36565</v>
      </c>
      <c r="C110" s="280">
        <v>33171776.359999999</v>
      </c>
      <c r="D110" s="280"/>
      <c r="E110" s="482">
        <v>15005</v>
      </c>
      <c r="F110" s="280">
        <v>586</v>
      </c>
      <c r="G110" s="280">
        <v>113146324.52</v>
      </c>
      <c r="H110" s="280">
        <v>15591</v>
      </c>
      <c r="I110" s="483"/>
      <c r="J110" s="379">
        <v>8054</v>
      </c>
      <c r="K110" s="379">
        <v>7147</v>
      </c>
      <c r="L110" s="461">
        <v>390</v>
      </c>
    </row>
    <row r="111" spans="1:14" ht="13.15" customHeight="1">
      <c r="A111" s="310" t="s">
        <v>436</v>
      </c>
      <c r="B111" s="280">
        <v>41141</v>
      </c>
      <c r="C111" s="280">
        <v>37428311.93</v>
      </c>
      <c r="D111" s="280"/>
      <c r="E111" s="482">
        <v>16501</v>
      </c>
      <c r="F111" s="280">
        <v>2305</v>
      </c>
      <c r="G111" s="280">
        <v>157727707.69999999</v>
      </c>
      <c r="H111" s="280">
        <v>18806</v>
      </c>
      <c r="I111" s="483"/>
      <c r="J111" s="379">
        <v>11144</v>
      </c>
      <c r="K111" s="379">
        <v>7086</v>
      </c>
      <c r="L111" s="461">
        <v>576</v>
      </c>
      <c r="M111" s="464"/>
      <c r="N111" s="464"/>
    </row>
    <row r="112" spans="1:14" ht="24" customHeight="1">
      <c r="A112" s="284" t="s">
        <v>440</v>
      </c>
      <c r="B112" s="276">
        <v>57713</v>
      </c>
      <c r="C112" s="481">
        <v>52341297.899999999</v>
      </c>
      <c r="D112" s="481"/>
      <c r="E112" s="482">
        <v>23961</v>
      </c>
      <c r="F112" s="280">
        <v>1500</v>
      </c>
      <c r="G112" s="481">
        <v>212147470.53</v>
      </c>
      <c r="H112" s="280">
        <v>25461</v>
      </c>
      <c r="I112" s="483"/>
      <c r="J112" s="379">
        <v>13207</v>
      </c>
      <c r="K112" s="375">
        <v>11005</v>
      </c>
      <c r="L112" s="459">
        <v>1249</v>
      </c>
    </row>
    <row r="113" spans="1:14" ht="13.15" customHeight="1">
      <c r="A113" s="309" t="s">
        <v>444</v>
      </c>
      <c r="B113" s="276">
        <v>18851</v>
      </c>
      <c r="C113" s="280">
        <v>17002891.780000001</v>
      </c>
      <c r="D113" s="280"/>
      <c r="E113" s="482">
        <v>7389</v>
      </c>
      <c r="F113" s="280">
        <v>1032</v>
      </c>
      <c r="G113" s="280">
        <v>85309169.290000007</v>
      </c>
      <c r="H113" s="280">
        <v>8421</v>
      </c>
      <c r="I113" s="483"/>
      <c r="J113" s="379">
        <v>5134</v>
      </c>
      <c r="K113" s="375">
        <v>2988</v>
      </c>
      <c r="L113" s="459">
        <v>299</v>
      </c>
    </row>
    <row r="114" spans="1:14" ht="13.15" customHeight="1">
      <c r="A114" s="309" t="s">
        <v>448</v>
      </c>
      <c r="B114" s="276">
        <v>29864</v>
      </c>
      <c r="C114" s="280">
        <v>27223235.050000001</v>
      </c>
      <c r="D114" s="280"/>
      <c r="E114" s="482">
        <v>12539</v>
      </c>
      <c r="F114" s="379">
        <v>382</v>
      </c>
      <c r="G114" s="280">
        <v>89934995.359999999</v>
      </c>
      <c r="H114" s="280">
        <v>12921</v>
      </c>
      <c r="I114" s="483"/>
      <c r="J114" s="379">
        <v>6974</v>
      </c>
      <c r="K114" s="375">
        <v>5569</v>
      </c>
      <c r="L114" s="459">
        <v>378</v>
      </c>
    </row>
    <row r="115" spans="1:14" ht="13.15" customHeight="1">
      <c r="A115" s="309" t="s">
        <v>452</v>
      </c>
      <c r="B115" s="276">
        <v>27394</v>
      </c>
      <c r="C115" s="280">
        <v>24873036.370000001</v>
      </c>
      <c r="D115" s="280"/>
      <c r="E115" s="482">
        <v>11750</v>
      </c>
      <c r="F115" s="280">
        <v>516</v>
      </c>
      <c r="G115" s="280">
        <v>87939494.629999995</v>
      </c>
      <c r="H115" s="280">
        <v>12266</v>
      </c>
      <c r="I115" s="483"/>
      <c r="J115" s="379">
        <v>6805</v>
      </c>
      <c r="K115" s="375">
        <v>5082</v>
      </c>
      <c r="L115" s="459">
        <v>379</v>
      </c>
    </row>
    <row r="116" spans="1:14" ht="13.15" customHeight="1">
      <c r="A116" s="310" t="s">
        <v>456</v>
      </c>
      <c r="B116" s="280">
        <v>69432</v>
      </c>
      <c r="C116" s="280">
        <v>62480367.759999998</v>
      </c>
      <c r="D116" s="280"/>
      <c r="E116" s="482">
        <v>24419</v>
      </c>
      <c r="F116" s="280">
        <v>5041</v>
      </c>
      <c r="G116" s="280">
        <v>290867910.19999999</v>
      </c>
      <c r="H116" s="280">
        <v>29460</v>
      </c>
      <c r="I116" s="483"/>
      <c r="J116" s="379">
        <v>14967</v>
      </c>
      <c r="K116" s="375">
        <v>13430</v>
      </c>
      <c r="L116" s="461">
        <v>1063</v>
      </c>
    </row>
    <row r="117" spans="1:14" ht="10.7" customHeight="1">
      <c r="A117" s="310"/>
      <c r="B117" s="280"/>
      <c r="C117" s="496"/>
      <c r="D117" s="496"/>
      <c r="E117" s="497"/>
      <c r="F117" s="496"/>
      <c r="G117" s="496"/>
      <c r="H117" s="496"/>
      <c r="I117" s="498"/>
      <c r="J117" s="499"/>
      <c r="K117" s="379"/>
      <c r="L117" s="461"/>
    </row>
    <row r="118" spans="1:14" ht="13.15" customHeight="1">
      <c r="A118" s="337" t="s">
        <v>24</v>
      </c>
      <c r="B118" s="500">
        <f>SUM(B8:B42)+SUM(B50:B84)+SUM(B92:B116)</f>
        <v>6195777</v>
      </c>
      <c r="C118" s="338">
        <f>SUM(C8:C42)+SUM(C50:C84)+SUM(C92:C116)</f>
        <v>5617825994.8600006</v>
      </c>
      <c r="D118" s="501"/>
      <c r="E118" s="502">
        <f t="shared" ref="E118:H118" si="0">SUM(E8:E42)+SUM(E50:E84)+SUM(E92:E116)</f>
        <v>2237493</v>
      </c>
      <c r="F118" s="500">
        <f t="shared" si="0"/>
        <v>518859</v>
      </c>
      <c r="G118" s="338">
        <f t="shared" si="0"/>
        <v>29726455636.09</v>
      </c>
      <c r="H118" s="500">
        <f t="shared" si="0"/>
        <v>2756352</v>
      </c>
      <c r="I118" s="503"/>
      <c r="J118" s="504">
        <f t="shared" ref="J118:L118" si="1">SUM(J8:J42)+SUM(J50:J84)+SUM(J92:J116)</f>
        <v>1553408</v>
      </c>
      <c r="K118" s="504">
        <f t="shared" si="1"/>
        <v>1111840</v>
      </c>
      <c r="L118" s="504">
        <f t="shared" si="1"/>
        <v>91104</v>
      </c>
    </row>
    <row r="119" spans="1:14" ht="17.100000000000001" customHeight="1">
      <c r="A119" s="330" t="s">
        <v>704</v>
      </c>
      <c r="B119" s="463"/>
      <c r="C119" s="463"/>
      <c r="D119" s="463"/>
      <c r="E119" s="463"/>
      <c r="F119" s="463"/>
      <c r="G119" s="463"/>
      <c r="H119" s="463"/>
      <c r="I119" s="463"/>
      <c r="J119" s="461"/>
      <c r="K119" s="461"/>
      <c r="L119" s="461"/>
      <c r="M119" s="464"/>
      <c r="N119" s="464"/>
    </row>
    <row r="120" spans="1:14" ht="15" customHeight="1">
      <c r="A120" s="484" t="str">
        <f>A86</f>
        <v>Exemptions, Standard and Itemized Deductions, and Number of Returns by Filing Status/Locality</v>
      </c>
      <c r="B120" s="463"/>
      <c r="C120" s="463"/>
      <c r="D120" s="463"/>
      <c r="E120" s="463"/>
      <c r="F120" s="463"/>
      <c r="G120" s="463"/>
      <c r="H120" s="463"/>
      <c r="I120" s="463"/>
      <c r="J120" s="461"/>
      <c r="K120" s="461"/>
      <c r="L120" s="461"/>
    </row>
    <row r="121" spans="1:14" ht="15" customHeight="1">
      <c r="A121" s="462" t="str">
        <f>A$3</f>
        <v>Taxable Year 2019</v>
      </c>
      <c r="B121" s="463"/>
      <c r="C121" s="463"/>
      <c r="D121" s="463"/>
      <c r="E121" s="463"/>
      <c r="F121" s="463"/>
      <c r="G121" s="463"/>
      <c r="H121" s="463"/>
      <c r="I121" s="463"/>
      <c r="J121" s="461"/>
      <c r="K121" s="461"/>
      <c r="L121" s="461"/>
    </row>
    <row r="122" spans="1:14" ht="6" customHeight="1" thickBot="1">
      <c r="A122" s="464"/>
      <c r="B122" s="485"/>
      <c r="C122" s="485"/>
      <c r="D122" s="485"/>
      <c r="E122" s="485"/>
      <c r="F122" s="485"/>
      <c r="G122" s="485"/>
      <c r="H122" s="485"/>
      <c r="I122" s="485"/>
      <c r="J122" s="486"/>
      <c r="K122" s="486"/>
      <c r="L122" s="486"/>
    </row>
    <row r="123" spans="1:14" ht="12.95" customHeight="1">
      <c r="A123" s="465"/>
      <c r="B123" s="1270" t="s">
        <v>386</v>
      </c>
      <c r="C123" s="1270"/>
      <c r="D123" s="466"/>
      <c r="E123" s="1271" t="s">
        <v>387</v>
      </c>
      <c r="F123" s="1272"/>
      <c r="G123" s="1272"/>
      <c r="H123" s="1272"/>
      <c r="I123" s="467"/>
      <c r="J123" s="1273" t="s">
        <v>701</v>
      </c>
      <c r="K123" s="1273"/>
      <c r="L123" s="1274"/>
      <c r="M123" s="464"/>
      <c r="N123" s="464"/>
    </row>
    <row r="124" spans="1:14" ht="12" customHeight="1">
      <c r="A124" s="487"/>
      <c r="B124" s="488"/>
      <c r="C124" s="488"/>
      <c r="D124" s="488"/>
      <c r="E124" s="489"/>
      <c r="F124" s="488"/>
      <c r="G124" s="488"/>
      <c r="H124" s="490" t="s">
        <v>17</v>
      </c>
      <c r="I124" s="491"/>
      <c r="J124" s="492"/>
      <c r="K124" s="475" t="s">
        <v>930</v>
      </c>
      <c r="L124" s="475" t="s">
        <v>930</v>
      </c>
    </row>
    <row r="125" spans="1:14" ht="12" customHeight="1">
      <c r="A125" s="476" t="s">
        <v>25</v>
      </c>
      <c r="B125" s="476" t="s">
        <v>702</v>
      </c>
      <c r="C125" s="476" t="s">
        <v>20</v>
      </c>
      <c r="D125" s="476"/>
      <c r="E125" s="477" t="s">
        <v>383</v>
      </c>
      <c r="F125" s="476" t="s">
        <v>382</v>
      </c>
      <c r="G125" s="326" t="s">
        <v>20</v>
      </c>
      <c r="H125" s="476" t="s">
        <v>380</v>
      </c>
      <c r="I125" s="478"/>
      <c r="J125" s="479" t="s">
        <v>703</v>
      </c>
      <c r="K125" s="479" t="s">
        <v>378</v>
      </c>
      <c r="L125" s="480" t="s">
        <v>929</v>
      </c>
    </row>
    <row r="126" spans="1:14" ht="18.95" customHeight="1">
      <c r="A126" s="310" t="s">
        <v>473</v>
      </c>
      <c r="B126" s="280">
        <v>165371</v>
      </c>
      <c r="C126" s="481">
        <v>148757245.69</v>
      </c>
      <c r="D126" s="481"/>
      <c r="E126" s="482">
        <v>65818</v>
      </c>
      <c r="F126" s="280">
        <v>22888</v>
      </c>
      <c r="G126" s="481">
        <v>1067564442.05</v>
      </c>
      <c r="H126" s="280">
        <v>88706</v>
      </c>
      <c r="I126" s="483"/>
      <c r="J126" s="379">
        <v>59539</v>
      </c>
      <c r="K126" s="379">
        <v>24899</v>
      </c>
      <c r="L126" s="461">
        <v>4268</v>
      </c>
    </row>
    <row r="127" spans="1:14" ht="12" customHeight="1">
      <c r="A127" s="309" t="s">
        <v>478</v>
      </c>
      <c r="B127" s="276">
        <v>23178</v>
      </c>
      <c r="C127" s="280">
        <v>21052994.370000001</v>
      </c>
      <c r="D127" s="280"/>
      <c r="E127" s="482">
        <v>10665</v>
      </c>
      <c r="F127" s="280">
        <v>439</v>
      </c>
      <c r="G127" s="280">
        <v>83307186.730000004</v>
      </c>
      <c r="H127" s="280">
        <v>11104</v>
      </c>
      <c r="I127" s="483"/>
      <c r="J127" s="379">
        <v>6417</v>
      </c>
      <c r="K127" s="375">
        <v>3466</v>
      </c>
      <c r="L127" s="459">
        <v>1221</v>
      </c>
    </row>
    <row r="128" spans="1:14" ht="12" customHeight="1">
      <c r="A128" s="309" t="s">
        <v>481</v>
      </c>
      <c r="B128" s="276">
        <v>6011</v>
      </c>
      <c r="C128" s="280">
        <v>5418362.8300000001</v>
      </c>
      <c r="D128" s="280"/>
      <c r="E128" s="482">
        <v>2662</v>
      </c>
      <c r="F128" s="280">
        <v>114</v>
      </c>
      <c r="G128" s="280">
        <v>18910573.68</v>
      </c>
      <c r="H128" s="280">
        <v>2776</v>
      </c>
      <c r="I128" s="483"/>
      <c r="J128" s="379">
        <v>1691</v>
      </c>
      <c r="K128" s="375">
        <v>1022</v>
      </c>
      <c r="L128" s="459">
        <v>63</v>
      </c>
    </row>
    <row r="129" spans="1:14" ht="12" customHeight="1">
      <c r="A129" s="309" t="s">
        <v>484</v>
      </c>
      <c r="B129" s="276">
        <v>40337</v>
      </c>
      <c r="C129" s="280">
        <v>36326629.020000003</v>
      </c>
      <c r="D129" s="280"/>
      <c r="E129" s="482">
        <v>19053</v>
      </c>
      <c r="F129" s="280">
        <v>2743</v>
      </c>
      <c r="G129" s="379">
        <v>209284514.55000001</v>
      </c>
      <c r="H129" s="280">
        <v>21796</v>
      </c>
      <c r="I129" s="483"/>
      <c r="J129" s="379">
        <v>15147</v>
      </c>
      <c r="K129" s="375">
        <v>5848</v>
      </c>
      <c r="L129" s="459">
        <v>801</v>
      </c>
    </row>
    <row r="130" spans="1:14" ht="12" customHeight="1">
      <c r="A130" s="309" t="s">
        <v>487</v>
      </c>
      <c r="B130" s="276">
        <v>239905</v>
      </c>
      <c r="C130" s="280">
        <v>217694591.59</v>
      </c>
      <c r="D130" s="280"/>
      <c r="E130" s="482">
        <v>90256</v>
      </c>
      <c r="F130" s="280">
        <v>18396</v>
      </c>
      <c r="G130" s="280">
        <v>1007568436.33</v>
      </c>
      <c r="H130" s="280">
        <v>108652</v>
      </c>
      <c r="I130" s="483"/>
      <c r="J130" s="379">
        <v>63507</v>
      </c>
      <c r="K130" s="375">
        <v>40170</v>
      </c>
      <c r="L130" s="459">
        <v>4975</v>
      </c>
    </row>
    <row r="131" spans="1:14" ht="18.95" customHeight="1">
      <c r="A131" s="309" t="s">
        <v>490</v>
      </c>
      <c r="B131" s="276">
        <v>18523</v>
      </c>
      <c r="C131" s="280">
        <v>16797916.530000001</v>
      </c>
      <c r="D131" s="280"/>
      <c r="E131" s="482">
        <v>7859</v>
      </c>
      <c r="F131" s="280">
        <v>732</v>
      </c>
      <c r="G131" s="280">
        <v>62020346.32</v>
      </c>
      <c r="H131" s="280">
        <v>8591</v>
      </c>
      <c r="I131" s="483"/>
      <c r="J131" s="379">
        <v>5693</v>
      </c>
      <c r="K131" s="375">
        <v>2691</v>
      </c>
      <c r="L131" s="459">
        <v>207</v>
      </c>
    </row>
    <row r="132" spans="1:14" ht="12" customHeight="1">
      <c r="A132" s="309" t="s">
        <v>493</v>
      </c>
      <c r="B132" s="276">
        <v>6113</v>
      </c>
      <c r="C132" s="280">
        <v>5569856.3399999999</v>
      </c>
      <c r="D132" s="280"/>
      <c r="E132" s="482">
        <v>2809</v>
      </c>
      <c r="F132" s="280">
        <v>66</v>
      </c>
      <c r="G132" s="280">
        <v>23825830.27</v>
      </c>
      <c r="H132" s="280">
        <v>2875</v>
      </c>
      <c r="I132" s="483"/>
      <c r="J132" s="379">
        <v>1877</v>
      </c>
      <c r="K132" s="375">
        <v>928</v>
      </c>
      <c r="L132" s="459">
        <v>70</v>
      </c>
    </row>
    <row r="133" spans="1:14" ht="12" customHeight="1">
      <c r="A133" s="309" t="s">
        <v>496</v>
      </c>
      <c r="B133" s="276">
        <v>41071</v>
      </c>
      <c r="C133" s="280">
        <v>37356597.359999999</v>
      </c>
      <c r="D133" s="280"/>
      <c r="E133" s="482">
        <v>18114</v>
      </c>
      <c r="F133" s="280">
        <v>1293</v>
      </c>
      <c r="G133" s="280">
        <v>142442281.44</v>
      </c>
      <c r="H133" s="280">
        <v>19407</v>
      </c>
      <c r="I133" s="483"/>
      <c r="J133" s="379">
        <v>13581</v>
      </c>
      <c r="K133" s="375">
        <v>4941</v>
      </c>
      <c r="L133" s="459">
        <v>885</v>
      </c>
    </row>
    <row r="134" spans="1:14" ht="12" customHeight="1">
      <c r="A134" s="309" t="s">
        <v>499</v>
      </c>
      <c r="B134" s="276">
        <v>5132</v>
      </c>
      <c r="C134" s="280">
        <v>4694006.8899999997</v>
      </c>
      <c r="D134" s="280"/>
      <c r="E134" s="482">
        <v>2236</v>
      </c>
      <c r="F134" s="280">
        <v>181</v>
      </c>
      <c r="G134" s="280">
        <v>16620235.470000001</v>
      </c>
      <c r="H134" s="280">
        <v>2417</v>
      </c>
      <c r="I134" s="483"/>
      <c r="J134" s="379">
        <v>1867</v>
      </c>
      <c r="K134" s="375">
        <v>459</v>
      </c>
      <c r="L134" s="459">
        <v>91</v>
      </c>
    </row>
    <row r="135" spans="1:14" ht="12" customHeight="1">
      <c r="A135" s="309" t="s">
        <v>494</v>
      </c>
      <c r="B135" s="276">
        <v>32563</v>
      </c>
      <c r="C135" s="280">
        <v>29554178.289999999</v>
      </c>
      <c r="D135" s="280"/>
      <c r="E135" s="482">
        <v>11304</v>
      </c>
      <c r="F135" s="280">
        <v>4089</v>
      </c>
      <c r="G135" s="280">
        <v>200515132.91</v>
      </c>
      <c r="H135" s="280">
        <v>15393</v>
      </c>
      <c r="I135" s="483"/>
      <c r="J135" s="379">
        <v>8949</v>
      </c>
      <c r="K135" s="375">
        <v>5795</v>
      </c>
      <c r="L135" s="459">
        <v>649</v>
      </c>
    </row>
    <row r="136" spans="1:14" ht="18.95" customHeight="1">
      <c r="A136" s="309" t="s">
        <v>504</v>
      </c>
      <c r="B136" s="276">
        <v>18175</v>
      </c>
      <c r="C136" s="280">
        <v>16331008.24</v>
      </c>
      <c r="D136" s="280"/>
      <c r="E136" s="482">
        <v>5759</v>
      </c>
      <c r="F136" s="280">
        <v>2476</v>
      </c>
      <c r="G136" s="280">
        <v>128961852.14</v>
      </c>
      <c r="H136" s="280">
        <v>8235</v>
      </c>
      <c r="I136" s="483"/>
      <c r="J136" s="379">
        <v>4614</v>
      </c>
      <c r="K136" s="375">
        <v>3249</v>
      </c>
      <c r="L136" s="459">
        <v>372</v>
      </c>
    </row>
    <row r="137" spans="1:14" ht="12" customHeight="1">
      <c r="A137" s="309" t="s">
        <v>26</v>
      </c>
      <c r="B137" s="375">
        <v>7903</v>
      </c>
      <c r="C137" s="379">
        <v>7181658.5300000003</v>
      </c>
      <c r="D137" s="280"/>
      <c r="E137" s="482">
        <v>3220</v>
      </c>
      <c r="F137" s="280">
        <v>340</v>
      </c>
      <c r="G137" s="280">
        <v>27986706.350000001</v>
      </c>
      <c r="H137" s="280">
        <v>3560</v>
      </c>
      <c r="I137" s="483"/>
      <c r="J137" s="379">
        <v>2470</v>
      </c>
      <c r="K137" s="375">
        <v>947</v>
      </c>
      <c r="L137" s="459">
        <v>143</v>
      </c>
    </row>
    <row r="138" spans="1:14" ht="12" customHeight="1">
      <c r="A138" s="309" t="s">
        <v>509</v>
      </c>
      <c r="B138" s="276">
        <v>27384</v>
      </c>
      <c r="C138" s="280">
        <v>24823548.699999999</v>
      </c>
      <c r="D138" s="280"/>
      <c r="E138" s="482">
        <v>11661</v>
      </c>
      <c r="F138" s="280">
        <v>2070</v>
      </c>
      <c r="G138" s="280">
        <v>128366113.3</v>
      </c>
      <c r="H138" s="280">
        <v>13731</v>
      </c>
      <c r="I138" s="483"/>
      <c r="J138" s="379">
        <v>9431</v>
      </c>
      <c r="K138" s="375">
        <v>3810</v>
      </c>
      <c r="L138" s="459">
        <v>490</v>
      </c>
    </row>
    <row r="139" spans="1:14" ht="12" customHeight="1">
      <c r="A139" s="309" t="s">
        <v>512</v>
      </c>
      <c r="B139" s="276">
        <v>6977</v>
      </c>
      <c r="C139" s="280">
        <v>6341165.3700000001</v>
      </c>
      <c r="D139" s="280"/>
      <c r="E139" s="482">
        <v>3019</v>
      </c>
      <c r="F139" s="280">
        <v>144</v>
      </c>
      <c r="G139" s="280">
        <v>32755531.809999999</v>
      </c>
      <c r="H139" s="280">
        <v>3163</v>
      </c>
      <c r="I139" s="483"/>
      <c r="J139" s="379">
        <v>1963</v>
      </c>
      <c r="K139" s="375">
        <v>1099</v>
      </c>
      <c r="L139" s="459">
        <v>101</v>
      </c>
    </row>
    <row r="140" spans="1:14" ht="12" customHeight="1">
      <c r="A140" s="309" t="s">
        <v>514</v>
      </c>
      <c r="B140" s="276">
        <v>119028</v>
      </c>
      <c r="C140" s="280">
        <v>107859992.76000001</v>
      </c>
      <c r="D140" s="280"/>
      <c r="E140" s="482">
        <v>51878</v>
      </c>
      <c r="F140" s="280">
        <v>6495</v>
      </c>
      <c r="G140" s="280">
        <v>448594777.85000002</v>
      </c>
      <c r="H140" s="280">
        <v>58373</v>
      </c>
      <c r="I140" s="483"/>
      <c r="J140" s="379">
        <v>40053</v>
      </c>
      <c r="K140" s="375">
        <v>15839</v>
      </c>
      <c r="L140" s="459">
        <v>2481</v>
      </c>
    </row>
    <row r="141" spans="1:14" ht="18.95" customHeight="1">
      <c r="A141" s="309" t="s">
        <v>516</v>
      </c>
      <c r="B141" s="276">
        <v>37617</v>
      </c>
      <c r="C141" s="280">
        <v>34196201.710000001</v>
      </c>
      <c r="D141" s="280"/>
      <c r="E141" s="482">
        <v>17325</v>
      </c>
      <c r="F141" s="280">
        <v>1123</v>
      </c>
      <c r="G141" s="280">
        <v>134826711.91</v>
      </c>
      <c r="H141" s="280">
        <v>18448</v>
      </c>
      <c r="I141" s="483"/>
      <c r="J141" s="379">
        <v>12813</v>
      </c>
      <c r="K141" s="375">
        <v>5241</v>
      </c>
      <c r="L141" s="459">
        <v>394</v>
      </c>
    </row>
    <row r="142" spans="1:14" ht="12" customHeight="1">
      <c r="A142" s="309" t="s">
        <v>519</v>
      </c>
      <c r="B142" s="276">
        <v>20786</v>
      </c>
      <c r="C142" s="280">
        <v>18978042.350000001</v>
      </c>
      <c r="D142" s="280"/>
      <c r="E142" s="482">
        <v>9428</v>
      </c>
      <c r="F142" s="280">
        <v>635</v>
      </c>
      <c r="G142" s="280">
        <v>65291557.609999999</v>
      </c>
      <c r="H142" s="280">
        <v>10063</v>
      </c>
      <c r="I142" s="483"/>
      <c r="J142" s="379">
        <v>7533</v>
      </c>
      <c r="K142" s="375">
        <v>2246</v>
      </c>
      <c r="L142" s="459">
        <v>284</v>
      </c>
    </row>
    <row r="143" spans="1:14" ht="12" customHeight="1">
      <c r="A143" s="310" t="s">
        <v>522</v>
      </c>
      <c r="B143" s="280">
        <v>5778</v>
      </c>
      <c r="C143" s="280">
        <v>5147846.53</v>
      </c>
      <c r="D143" s="280"/>
      <c r="E143" s="482">
        <v>2203</v>
      </c>
      <c r="F143" s="280">
        <v>367</v>
      </c>
      <c r="G143" s="280">
        <v>32079039</v>
      </c>
      <c r="H143" s="280">
        <v>2570</v>
      </c>
      <c r="I143" s="483"/>
      <c r="J143" s="379">
        <v>1550</v>
      </c>
      <c r="K143" s="379">
        <v>948</v>
      </c>
      <c r="L143" s="461">
        <v>72</v>
      </c>
    </row>
    <row r="144" spans="1:14" ht="12" customHeight="1">
      <c r="A144" s="310" t="s">
        <v>525</v>
      </c>
      <c r="B144" s="280">
        <v>69176</v>
      </c>
      <c r="C144" s="280">
        <v>62589616.299999997</v>
      </c>
      <c r="D144" s="481"/>
      <c r="E144" s="482">
        <v>30979</v>
      </c>
      <c r="F144" s="280">
        <v>2562</v>
      </c>
      <c r="G144" s="280">
        <v>260784841.78</v>
      </c>
      <c r="H144" s="280">
        <v>33541</v>
      </c>
      <c r="I144" s="483"/>
      <c r="J144" s="379">
        <v>22413</v>
      </c>
      <c r="K144" s="379">
        <v>10158</v>
      </c>
      <c r="L144" s="461">
        <v>970</v>
      </c>
      <c r="M144" s="464"/>
      <c r="N144" s="464"/>
    </row>
    <row r="145" spans="1:14" ht="12" customHeight="1">
      <c r="A145" s="309" t="s">
        <v>401</v>
      </c>
      <c r="B145" s="276">
        <v>43822</v>
      </c>
      <c r="C145" s="280">
        <v>40078957.060000002</v>
      </c>
      <c r="D145" s="280"/>
      <c r="E145" s="482">
        <v>16959</v>
      </c>
      <c r="F145" s="280">
        <v>3782</v>
      </c>
      <c r="G145" s="280">
        <v>191091204.91</v>
      </c>
      <c r="H145" s="280">
        <v>20741</v>
      </c>
      <c r="I145" s="483"/>
      <c r="J145" s="379">
        <v>13401</v>
      </c>
      <c r="K145" s="375">
        <v>6635</v>
      </c>
      <c r="L145" s="459">
        <v>705</v>
      </c>
      <c r="M145" s="464"/>
      <c r="N145" s="464"/>
    </row>
    <row r="146" spans="1:14" ht="18.95" customHeight="1">
      <c r="A146" s="309" t="s">
        <v>405</v>
      </c>
      <c r="B146" s="276">
        <v>17945</v>
      </c>
      <c r="C146" s="481">
        <v>16446057.43</v>
      </c>
      <c r="D146" s="280"/>
      <c r="E146" s="482">
        <v>7241</v>
      </c>
      <c r="F146" s="280">
        <v>1444</v>
      </c>
      <c r="G146" s="481">
        <v>73508855.090000004</v>
      </c>
      <c r="H146" s="280">
        <v>8685</v>
      </c>
      <c r="I146" s="483"/>
      <c r="J146" s="379">
        <v>5723</v>
      </c>
      <c r="K146" s="375">
        <v>2661</v>
      </c>
      <c r="L146" s="459">
        <v>301</v>
      </c>
    </row>
    <row r="147" spans="1:14" ht="12" customHeight="1">
      <c r="A147" s="309" t="s">
        <v>409</v>
      </c>
      <c r="B147" s="276">
        <v>13309</v>
      </c>
      <c r="C147" s="280">
        <v>12108655.050000001</v>
      </c>
      <c r="D147" s="280"/>
      <c r="E147" s="482">
        <v>5903</v>
      </c>
      <c r="F147" s="280">
        <v>366</v>
      </c>
      <c r="G147" s="280">
        <v>47249017.439999998</v>
      </c>
      <c r="H147" s="280">
        <v>6269</v>
      </c>
      <c r="I147" s="483"/>
      <c r="J147" s="379">
        <v>4393</v>
      </c>
      <c r="K147" s="375">
        <v>1607</v>
      </c>
      <c r="L147" s="459">
        <v>269</v>
      </c>
    </row>
    <row r="148" spans="1:14" ht="12" customHeight="1">
      <c r="A148" s="309" t="s">
        <v>413</v>
      </c>
      <c r="B148" s="276">
        <v>161474</v>
      </c>
      <c r="C148" s="280">
        <v>146656360.62</v>
      </c>
      <c r="D148" s="280"/>
      <c r="E148" s="482">
        <v>71549</v>
      </c>
      <c r="F148" s="280">
        <v>7856</v>
      </c>
      <c r="G148" s="280">
        <v>596181423.98000002</v>
      </c>
      <c r="H148" s="280">
        <v>79405</v>
      </c>
      <c r="I148" s="483"/>
      <c r="J148" s="379">
        <v>55200</v>
      </c>
      <c r="K148" s="375">
        <v>21111</v>
      </c>
      <c r="L148" s="459">
        <v>3094</v>
      </c>
    </row>
    <row r="149" spans="1:14" ht="12" customHeight="1">
      <c r="A149" s="309" t="s">
        <v>417</v>
      </c>
      <c r="B149" s="276">
        <v>181630</v>
      </c>
      <c r="C149" s="280">
        <v>164878632.63999999</v>
      </c>
      <c r="D149" s="280"/>
      <c r="E149" s="482">
        <v>82809</v>
      </c>
      <c r="F149" s="280">
        <v>9963</v>
      </c>
      <c r="G149" s="280">
        <v>886974244.28999996</v>
      </c>
      <c r="H149" s="280">
        <v>92772</v>
      </c>
      <c r="I149" s="483"/>
      <c r="J149" s="379">
        <v>65901</v>
      </c>
      <c r="K149" s="375">
        <v>22396</v>
      </c>
      <c r="L149" s="459">
        <v>4475</v>
      </c>
    </row>
    <row r="150" spans="1:14" ht="12" customHeight="1">
      <c r="A150" s="309" t="s">
        <v>421</v>
      </c>
      <c r="B150" s="375">
        <v>4071</v>
      </c>
      <c r="C150" s="379">
        <v>3715368.9</v>
      </c>
      <c r="D150" s="280"/>
      <c r="E150" s="482">
        <v>1825</v>
      </c>
      <c r="F150" s="280">
        <v>66</v>
      </c>
      <c r="G150" s="280">
        <v>13473462.02</v>
      </c>
      <c r="H150" s="280">
        <v>1891</v>
      </c>
      <c r="I150" s="483"/>
      <c r="J150" s="379">
        <v>1163</v>
      </c>
      <c r="K150" s="375">
        <v>666</v>
      </c>
      <c r="L150" s="459">
        <v>62</v>
      </c>
    </row>
    <row r="151" spans="1:14" ht="18.95" customHeight="1">
      <c r="A151" s="309" t="s">
        <v>425</v>
      </c>
      <c r="B151" s="276">
        <v>27407</v>
      </c>
      <c r="C151" s="280">
        <v>24938601.77</v>
      </c>
      <c r="D151" s="280"/>
      <c r="E151" s="482">
        <v>13112</v>
      </c>
      <c r="F151" s="280">
        <v>1253</v>
      </c>
      <c r="G151" s="280">
        <v>95881815.030000001</v>
      </c>
      <c r="H151" s="280">
        <v>14365</v>
      </c>
      <c r="I151" s="483"/>
      <c r="J151" s="379">
        <v>11815</v>
      </c>
      <c r="K151" s="375">
        <v>2072</v>
      </c>
      <c r="L151" s="459">
        <v>478</v>
      </c>
    </row>
    <row r="152" spans="1:14" ht="12" customHeight="1">
      <c r="A152" s="309" t="s">
        <v>429</v>
      </c>
      <c r="B152" s="276">
        <v>13275</v>
      </c>
      <c r="C152" s="280">
        <v>11993936.82</v>
      </c>
      <c r="D152" s="280"/>
      <c r="E152" s="482">
        <v>4421</v>
      </c>
      <c r="F152" s="280">
        <v>1073</v>
      </c>
      <c r="G152" s="280">
        <v>58537290.829999998</v>
      </c>
      <c r="H152" s="280">
        <v>5494</v>
      </c>
      <c r="I152" s="483"/>
      <c r="J152" s="379">
        <v>2678</v>
      </c>
      <c r="K152" s="375">
        <v>2667</v>
      </c>
      <c r="L152" s="459">
        <v>149</v>
      </c>
    </row>
    <row r="153" spans="1:14" ht="12" customHeight="1">
      <c r="A153" s="309" t="s">
        <v>433</v>
      </c>
      <c r="B153" s="276">
        <v>84044</v>
      </c>
      <c r="C153" s="280">
        <v>76527807.5</v>
      </c>
      <c r="D153" s="280"/>
      <c r="E153" s="482">
        <v>36512</v>
      </c>
      <c r="F153" s="280">
        <v>4628</v>
      </c>
      <c r="G153" s="280">
        <v>395764605.51999998</v>
      </c>
      <c r="H153" s="280">
        <v>41140</v>
      </c>
      <c r="I153" s="483"/>
      <c r="J153" s="379">
        <v>29517</v>
      </c>
      <c r="K153" s="375">
        <v>9908</v>
      </c>
      <c r="L153" s="459">
        <v>1715</v>
      </c>
    </row>
    <row r="154" spans="1:14" ht="12" customHeight="1">
      <c r="A154" s="309" t="s">
        <v>437</v>
      </c>
      <c r="B154" s="276">
        <v>11259</v>
      </c>
      <c r="C154" s="280">
        <v>10230568.42</v>
      </c>
      <c r="D154" s="280"/>
      <c r="E154" s="482">
        <v>5460</v>
      </c>
      <c r="F154" s="280">
        <v>270</v>
      </c>
      <c r="G154" s="280">
        <v>50898684.659999996</v>
      </c>
      <c r="H154" s="280">
        <v>5730</v>
      </c>
      <c r="I154" s="483"/>
      <c r="J154" s="379">
        <v>3807</v>
      </c>
      <c r="K154" s="375">
        <v>1746</v>
      </c>
      <c r="L154" s="459">
        <v>177</v>
      </c>
    </row>
    <row r="155" spans="1:14" ht="12" customHeight="1">
      <c r="A155" s="309" t="s">
        <v>441</v>
      </c>
      <c r="B155" s="276">
        <v>190288</v>
      </c>
      <c r="C155" s="280">
        <v>172809878.11000001</v>
      </c>
      <c r="D155" s="280"/>
      <c r="E155" s="482">
        <v>92646</v>
      </c>
      <c r="F155" s="280">
        <v>13452</v>
      </c>
      <c r="G155" s="280">
        <v>1061206965.5</v>
      </c>
      <c r="H155" s="280">
        <v>106098</v>
      </c>
      <c r="I155" s="483"/>
      <c r="J155" s="379">
        <v>81273</v>
      </c>
      <c r="K155" s="375">
        <v>21297</v>
      </c>
      <c r="L155" s="459">
        <v>3528</v>
      </c>
    </row>
    <row r="156" spans="1:14" ht="18.95" customHeight="1">
      <c r="A156" s="309" t="s">
        <v>27</v>
      </c>
      <c r="B156" s="276">
        <v>91193</v>
      </c>
      <c r="C156" s="280">
        <v>82825574.939999998</v>
      </c>
      <c r="D156" s="280"/>
      <c r="E156" s="482">
        <v>42724</v>
      </c>
      <c r="F156" s="280">
        <v>3088</v>
      </c>
      <c r="G156" s="280">
        <v>331009267.70999998</v>
      </c>
      <c r="H156" s="280">
        <v>45812</v>
      </c>
      <c r="I156" s="483"/>
      <c r="J156" s="379">
        <v>32887</v>
      </c>
      <c r="K156" s="375">
        <v>11575</v>
      </c>
      <c r="L156" s="459">
        <v>1350</v>
      </c>
    </row>
    <row r="157" spans="1:14" ht="12" customHeight="1">
      <c r="A157" s="309" t="s">
        <v>449</v>
      </c>
      <c r="B157" s="276">
        <v>26640</v>
      </c>
      <c r="C157" s="280">
        <v>24136808.050000001</v>
      </c>
      <c r="D157" s="280"/>
      <c r="E157" s="482">
        <v>11035</v>
      </c>
      <c r="F157" s="280">
        <v>1099</v>
      </c>
      <c r="G157" s="280">
        <v>97902647.640000001</v>
      </c>
      <c r="H157" s="280">
        <v>12134</v>
      </c>
      <c r="I157" s="483"/>
      <c r="J157" s="379">
        <v>7315</v>
      </c>
      <c r="K157" s="375">
        <v>4522</v>
      </c>
      <c r="L157" s="459">
        <v>297</v>
      </c>
    </row>
    <row r="158" spans="1:14" ht="12" customHeight="1">
      <c r="A158" s="309" t="s">
        <v>453</v>
      </c>
      <c r="B158" s="276">
        <v>25674</v>
      </c>
      <c r="C158" s="280">
        <v>23176184.98</v>
      </c>
      <c r="D158" s="280"/>
      <c r="E158" s="482">
        <v>11408</v>
      </c>
      <c r="F158" s="280">
        <v>780</v>
      </c>
      <c r="G158" s="280">
        <v>89783317.950000003</v>
      </c>
      <c r="H158" s="280">
        <v>12188</v>
      </c>
      <c r="I158" s="483"/>
      <c r="J158" s="379">
        <v>7688</v>
      </c>
      <c r="K158" s="375">
        <v>4100</v>
      </c>
      <c r="L158" s="459">
        <v>400</v>
      </c>
    </row>
    <row r="159" spans="1:14" ht="12" customHeight="1">
      <c r="A159" s="309" t="s">
        <v>457</v>
      </c>
      <c r="B159" s="276">
        <v>88671</v>
      </c>
      <c r="C159" s="280">
        <v>80574146.290000007</v>
      </c>
      <c r="D159" s="280"/>
      <c r="E159" s="482">
        <v>32731</v>
      </c>
      <c r="F159" s="280">
        <v>7363</v>
      </c>
      <c r="G159" s="280">
        <v>393723394.63999999</v>
      </c>
      <c r="H159" s="280">
        <v>40094</v>
      </c>
      <c r="I159" s="483"/>
      <c r="J159" s="379">
        <v>23844</v>
      </c>
      <c r="K159" s="375">
        <v>14419</v>
      </c>
      <c r="L159" s="459">
        <v>1831</v>
      </c>
    </row>
    <row r="160" spans="1:14" ht="18.95" customHeight="1">
      <c r="A160" s="309" t="s">
        <v>28</v>
      </c>
      <c r="B160" s="276">
        <v>434711</v>
      </c>
      <c r="C160" s="280">
        <v>393573940.06999999</v>
      </c>
      <c r="D160" s="280"/>
      <c r="E160" s="482">
        <v>173251</v>
      </c>
      <c r="F160" s="280">
        <v>32068</v>
      </c>
      <c r="G160" s="280">
        <v>1962950471.23</v>
      </c>
      <c r="H160" s="280">
        <v>205319</v>
      </c>
      <c r="I160" s="483"/>
      <c r="J160" s="379">
        <v>124800</v>
      </c>
      <c r="K160" s="375">
        <v>71244</v>
      </c>
      <c r="L160" s="459">
        <v>9275</v>
      </c>
    </row>
    <row r="161" spans="1:14" ht="12" customHeight="1">
      <c r="A161" s="309" t="s">
        <v>462</v>
      </c>
      <c r="B161" s="276">
        <v>21768</v>
      </c>
      <c r="C161" s="280">
        <v>19765388.43</v>
      </c>
      <c r="D161" s="280"/>
      <c r="E161" s="482">
        <v>9742</v>
      </c>
      <c r="F161" s="280">
        <v>619</v>
      </c>
      <c r="G161" s="280">
        <v>72640962.829999998</v>
      </c>
      <c r="H161" s="280">
        <v>10361</v>
      </c>
      <c r="I161" s="483"/>
      <c r="J161" s="379">
        <v>6855</v>
      </c>
      <c r="K161" s="375">
        <v>3237</v>
      </c>
      <c r="L161" s="459">
        <v>269</v>
      </c>
    </row>
    <row r="162" spans="1:14" ht="12" customHeight="1">
      <c r="A162" s="310" t="s">
        <v>465</v>
      </c>
      <c r="B162" s="280">
        <v>13564</v>
      </c>
      <c r="C162" s="280">
        <v>12097641.91</v>
      </c>
      <c r="D162" s="280"/>
      <c r="E162" s="482">
        <v>5872</v>
      </c>
      <c r="F162" s="280">
        <v>947</v>
      </c>
      <c r="G162" s="280">
        <v>63320851.829999998</v>
      </c>
      <c r="H162" s="280">
        <v>6819</v>
      </c>
      <c r="I162" s="483"/>
      <c r="J162" s="379">
        <v>4504</v>
      </c>
      <c r="K162" s="379">
        <v>2058</v>
      </c>
      <c r="L162" s="461">
        <v>257</v>
      </c>
    </row>
    <row r="163" spans="1:14" ht="12" customHeight="1">
      <c r="A163" s="310" t="s">
        <v>468</v>
      </c>
      <c r="B163" s="280">
        <v>27870</v>
      </c>
      <c r="C163" s="280">
        <v>25186002.050000001</v>
      </c>
      <c r="D163" s="280"/>
      <c r="E163" s="482">
        <v>12261</v>
      </c>
      <c r="F163" s="280">
        <v>1375</v>
      </c>
      <c r="G163" s="280">
        <v>108852204.38</v>
      </c>
      <c r="H163" s="280">
        <v>13636</v>
      </c>
      <c r="I163" s="483"/>
      <c r="J163" s="379">
        <v>9357</v>
      </c>
      <c r="K163" s="379">
        <v>3849</v>
      </c>
      <c r="L163" s="461">
        <v>430</v>
      </c>
      <c r="M163" s="464"/>
      <c r="N163" s="464"/>
    </row>
    <row r="164" spans="1:14" ht="6.95" customHeight="1">
      <c r="A164" s="277"/>
      <c r="B164" s="505"/>
      <c r="C164" s="505"/>
      <c r="D164" s="506"/>
      <c r="E164" s="507"/>
      <c r="F164" s="505"/>
      <c r="G164" s="505"/>
      <c r="H164" s="505"/>
      <c r="I164" s="506"/>
      <c r="J164" s="508"/>
      <c r="K164" s="508"/>
      <c r="L164" s="509"/>
      <c r="M164" s="464"/>
      <c r="N164" s="464"/>
    </row>
    <row r="165" spans="1:14" ht="12.75" customHeight="1">
      <c r="A165" s="340" t="s">
        <v>29</v>
      </c>
      <c r="B165" s="510">
        <f>SUM(B126:B163)</f>
        <v>2369643</v>
      </c>
      <c r="C165" s="510">
        <f>SUM(C126:C163)</f>
        <v>2148391970.4400001</v>
      </c>
      <c r="D165" s="511"/>
      <c r="E165" s="510">
        <f t="shared" ref="E165:H165" si="2">SUM(E126:E163)</f>
        <v>1003709</v>
      </c>
      <c r="F165" s="510">
        <f t="shared" si="2"/>
        <v>158645</v>
      </c>
      <c r="G165" s="510">
        <f t="shared" si="2"/>
        <v>10682656798.98</v>
      </c>
      <c r="H165" s="510">
        <f t="shared" si="2"/>
        <v>1162354</v>
      </c>
      <c r="I165" s="503"/>
      <c r="J165" s="510">
        <f t="shared" ref="J165:L165" si="3">SUM(J126:J163)</f>
        <v>773229</v>
      </c>
      <c r="K165" s="510">
        <f t="shared" si="3"/>
        <v>341526</v>
      </c>
      <c r="L165" s="510">
        <f t="shared" si="3"/>
        <v>47599</v>
      </c>
    </row>
    <row r="166" spans="1:14" ht="12.75" customHeight="1">
      <c r="A166" s="337" t="s">
        <v>24</v>
      </c>
      <c r="B166" s="500">
        <f>B118</f>
        <v>6195777</v>
      </c>
      <c r="C166" s="512">
        <f>C118</f>
        <v>5617825994.8600006</v>
      </c>
      <c r="D166" s="501"/>
      <c r="E166" s="502">
        <f>E118</f>
        <v>2237493</v>
      </c>
      <c r="F166" s="500">
        <f>F118</f>
        <v>518859</v>
      </c>
      <c r="G166" s="338">
        <f>G118</f>
        <v>29726455636.09</v>
      </c>
      <c r="H166" s="500">
        <f>H118</f>
        <v>2756352</v>
      </c>
      <c r="I166" s="503"/>
      <c r="J166" s="504">
        <f>J118</f>
        <v>1553408</v>
      </c>
      <c r="K166" s="504">
        <f>K118</f>
        <v>1111840</v>
      </c>
      <c r="L166" s="504">
        <f>L118</f>
        <v>91104</v>
      </c>
    </row>
    <row r="167" spans="1:14" ht="12.75" customHeight="1">
      <c r="A167" s="337" t="s">
        <v>698</v>
      </c>
      <c r="B167" s="812">
        <v>308193</v>
      </c>
      <c r="C167" s="813">
        <v>213185922.38999999</v>
      </c>
      <c r="D167" s="814"/>
      <c r="E167" s="815">
        <v>118996</v>
      </c>
      <c r="F167" s="812">
        <v>38265</v>
      </c>
      <c r="G167" s="816">
        <v>12717217300.469999</v>
      </c>
      <c r="H167" s="812">
        <v>157261</v>
      </c>
      <c r="I167" s="817"/>
      <c r="J167" s="818">
        <v>86783</v>
      </c>
      <c r="K167" s="818">
        <v>44637</v>
      </c>
      <c r="L167" s="819">
        <v>25841</v>
      </c>
    </row>
    <row r="168" spans="1:14" ht="9.9499999999999993" customHeight="1">
      <c r="A168" s="340"/>
      <c r="B168" s="510"/>
      <c r="C168" s="338"/>
      <c r="D168" s="511"/>
      <c r="E168" s="513"/>
      <c r="F168" s="510"/>
      <c r="G168" s="514"/>
      <c r="H168" s="500"/>
      <c r="I168" s="515"/>
      <c r="J168" s="516"/>
      <c r="K168" s="516"/>
      <c r="L168" s="461"/>
    </row>
    <row r="169" spans="1:14" ht="12.95" customHeight="1">
      <c r="A169" s="337" t="s">
        <v>30</v>
      </c>
      <c r="B169" s="500">
        <f>SUM(B165:B167)</f>
        <v>8873613</v>
      </c>
      <c r="C169" s="338">
        <f>SUM(C165:C167)</f>
        <v>7979403887.6900015</v>
      </c>
      <c r="D169" s="501"/>
      <c r="E169" s="500">
        <f>SUM(E165:E167)</f>
        <v>3360198</v>
      </c>
      <c r="F169" s="500">
        <f>SUM(F165:F167)</f>
        <v>715769</v>
      </c>
      <c r="G169" s="338">
        <f>SUM(G165:G167)</f>
        <v>53126329735.540001</v>
      </c>
      <c r="H169" s="500">
        <f>SUM(H165:H167)</f>
        <v>4075967</v>
      </c>
      <c r="I169" s="503"/>
      <c r="J169" s="504">
        <f>SUM(J165:J167)</f>
        <v>2413420</v>
      </c>
      <c r="K169" s="504">
        <f>SUM(K165:K167)</f>
        <v>1498003</v>
      </c>
      <c r="L169" s="504">
        <f>SUM(L165:L167)</f>
        <v>164544</v>
      </c>
    </row>
    <row r="170" spans="1:14" ht="6" customHeight="1">
      <c r="A170" s="342"/>
      <c r="B170" s="463"/>
      <c r="C170" s="342"/>
      <c r="D170" s="342"/>
      <c r="E170" s="463"/>
      <c r="F170" s="463"/>
      <c r="G170" s="342"/>
      <c r="H170" s="463"/>
      <c r="I170" s="463"/>
      <c r="J170" s="461"/>
      <c r="K170" s="461"/>
      <c r="L170" s="380"/>
    </row>
    <row r="171" spans="1:14" s="1173" customFormat="1" ht="12" customHeight="1">
      <c r="A171" s="1171" t="s">
        <v>1</v>
      </c>
      <c r="B171" s="1175"/>
      <c r="C171" s="1175"/>
      <c r="D171" s="1175"/>
      <c r="E171" s="1171"/>
      <c r="F171" s="1171"/>
      <c r="G171" s="1171"/>
      <c r="H171" s="1171"/>
      <c r="I171" s="1171"/>
      <c r="J171" s="1174"/>
      <c r="K171" s="1174"/>
      <c r="L171" s="1174"/>
    </row>
    <row r="172" spans="1:14" s="1173" customFormat="1" ht="12" customHeight="1">
      <c r="A172" s="1173" t="s">
        <v>928</v>
      </c>
      <c r="J172" s="1176"/>
      <c r="K172" s="1176"/>
      <c r="L172" s="1176"/>
    </row>
    <row r="173" spans="1:14" s="1173" customFormat="1" ht="12" customHeight="1">
      <c r="A173" s="1171" t="str">
        <f>'1.5'!A175</f>
        <v>* Returns not assigned to a locality are generally nonresident returns.  In these cases, the taxpayer did not report a locality in which the Virginia portion of income was earned.</v>
      </c>
      <c r="J173" s="1176"/>
      <c r="K173" s="1176"/>
      <c r="L173" s="1176"/>
    </row>
    <row r="174" spans="1:14" s="1068" customFormat="1" ht="12.75" customHeight="1">
      <c r="A174" s="1120" t="s">
        <v>1158</v>
      </c>
      <c r="B174" s="1072"/>
      <c r="C174" s="1072"/>
      <c r="D174" s="1072"/>
      <c r="E174" s="1073"/>
    </row>
    <row r="176" spans="1:14">
      <c r="B176" s="820"/>
      <c r="C176" s="820"/>
      <c r="D176" s="820"/>
      <c r="E176" s="820"/>
      <c r="F176" s="820"/>
      <c r="G176" s="820"/>
      <c r="H176" s="820"/>
      <c r="I176" s="820"/>
      <c r="J176" s="820"/>
      <c r="K176" s="820"/>
      <c r="L176" s="820"/>
    </row>
    <row r="177" spans="2:12">
      <c r="B177" s="821"/>
      <c r="C177" s="821"/>
      <c r="D177" s="821"/>
      <c r="E177" s="821"/>
      <c r="F177" s="821"/>
      <c r="G177" s="821"/>
      <c r="H177" s="821"/>
      <c r="I177" s="821"/>
      <c r="J177" s="821"/>
      <c r="K177" s="821"/>
      <c r="L177" s="821"/>
    </row>
  </sheetData>
  <customSheetViews>
    <customSheetView guid="{E6BBE5A7-0B25-4EE8-BA45-5EA5DBAF3AD4}" showPageBreaks="1" outlineSymbols="0" printArea="1">
      <rowBreaks count="4" manualBreakCount="4">
        <brk id="43" max="11" man="1"/>
        <brk id="86" max="11" man="1"/>
        <brk id="129" max="11" man="1"/>
        <brk id="172" max="11" man="1"/>
      </rowBreaks>
      <pageMargins left="0.5" right="0.5" top="0.5" bottom="1" header="0.5" footer="0.5"/>
      <printOptions horizontalCentered="1"/>
      <pageSetup scale="84" firstPageNumber="12" orientation="landscape" useFirstPageNumber="1" r:id="rId1"/>
      <headerFooter alignWithMargins="0"/>
    </customSheetView>
  </customSheetViews>
  <hyperlinks>
    <hyperlink ref="N1" location="TOC!A1" display="Back"/>
  </hyperlinks>
  <pageMargins left="0.6" right="0.25" top="0.25" bottom="0.15" header="0.25" footer="0.15"/>
  <pageSetup scale="84" firstPageNumber="12" orientation="landscape" r:id="rId2"/>
  <headerFooter scaleWithDoc="0">
    <oddHeader>&amp;R&amp;P</oddHeader>
  </headerFooter>
  <rowBreaks count="3" manualBreakCount="3">
    <brk id="42" max="11" man="1"/>
    <brk id="84" max="11" man="1"/>
    <brk id="118" max="11"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I174"/>
  <sheetViews>
    <sheetView showOutlineSymbols="0" zoomScaleNormal="100" zoomScaleSheetLayoutView="90" workbookViewId="0">
      <pane ySplit="5070" topLeftCell="A142"/>
      <selection pane="bottomLeft" activeCell="A168" sqref="A168"/>
    </sheetView>
  </sheetViews>
  <sheetFormatPr defaultColWidth="10.7109375" defaultRowHeight="15"/>
  <cols>
    <col min="1" max="1" width="18.28515625" style="335" customWidth="1"/>
    <col min="2" max="2" width="19.140625" style="279" customWidth="1"/>
    <col min="3" max="3" width="18.28515625" style="335" bestFit="1" customWidth="1"/>
    <col min="4" max="4" width="17.7109375" style="335" bestFit="1" customWidth="1"/>
    <col min="5" max="5" width="19.140625" style="335" bestFit="1" customWidth="1"/>
    <col min="6" max="6" width="20" style="335" customWidth="1"/>
    <col min="7" max="7" width="17.85546875" style="335" customWidth="1"/>
    <col min="8" max="8" width="5.28515625" style="822" bestFit="1" customWidth="1"/>
    <col min="9" max="9" width="10.7109375" style="822"/>
    <col min="10" max="16384" width="10.7109375" style="335"/>
  </cols>
  <sheetData>
    <row r="1" spans="1:8" ht="17.100000000000001" customHeight="1">
      <c r="A1" s="519" t="s">
        <v>705</v>
      </c>
      <c r="B1" s="520"/>
      <c r="C1" s="520"/>
      <c r="D1" s="520"/>
      <c r="E1" s="520"/>
      <c r="F1" s="520"/>
      <c r="G1" s="520"/>
      <c r="H1" s="1276" t="s">
        <v>1194</v>
      </c>
    </row>
    <row r="2" spans="1:8" ht="15" customHeight="1">
      <c r="A2" s="318" t="s">
        <v>706</v>
      </c>
      <c r="B2" s="520"/>
      <c r="C2" s="520"/>
      <c r="D2" s="520"/>
      <c r="E2" s="520"/>
      <c r="F2" s="520"/>
      <c r="G2" s="520"/>
    </row>
    <row r="3" spans="1:8" ht="15" customHeight="1">
      <c r="A3" s="462" t="str">
        <f>'1.2'!A3</f>
        <v>Taxable Year 2019</v>
      </c>
      <c r="B3" s="520"/>
      <c r="C3" s="520"/>
      <c r="D3" s="520"/>
      <c r="E3" s="520"/>
      <c r="F3" s="520"/>
      <c r="G3" s="520"/>
    </row>
    <row r="4" spans="1:8" ht="6" customHeight="1" thickBot="1">
      <c r="A4" s="464"/>
      <c r="B4" s="521"/>
      <c r="C4" s="521"/>
      <c r="D4" s="521"/>
      <c r="E4" s="521"/>
      <c r="F4" s="521"/>
      <c r="G4" s="521"/>
    </row>
    <row r="5" spans="1:8">
      <c r="A5" s="522"/>
      <c r="B5" s="522" t="s">
        <v>707</v>
      </c>
      <c r="C5" s="522" t="s">
        <v>708</v>
      </c>
      <c r="D5" s="522" t="s">
        <v>709</v>
      </c>
      <c r="E5" s="522" t="s">
        <v>709</v>
      </c>
      <c r="F5" s="522" t="s">
        <v>709</v>
      </c>
      <c r="G5" s="522" t="s">
        <v>710</v>
      </c>
      <c r="H5" s="830"/>
    </row>
    <row r="6" spans="1:8" ht="13.15" customHeight="1">
      <c r="A6" s="523" t="s">
        <v>23</v>
      </c>
      <c r="B6" s="523" t="s">
        <v>711</v>
      </c>
      <c r="C6" s="523" t="s">
        <v>712</v>
      </c>
      <c r="D6" s="523" t="s">
        <v>713</v>
      </c>
      <c r="E6" s="523" t="s">
        <v>714</v>
      </c>
      <c r="F6" s="523" t="s">
        <v>715</v>
      </c>
      <c r="G6" s="523" t="s">
        <v>716</v>
      </c>
    </row>
    <row r="7" spans="1:8" ht="24" customHeight="1">
      <c r="A7" s="279" t="s">
        <v>398</v>
      </c>
      <c r="B7" s="524">
        <v>578212367.71000004</v>
      </c>
      <c r="C7" s="524">
        <v>39232667.469999999</v>
      </c>
      <c r="D7" s="524">
        <v>25050151.579999998</v>
      </c>
      <c r="E7" s="524">
        <v>127756804.94</v>
      </c>
      <c r="F7" s="524">
        <v>386172743.72000003</v>
      </c>
      <c r="G7" s="524">
        <v>29550150.079999998</v>
      </c>
    </row>
    <row r="8" spans="1:8" ht="13.15" customHeight="1">
      <c r="A8" s="279" t="s">
        <v>402</v>
      </c>
      <c r="B8" s="279">
        <v>4485918819.8000002</v>
      </c>
      <c r="C8" s="279">
        <v>118911796.06</v>
      </c>
      <c r="D8" s="279">
        <v>78765467.269999996</v>
      </c>
      <c r="E8" s="279">
        <v>443685262.60000002</v>
      </c>
      <c r="F8" s="279">
        <v>3844556293.8699999</v>
      </c>
      <c r="G8" s="279">
        <v>244695856.78</v>
      </c>
    </row>
    <row r="9" spans="1:8" ht="13.15" customHeight="1">
      <c r="A9" s="279" t="s">
        <v>406</v>
      </c>
      <c r="B9" s="279">
        <v>257812412.94999999</v>
      </c>
      <c r="C9" s="279">
        <v>15016672.619999999</v>
      </c>
      <c r="D9" s="279">
        <v>9848879.6799999997</v>
      </c>
      <c r="E9" s="279">
        <v>53434381.890000001</v>
      </c>
      <c r="F9" s="279">
        <v>179512478.75999999</v>
      </c>
      <c r="G9" s="279">
        <v>13246947.49</v>
      </c>
    </row>
    <row r="10" spans="1:8" ht="13.15" customHeight="1">
      <c r="A10" s="279" t="s">
        <v>410</v>
      </c>
      <c r="B10" s="279">
        <v>257720051.38</v>
      </c>
      <c r="C10" s="279">
        <v>13699633</v>
      </c>
      <c r="D10" s="279">
        <v>9070736.6999999993</v>
      </c>
      <c r="E10" s="279">
        <v>49693461.289999999</v>
      </c>
      <c r="F10" s="279">
        <v>185256220.38999999</v>
      </c>
      <c r="G10" s="279">
        <v>13357629.439999999</v>
      </c>
    </row>
    <row r="11" spans="1:8" ht="13.15" customHeight="1">
      <c r="A11" s="279" t="s">
        <v>414</v>
      </c>
      <c r="B11" s="279">
        <v>515081630.19999999</v>
      </c>
      <c r="C11" s="279">
        <v>30484679.710000001</v>
      </c>
      <c r="D11" s="279">
        <v>20211829</v>
      </c>
      <c r="E11" s="279">
        <v>110588061.25</v>
      </c>
      <c r="F11" s="279">
        <v>353797060.24000001</v>
      </c>
      <c r="G11" s="279">
        <v>26355418.699999999</v>
      </c>
    </row>
    <row r="12" spans="1:8" ht="24" customHeight="1">
      <c r="A12" s="279" t="s">
        <v>418</v>
      </c>
      <c r="B12" s="279">
        <v>262054501.41</v>
      </c>
      <c r="C12" s="279">
        <v>15089308</v>
      </c>
      <c r="D12" s="279">
        <v>9985115</v>
      </c>
      <c r="E12" s="279">
        <v>54470399.060000002</v>
      </c>
      <c r="F12" s="279">
        <v>182509679.34999999</v>
      </c>
      <c r="G12" s="279">
        <v>13437320.449999999</v>
      </c>
    </row>
    <row r="13" spans="1:8" ht="13.15" customHeight="1">
      <c r="A13" s="279" t="s">
        <v>422</v>
      </c>
      <c r="B13" s="279">
        <v>14083021875.5</v>
      </c>
      <c r="C13" s="279">
        <v>341677595.86000001</v>
      </c>
      <c r="D13" s="279">
        <v>225769869.53</v>
      </c>
      <c r="E13" s="279">
        <v>1294109227.71</v>
      </c>
      <c r="F13" s="279">
        <v>12221465182.4</v>
      </c>
      <c r="G13" s="279">
        <v>774917118.86000001</v>
      </c>
    </row>
    <row r="14" spans="1:8" ht="13.15" customHeight="1">
      <c r="A14" s="279" t="s">
        <v>426</v>
      </c>
      <c r="B14" s="279">
        <v>1587433502.45</v>
      </c>
      <c r="C14" s="279">
        <v>79782751.200000003</v>
      </c>
      <c r="D14" s="279">
        <v>52953951</v>
      </c>
      <c r="E14" s="279">
        <v>293903132.55000001</v>
      </c>
      <c r="F14" s="279">
        <v>1160793667.7</v>
      </c>
      <c r="G14" s="279">
        <v>82419604.799999997</v>
      </c>
    </row>
    <row r="15" spans="1:8" ht="13.15" customHeight="1">
      <c r="A15" s="279" t="s">
        <v>430</v>
      </c>
      <c r="B15" s="279">
        <v>90139771.819999993</v>
      </c>
      <c r="C15" s="279">
        <v>5033059</v>
      </c>
      <c r="D15" s="279">
        <v>3309156</v>
      </c>
      <c r="E15" s="279">
        <v>17737980.550000001</v>
      </c>
      <c r="F15" s="279">
        <v>64059576.270000003</v>
      </c>
      <c r="G15" s="279">
        <v>4659085.01</v>
      </c>
    </row>
    <row r="16" spans="1:8" ht="13.15" customHeight="1">
      <c r="A16" s="279" t="s">
        <v>434</v>
      </c>
      <c r="B16" s="279">
        <v>1986776379.1300001</v>
      </c>
      <c r="C16" s="279">
        <v>79845201.260000005</v>
      </c>
      <c r="D16" s="279">
        <v>52971126</v>
      </c>
      <c r="E16" s="279">
        <v>295426894.05000001</v>
      </c>
      <c r="F16" s="279">
        <v>1558533157.8199999</v>
      </c>
      <c r="G16" s="279">
        <v>105285889.56999999</v>
      </c>
    </row>
    <row r="17" spans="1:7" ht="24" customHeight="1">
      <c r="A17" s="279" t="s">
        <v>438</v>
      </c>
      <c r="B17" s="279">
        <v>91037113.879999995</v>
      </c>
      <c r="C17" s="279">
        <v>5254255</v>
      </c>
      <c r="D17" s="279">
        <v>3471460</v>
      </c>
      <c r="E17" s="279">
        <v>19190421.699999999</v>
      </c>
      <c r="F17" s="279">
        <v>63120977.18</v>
      </c>
      <c r="G17" s="279">
        <v>4656846.16</v>
      </c>
    </row>
    <row r="18" spans="1:7" ht="13.15" customHeight="1">
      <c r="A18" s="279" t="s">
        <v>442</v>
      </c>
      <c r="B18" s="279">
        <v>849732739.98000002</v>
      </c>
      <c r="C18" s="279">
        <v>33910114</v>
      </c>
      <c r="D18" s="279">
        <v>22523662</v>
      </c>
      <c r="E18" s="279">
        <v>126635954.01000001</v>
      </c>
      <c r="F18" s="279">
        <v>666663009.97000003</v>
      </c>
      <c r="G18" s="279">
        <v>44962892.530000001</v>
      </c>
    </row>
    <row r="19" spans="1:7" ht="13.15" customHeight="1">
      <c r="A19" s="279" t="s">
        <v>446</v>
      </c>
      <c r="B19" s="279">
        <v>191753981.47999999</v>
      </c>
      <c r="C19" s="279">
        <v>13571305.23</v>
      </c>
      <c r="D19" s="279">
        <v>8910711.5500000007</v>
      </c>
      <c r="E19" s="279">
        <v>46442841.32</v>
      </c>
      <c r="F19" s="279">
        <v>122829123.38</v>
      </c>
      <c r="G19" s="279">
        <v>9713940.5</v>
      </c>
    </row>
    <row r="20" spans="1:7" ht="13.15" customHeight="1">
      <c r="A20" s="279" t="s">
        <v>450</v>
      </c>
      <c r="B20" s="279">
        <v>221599624.36000001</v>
      </c>
      <c r="C20" s="279">
        <v>13164465.92</v>
      </c>
      <c r="D20" s="279">
        <v>8714821.5399999991</v>
      </c>
      <c r="E20" s="279">
        <v>47047537.460000001</v>
      </c>
      <c r="F20" s="279">
        <v>152672799.44</v>
      </c>
      <c r="G20" s="279">
        <v>11369951.48</v>
      </c>
    </row>
    <row r="21" spans="1:7" ht="13.15" customHeight="1">
      <c r="A21" s="279" t="s">
        <v>454</v>
      </c>
      <c r="B21" s="279">
        <v>204875671.24000001</v>
      </c>
      <c r="C21" s="279">
        <v>13443887</v>
      </c>
      <c r="D21" s="279">
        <v>8915904</v>
      </c>
      <c r="E21" s="279">
        <v>47984843.469999999</v>
      </c>
      <c r="F21" s="279">
        <v>134531036.77000001</v>
      </c>
      <c r="G21" s="279">
        <v>10412894.24</v>
      </c>
    </row>
    <row r="22" spans="1:7" ht="24" customHeight="1">
      <c r="A22" s="279" t="s">
        <v>458</v>
      </c>
      <c r="B22" s="279">
        <v>945709769.84000003</v>
      </c>
      <c r="C22" s="279">
        <v>53308425</v>
      </c>
      <c r="D22" s="279">
        <v>35356689</v>
      </c>
      <c r="E22" s="279">
        <v>193252680.24000001</v>
      </c>
      <c r="F22" s="279">
        <v>663791975.60000002</v>
      </c>
      <c r="G22" s="279">
        <v>48654819.939999998</v>
      </c>
    </row>
    <row r="23" spans="1:7" ht="13.15" customHeight="1">
      <c r="A23" s="279" t="s">
        <v>460</v>
      </c>
      <c r="B23" s="279">
        <v>613333050.87</v>
      </c>
      <c r="C23" s="279">
        <v>32259540.809999999</v>
      </c>
      <c r="D23" s="279">
        <v>21439334</v>
      </c>
      <c r="E23" s="279">
        <v>118726738.09999999</v>
      </c>
      <c r="F23" s="279">
        <v>440907437.95999998</v>
      </c>
      <c r="G23" s="279">
        <v>31884449.760000002</v>
      </c>
    </row>
    <row r="24" spans="1:7" ht="13.15" customHeight="1">
      <c r="A24" s="279" t="s">
        <v>463</v>
      </c>
      <c r="B24" s="279">
        <v>370581606.47000003</v>
      </c>
      <c r="C24" s="279">
        <v>25038055.18</v>
      </c>
      <c r="D24" s="279">
        <v>16518012</v>
      </c>
      <c r="E24" s="279">
        <v>88985005.959999993</v>
      </c>
      <c r="F24" s="279">
        <v>240040533.33000001</v>
      </c>
      <c r="G24" s="279">
        <v>18639682.609999999</v>
      </c>
    </row>
    <row r="25" spans="1:7" ht="13.15" customHeight="1">
      <c r="A25" s="279" t="s">
        <v>466</v>
      </c>
      <c r="B25" s="279">
        <v>152119882</v>
      </c>
      <c r="C25" s="279">
        <v>7570122</v>
      </c>
      <c r="D25" s="279">
        <v>5015044</v>
      </c>
      <c r="E25" s="279">
        <v>27606500</v>
      </c>
      <c r="F25" s="279">
        <v>111928216</v>
      </c>
      <c r="G25" s="279">
        <v>7968400.6299999999</v>
      </c>
    </row>
    <row r="26" spans="1:7" ht="13.15" customHeight="1">
      <c r="A26" s="279" t="s">
        <v>469</v>
      </c>
      <c r="B26" s="279">
        <v>159506021.94</v>
      </c>
      <c r="C26" s="279">
        <v>10429913</v>
      </c>
      <c r="D26" s="279">
        <v>6866525</v>
      </c>
      <c r="E26" s="279">
        <v>36539882.770000003</v>
      </c>
      <c r="F26" s="279">
        <v>105669701.17</v>
      </c>
      <c r="G26" s="279">
        <v>8105125.0899999999</v>
      </c>
    </row>
    <row r="27" spans="1:7" ht="24" customHeight="1">
      <c r="A27" s="279" t="s">
        <v>471</v>
      </c>
      <c r="B27" s="279">
        <v>10223852410.059999</v>
      </c>
      <c r="C27" s="279">
        <v>390809804.48000002</v>
      </c>
      <c r="D27" s="279">
        <v>259512159.58000001</v>
      </c>
      <c r="E27" s="279">
        <v>1449862377.3299999</v>
      </c>
      <c r="F27" s="279">
        <v>8123668068.6700001</v>
      </c>
      <c r="G27" s="279">
        <v>545217671.24000001</v>
      </c>
    </row>
    <row r="28" spans="1:7" ht="13.15" customHeight="1">
      <c r="A28" s="279" t="s">
        <v>474</v>
      </c>
      <c r="B28" s="279">
        <v>525048071.31999999</v>
      </c>
      <c r="C28" s="279">
        <v>16995747.559999999</v>
      </c>
      <c r="D28" s="279">
        <v>11232446.310000001</v>
      </c>
      <c r="E28" s="279">
        <v>63426096.950000003</v>
      </c>
      <c r="F28" s="279">
        <v>433393780.5</v>
      </c>
      <c r="G28" s="279">
        <v>28303380.370000001</v>
      </c>
    </row>
    <row r="29" spans="1:7" ht="13.15" customHeight="1">
      <c r="A29" s="279" t="s">
        <v>476</v>
      </c>
      <c r="B29" s="279">
        <v>81326322.730000004</v>
      </c>
      <c r="C29" s="279">
        <v>4748315</v>
      </c>
      <c r="D29" s="279">
        <v>3150492.47</v>
      </c>
      <c r="E29" s="279">
        <v>17552623.690000001</v>
      </c>
      <c r="F29" s="279">
        <v>55874891.57</v>
      </c>
      <c r="G29" s="279">
        <v>4150791.69</v>
      </c>
    </row>
    <row r="30" spans="1:7" ht="13.15" customHeight="1">
      <c r="A30" s="279" t="s">
        <v>479</v>
      </c>
      <c r="B30" s="279">
        <v>1241265303.7</v>
      </c>
      <c r="C30" s="279">
        <v>53695793.700000003</v>
      </c>
      <c r="D30" s="279">
        <v>35648656.130000003</v>
      </c>
      <c r="E30" s="279">
        <v>197885920.31999999</v>
      </c>
      <c r="F30" s="279">
        <v>954034933.54999995</v>
      </c>
      <c r="G30" s="279">
        <v>65589351.509999998</v>
      </c>
    </row>
    <row r="31" spans="1:7" ht="13.15" customHeight="1">
      <c r="A31" s="279" t="s">
        <v>482</v>
      </c>
      <c r="B31" s="279">
        <v>138115451.56</v>
      </c>
      <c r="C31" s="279">
        <v>9053039</v>
      </c>
      <c r="D31" s="279">
        <v>5976635</v>
      </c>
      <c r="E31" s="279">
        <v>32293706.039999999</v>
      </c>
      <c r="F31" s="279">
        <v>90792071.519999996</v>
      </c>
      <c r="G31" s="279">
        <v>7020644.21</v>
      </c>
    </row>
    <row r="32" spans="1:7" ht="24" customHeight="1">
      <c r="A32" s="279" t="s">
        <v>485</v>
      </c>
      <c r="B32" s="279">
        <v>140356650.52000001</v>
      </c>
      <c r="C32" s="279">
        <v>9222851.5500000007</v>
      </c>
      <c r="D32" s="279">
        <v>6095713</v>
      </c>
      <c r="E32" s="279">
        <v>33040156.829999998</v>
      </c>
      <c r="F32" s="279">
        <v>91997929.140000001</v>
      </c>
      <c r="G32" s="279">
        <v>7087387.1399999997</v>
      </c>
    </row>
    <row r="33" spans="1:8" ht="13.15" customHeight="1">
      <c r="A33" s="279" t="s">
        <v>488</v>
      </c>
      <c r="B33" s="279">
        <v>499927777.22000003</v>
      </c>
      <c r="C33" s="279">
        <v>28371188</v>
      </c>
      <c r="D33" s="279">
        <v>18808115.399999999</v>
      </c>
      <c r="E33" s="279">
        <v>102995282.34999999</v>
      </c>
      <c r="F33" s="279">
        <v>349753191.47000003</v>
      </c>
      <c r="G33" s="279">
        <v>25827408.899999999</v>
      </c>
    </row>
    <row r="34" spans="1:8" ht="13.15" customHeight="1">
      <c r="A34" s="279" t="s">
        <v>491</v>
      </c>
      <c r="B34" s="279">
        <v>189535695.94</v>
      </c>
      <c r="C34" s="279">
        <v>11256792</v>
      </c>
      <c r="D34" s="279">
        <v>7438822</v>
      </c>
      <c r="E34" s="279">
        <v>40081142.960000001</v>
      </c>
      <c r="F34" s="279">
        <v>130758938.98</v>
      </c>
      <c r="G34" s="279">
        <v>9767412.2599999998</v>
      </c>
    </row>
    <row r="35" spans="1:8" ht="13.15" customHeight="1">
      <c r="A35" s="525" t="s">
        <v>494</v>
      </c>
      <c r="B35" s="525">
        <v>57227937416.129997</v>
      </c>
      <c r="C35" s="525">
        <v>1336894755.97</v>
      </c>
      <c r="D35" s="525">
        <v>886047454.64999998</v>
      </c>
      <c r="E35" s="525">
        <v>5026428852.0100002</v>
      </c>
      <c r="F35" s="525">
        <v>49978566353.5</v>
      </c>
      <c r="G35" s="525">
        <v>3142599151.9299998</v>
      </c>
    </row>
    <row r="36" spans="1:8" ht="13.15" customHeight="1">
      <c r="A36" s="525" t="s">
        <v>497</v>
      </c>
      <c r="B36" s="525">
        <v>2907262438.8800001</v>
      </c>
      <c r="C36" s="525">
        <v>81907642.379999995</v>
      </c>
      <c r="D36" s="525">
        <v>54360260.32</v>
      </c>
      <c r="E36" s="525">
        <v>307719856.64999998</v>
      </c>
      <c r="F36" s="525">
        <v>2463274679.5300002</v>
      </c>
      <c r="G36" s="525">
        <v>157969784.63999999</v>
      </c>
      <c r="H36" s="830"/>
    </row>
    <row r="37" spans="1:8" ht="24" customHeight="1">
      <c r="A37" s="279" t="s">
        <v>500</v>
      </c>
      <c r="B37" s="279">
        <v>245227446.06</v>
      </c>
      <c r="C37" s="279">
        <v>13808518</v>
      </c>
      <c r="D37" s="279">
        <v>9169587</v>
      </c>
      <c r="E37" s="279">
        <v>50606347.039999999</v>
      </c>
      <c r="F37" s="279">
        <v>171642994.02000001</v>
      </c>
      <c r="G37" s="279">
        <v>12561363.699999999</v>
      </c>
    </row>
    <row r="38" spans="1:8" ht="13.15" customHeight="1">
      <c r="A38" s="279" t="s">
        <v>502</v>
      </c>
      <c r="B38" s="279">
        <v>636829626.72000003</v>
      </c>
      <c r="C38" s="279">
        <v>28243238.75</v>
      </c>
      <c r="D38" s="279">
        <v>18760213</v>
      </c>
      <c r="E38" s="279">
        <v>105208795.86</v>
      </c>
      <c r="F38" s="279">
        <v>484617379.11000001</v>
      </c>
      <c r="G38" s="279">
        <v>33469787.300000001</v>
      </c>
    </row>
    <row r="39" spans="1:8" ht="13.15" customHeight="1">
      <c r="A39" s="279" t="s">
        <v>505</v>
      </c>
      <c r="B39" s="279">
        <v>1026838264.17</v>
      </c>
      <c r="C39" s="279">
        <v>50481875.020000003</v>
      </c>
      <c r="D39" s="279">
        <v>33471547</v>
      </c>
      <c r="E39" s="279">
        <v>183819504.49000001</v>
      </c>
      <c r="F39" s="279">
        <v>759065337.65999997</v>
      </c>
      <c r="G39" s="279">
        <v>53565528.229999997</v>
      </c>
    </row>
    <row r="40" spans="1:8" ht="13.15" customHeight="1">
      <c r="A40" s="279" t="s">
        <v>507</v>
      </c>
      <c r="B40" s="279">
        <v>2429489658.5799999</v>
      </c>
      <c r="C40" s="279">
        <v>101400459.14</v>
      </c>
      <c r="D40" s="279">
        <v>67242040.299999997</v>
      </c>
      <c r="E40" s="279">
        <v>375835140.81</v>
      </c>
      <c r="F40" s="279">
        <v>1885012018.3299999</v>
      </c>
      <c r="G40" s="279">
        <v>128568647.69</v>
      </c>
    </row>
    <row r="41" spans="1:8" ht="13.15" customHeight="1">
      <c r="A41" s="279" t="s">
        <v>510</v>
      </c>
      <c r="B41" s="279">
        <v>278006935.55000001</v>
      </c>
      <c r="C41" s="279">
        <v>15922410</v>
      </c>
      <c r="D41" s="279">
        <v>10555979</v>
      </c>
      <c r="E41" s="279">
        <v>58342766.100000001</v>
      </c>
      <c r="F41" s="279">
        <v>193185780.44999999</v>
      </c>
      <c r="G41" s="279">
        <v>14258109.289999999</v>
      </c>
    </row>
    <row r="42" spans="1:8" ht="17.100000000000001" customHeight="1">
      <c r="A42" s="526" t="s">
        <v>717</v>
      </c>
      <c r="B42" s="521"/>
      <c r="C42" s="521"/>
      <c r="D42" s="521"/>
      <c r="E42" s="521"/>
      <c r="F42" s="521"/>
      <c r="G42" s="521"/>
      <c r="H42" s="830"/>
    </row>
    <row r="43" spans="1:8" ht="15" customHeight="1">
      <c r="A43" s="462" t="s">
        <v>706</v>
      </c>
      <c r="B43" s="521"/>
      <c r="C43" s="521"/>
      <c r="D43" s="521"/>
      <c r="E43" s="521"/>
      <c r="F43" s="521"/>
      <c r="G43" s="521"/>
    </row>
    <row r="44" spans="1:8" ht="15" customHeight="1">
      <c r="A44" s="462" t="str">
        <f>A3</f>
        <v>Taxable Year 2019</v>
      </c>
      <c r="B44" s="520"/>
      <c r="C44" s="520"/>
      <c r="D44" s="520"/>
      <c r="E44" s="520"/>
      <c r="F44" s="520"/>
      <c r="G44" s="520"/>
    </row>
    <row r="45" spans="1:8" ht="6" customHeight="1" thickBot="1">
      <c r="A45" s="464"/>
      <c r="B45" s="521"/>
      <c r="C45" s="521"/>
      <c r="D45" s="521"/>
      <c r="E45" s="521"/>
      <c r="F45" s="521"/>
      <c r="G45" s="521"/>
    </row>
    <row r="46" spans="1:8">
      <c r="A46" s="522"/>
      <c r="B46" s="522" t="s">
        <v>707</v>
      </c>
      <c r="C46" s="522" t="s">
        <v>708</v>
      </c>
      <c r="D46" s="522" t="s">
        <v>709</v>
      </c>
      <c r="E46" s="522" t="s">
        <v>709</v>
      </c>
      <c r="F46" s="522" t="s">
        <v>709</v>
      </c>
      <c r="G46" s="522" t="s">
        <v>710</v>
      </c>
      <c r="H46" s="830"/>
    </row>
    <row r="47" spans="1:8" ht="13.15" customHeight="1">
      <c r="A47" s="523" t="s">
        <v>23</v>
      </c>
      <c r="B47" s="523" t="s">
        <v>711</v>
      </c>
      <c r="C47" s="523" t="s">
        <v>712</v>
      </c>
      <c r="D47" s="523" t="s">
        <v>713</v>
      </c>
      <c r="E47" s="523" t="s">
        <v>714</v>
      </c>
      <c r="F47" s="523" t="s">
        <v>715</v>
      </c>
      <c r="G47" s="523" t="s">
        <v>716</v>
      </c>
    </row>
    <row r="48" spans="1:8" ht="24" customHeight="1">
      <c r="A48" s="279" t="s">
        <v>513</v>
      </c>
      <c r="B48" s="829">
        <v>862126186.09000003</v>
      </c>
      <c r="C48" s="829">
        <v>40413727</v>
      </c>
      <c r="D48" s="829">
        <v>26844007.190000001</v>
      </c>
      <c r="E48" s="829">
        <v>148781258.15000001</v>
      </c>
      <c r="F48" s="829">
        <v>646087193.75</v>
      </c>
      <c r="G48" s="829">
        <v>45153807.390000001</v>
      </c>
    </row>
    <row r="49" spans="1:7" ht="13.15" customHeight="1">
      <c r="A49" s="279" t="s">
        <v>515</v>
      </c>
      <c r="B49" s="520">
        <v>1480239371.8299999</v>
      </c>
      <c r="C49" s="520">
        <v>27458986.989999998</v>
      </c>
      <c r="D49" s="520">
        <v>18226916.800000001</v>
      </c>
      <c r="E49" s="520">
        <v>103885448.66</v>
      </c>
      <c r="F49" s="520">
        <v>1330668019.3800001</v>
      </c>
      <c r="G49" s="520">
        <v>81907365.590000004</v>
      </c>
    </row>
    <row r="50" spans="1:7" ht="13.15" customHeight="1">
      <c r="A50" s="279" t="s">
        <v>517</v>
      </c>
      <c r="B50" s="520">
        <v>186896657.41999999</v>
      </c>
      <c r="C50" s="520">
        <v>12916290.68</v>
      </c>
      <c r="D50" s="520">
        <v>8522366</v>
      </c>
      <c r="E50" s="520">
        <v>46174153.93</v>
      </c>
      <c r="F50" s="520">
        <v>119283846.81</v>
      </c>
      <c r="G50" s="520">
        <v>9382842.1799999997</v>
      </c>
    </row>
    <row r="51" spans="1:7" ht="13.15" customHeight="1">
      <c r="A51" s="279" t="s">
        <v>520</v>
      </c>
      <c r="B51" s="520">
        <v>423772049.86000001</v>
      </c>
      <c r="C51" s="520">
        <v>20819664.149999999</v>
      </c>
      <c r="D51" s="520">
        <v>13812144</v>
      </c>
      <c r="E51" s="520">
        <v>76768120.870000005</v>
      </c>
      <c r="F51" s="520">
        <v>312372120.83999997</v>
      </c>
      <c r="G51" s="520">
        <v>22076811.559999999</v>
      </c>
    </row>
    <row r="52" spans="1:7" ht="13.15" customHeight="1">
      <c r="A52" s="279" t="s">
        <v>523</v>
      </c>
      <c r="B52" s="520">
        <v>189231960.41999999</v>
      </c>
      <c r="C52" s="520">
        <v>11141690.789999999</v>
      </c>
      <c r="D52" s="520">
        <v>7231977.6699999999</v>
      </c>
      <c r="E52" s="520">
        <v>37455981.609999999</v>
      </c>
      <c r="F52" s="520">
        <v>133402310.34999999</v>
      </c>
      <c r="G52" s="520">
        <v>9845071.8000000007</v>
      </c>
    </row>
    <row r="53" spans="1:7" ht="24" customHeight="1">
      <c r="A53" s="279" t="s">
        <v>399</v>
      </c>
      <c r="B53" s="520">
        <v>502951288.60000002</v>
      </c>
      <c r="C53" s="520">
        <v>31409992.690000001</v>
      </c>
      <c r="D53" s="520">
        <v>20731099</v>
      </c>
      <c r="E53" s="520">
        <v>110489385.26000001</v>
      </c>
      <c r="F53" s="520">
        <v>340320811.64999998</v>
      </c>
      <c r="G53" s="520">
        <v>25780106.02</v>
      </c>
    </row>
    <row r="54" spans="1:7" ht="13.15" customHeight="1">
      <c r="A54" s="279" t="s">
        <v>403</v>
      </c>
      <c r="B54" s="520">
        <v>3565681935.2199998</v>
      </c>
      <c r="C54" s="520">
        <v>121479721.90000001</v>
      </c>
      <c r="D54" s="520">
        <v>80675853</v>
      </c>
      <c r="E54" s="520">
        <v>455622208.56</v>
      </c>
      <c r="F54" s="520">
        <v>2907904151.7600002</v>
      </c>
      <c r="G54" s="520">
        <v>191011151.72</v>
      </c>
    </row>
    <row r="55" spans="1:7" ht="13.15" customHeight="1">
      <c r="A55" s="279" t="s">
        <v>407</v>
      </c>
      <c r="B55" s="520">
        <v>10251749273.08</v>
      </c>
      <c r="C55" s="520">
        <v>377682387.63</v>
      </c>
      <c r="D55" s="520">
        <v>250638389.94</v>
      </c>
      <c r="E55" s="520">
        <v>1390557899.1800001</v>
      </c>
      <c r="F55" s="520">
        <v>8232870596.3299999</v>
      </c>
      <c r="G55" s="520">
        <v>549916312.03999996</v>
      </c>
    </row>
    <row r="56" spans="1:7" ht="13.15" customHeight="1">
      <c r="A56" s="279" t="s">
        <v>411</v>
      </c>
      <c r="B56" s="520">
        <v>684202016.12</v>
      </c>
      <c r="C56" s="520">
        <v>47188402</v>
      </c>
      <c r="D56" s="520">
        <v>31154493</v>
      </c>
      <c r="E56" s="520">
        <v>165938479.5</v>
      </c>
      <c r="F56" s="520">
        <v>439920641.62</v>
      </c>
      <c r="G56" s="520">
        <v>34559040.579999998</v>
      </c>
    </row>
    <row r="57" spans="1:7" ht="13.15" customHeight="1">
      <c r="A57" s="279" t="s">
        <v>415</v>
      </c>
      <c r="B57" s="520">
        <v>35420118.560000002</v>
      </c>
      <c r="C57" s="520">
        <v>2017965</v>
      </c>
      <c r="D57" s="520">
        <v>1330272</v>
      </c>
      <c r="E57" s="520">
        <v>7218132.5999999996</v>
      </c>
      <c r="F57" s="520">
        <v>24853748.960000001</v>
      </c>
      <c r="G57" s="520">
        <v>1821946.37</v>
      </c>
    </row>
    <row r="58" spans="1:7" ht="24" customHeight="1">
      <c r="A58" s="279" t="s">
        <v>419</v>
      </c>
      <c r="B58" s="520">
        <v>978268101.23000002</v>
      </c>
      <c r="C58" s="520">
        <v>40881446.979999997</v>
      </c>
      <c r="D58" s="520">
        <v>27099718.93</v>
      </c>
      <c r="E58" s="520">
        <v>150684360.87</v>
      </c>
      <c r="F58" s="520">
        <v>759602574.45000005</v>
      </c>
      <c r="G58" s="520">
        <v>51755371.060000002</v>
      </c>
    </row>
    <row r="59" spans="1:7" ht="13.15" customHeight="1">
      <c r="A59" s="279" t="s">
        <v>423</v>
      </c>
      <c r="B59" s="520">
        <v>2615195344.8699999</v>
      </c>
      <c r="C59" s="520">
        <v>84623288.480000004</v>
      </c>
      <c r="D59" s="520">
        <v>56131595</v>
      </c>
      <c r="E59" s="520">
        <v>314725096.80000001</v>
      </c>
      <c r="F59" s="520">
        <v>2159715364.5900002</v>
      </c>
      <c r="G59" s="520">
        <v>140744051.65000001</v>
      </c>
    </row>
    <row r="60" spans="1:7" ht="13.15" customHeight="1">
      <c r="A60" s="279" t="s">
        <v>427</v>
      </c>
      <c r="B60" s="520">
        <v>139094366.97</v>
      </c>
      <c r="C60" s="520">
        <v>7316326</v>
      </c>
      <c r="D60" s="520">
        <v>4851552</v>
      </c>
      <c r="E60" s="520">
        <v>26683269.390000001</v>
      </c>
      <c r="F60" s="520">
        <v>100243219.58</v>
      </c>
      <c r="G60" s="520">
        <v>7248013.2999999998</v>
      </c>
    </row>
    <row r="61" spans="1:7" ht="13.15" customHeight="1">
      <c r="A61" s="279" t="s">
        <v>431</v>
      </c>
      <c r="B61" s="520">
        <v>753497768.66999996</v>
      </c>
      <c r="C61" s="520">
        <v>29194637</v>
      </c>
      <c r="D61" s="520">
        <v>19296448.969999999</v>
      </c>
      <c r="E61" s="520">
        <v>107686184.90000001</v>
      </c>
      <c r="F61" s="520">
        <v>597320497.79999995</v>
      </c>
      <c r="G61" s="520">
        <v>40152841.600000001</v>
      </c>
    </row>
    <row r="62" spans="1:7" ht="13.15" customHeight="1">
      <c r="A62" s="279" t="s">
        <v>435</v>
      </c>
      <c r="B62" s="520">
        <v>390089418.64999998</v>
      </c>
      <c r="C62" s="520">
        <v>19550176</v>
      </c>
      <c r="D62" s="520">
        <v>12946164</v>
      </c>
      <c r="E62" s="520">
        <v>72426291.709999993</v>
      </c>
      <c r="F62" s="520">
        <v>285166786.94</v>
      </c>
      <c r="G62" s="520">
        <v>20276658.68</v>
      </c>
    </row>
    <row r="63" spans="1:7" ht="24" customHeight="1">
      <c r="A63" s="279" t="s">
        <v>439</v>
      </c>
      <c r="B63" s="520">
        <v>287515572.60000002</v>
      </c>
      <c r="C63" s="520">
        <v>11545077.640000001</v>
      </c>
      <c r="D63" s="520">
        <v>7637847</v>
      </c>
      <c r="E63" s="520">
        <v>41111070.399999999</v>
      </c>
      <c r="F63" s="520">
        <v>227221577.56</v>
      </c>
      <c r="G63" s="520">
        <v>15325846.98</v>
      </c>
    </row>
    <row r="64" spans="1:7" ht="13.15" customHeight="1">
      <c r="A64" s="279" t="s">
        <v>443</v>
      </c>
      <c r="B64" s="520">
        <v>222264247.69999999</v>
      </c>
      <c r="C64" s="520">
        <v>15109012.85</v>
      </c>
      <c r="D64" s="520">
        <v>9975503</v>
      </c>
      <c r="E64" s="520">
        <v>53291101.869999997</v>
      </c>
      <c r="F64" s="520">
        <v>143888629.97999999</v>
      </c>
      <c r="G64" s="520">
        <v>11199109.75</v>
      </c>
    </row>
    <row r="65" spans="1:8" ht="13.15" customHeight="1">
      <c r="A65" s="279" t="s">
        <v>447</v>
      </c>
      <c r="B65" s="520">
        <v>20344951568.299999</v>
      </c>
      <c r="C65" s="520">
        <v>469340230.99000001</v>
      </c>
      <c r="D65" s="520">
        <v>311538367.52999997</v>
      </c>
      <c r="E65" s="520">
        <v>1783916955.6199999</v>
      </c>
      <c r="F65" s="520">
        <v>17780156014.16</v>
      </c>
      <c r="G65" s="520">
        <v>1115290968.3199999</v>
      </c>
    </row>
    <row r="66" spans="1:8" ht="13.15" customHeight="1">
      <c r="A66" s="279" t="s">
        <v>451</v>
      </c>
      <c r="B66" s="520">
        <v>825353780.28999996</v>
      </c>
      <c r="C66" s="520">
        <v>39135876</v>
      </c>
      <c r="D66" s="520">
        <v>26019557</v>
      </c>
      <c r="E66" s="520">
        <v>144736029.12</v>
      </c>
      <c r="F66" s="520">
        <v>615462318.16999996</v>
      </c>
      <c r="G66" s="520">
        <v>43211079.960000001</v>
      </c>
    </row>
    <row r="67" spans="1:8" ht="13.15" customHeight="1">
      <c r="A67" s="279" t="s">
        <v>455</v>
      </c>
      <c r="B67" s="520">
        <v>181302921.05000001</v>
      </c>
      <c r="C67" s="520">
        <v>9613218.4000000004</v>
      </c>
      <c r="D67" s="520">
        <v>6362136</v>
      </c>
      <c r="E67" s="520">
        <v>33879302.850000001</v>
      </c>
      <c r="F67" s="520">
        <v>131448263.8</v>
      </c>
      <c r="G67" s="520">
        <v>9459173.9600000009</v>
      </c>
    </row>
    <row r="68" spans="1:8" ht="24" customHeight="1">
      <c r="A68" s="279" t="s">
        <v>459</v>
      </c>
      <c r="B68" s="520">
        <v>286250429.68000001</v>
      </c>
      <c r="C68" s="520">
        <v>13203430</v>
      </c>
      <c r="D68" s="520">
        <v>8760025</v>
      </c>
      <c r="E68" s="520">
        <v>48870687.619999997</v>
      </c>
      <c r="F68" s="520">
        <v>215416287.06</v>
      </c>
      <c r="G68" s="520">
        <v>15005698.35</v>
      </c>
    </row>
    <row r="69" spans="1:8" ht="13.15" customHeight="1">
      <c r="A69" s="279" t="s">
        <v>461</v>
      </c>
      <c r="B69" s="520">
        <v>210881019.47999999</v>
      </c>
      <c r="C69" s="520">
        <v>9105577</v>
      </c>
      <c r="D69" s="520">
        <v>6040919</v>
      </c>
      <c r="E69" s="520">
        <v>33295683.210000001</v>
      </c>
      <c r="F69" s="520">
        <v>162438840.27000001</v>
      </c>
      <c r="G69" s="520">
        <v>11126103.539999999</v>
      </c>
    </row>
    <row r="70" spans="1:8" ht="13.15" customHeight="1">
      <c r="A70" s="279" t="s">
        <v>464</v>
      </c>
      <c r="B70" s="520">
        <v>491082349.22000003</v>
      </c>
      <c r="C70" s="520">
        <v>29623600.699999999</v>
      </c>
      <c r="D70" s="520">
        <v>19491603.41</v>
      </c>
      <c r="E70" s="520">
        <v>103038935.91</v>
      </c>
      <c r="F70" s="520">
        <v>338928209.19999999</v>
      </c>
      <c r="G70" s="520">
        <v>25279978.68</v>
      </c>
    </row>
    <row r="71" spans="1:8" ht="13.15" customHeight="1">
      <c r="A71" s="525" t="s">
        <v>467</v>
      </c>
      <c r="B71" s="521">
        <v>270548913.83999997</v>
      </c>
      <c r="C71" s="521">
        <v>10470238</v>
      </c>
      <c r="D71" s="521">
        <v>6933191.75</v>
      </c>
      <c r="E71" s="521">
        <v>37836146.549999997</v>
      </c>
      <c r="F71" s="521">
        <v>215309337.53999999</v>
      </c>
      <c r="G71" s="521">
        <v>14433747.779999999</v>
      </c>
    </row>
    <row r="72" spans="1:8" ht="13.15" customHeight="1">
      <c r="A72" s="525" t="s">
        <v>470</v>
      </c>
      <c r="B72" s="521">
        <v>2276906633.04</v>
      </c>
      <c r="C72" s="521">
        <v>84936335.090000004</v>
      </c>
      <c r="D72" s="521">
        <v>56129571.039999999</v>
      </c>
      <c r="E72" s="521">
        <v>309231810.30000001</v>
      </c>
      <c r="F72" s="521">
        <v>1826608916.6099999</v>
      </c>
      <c r="G72" s="521">
        <v>121798869.16</v>
      </c>
      <c r="H72" s="830"/>
    </row>
    <row r="73" spans="1:8" ht="24" customHeight="1">
      <c r="A73" s="279" t="s">
        <v>472</v>
      </c>
      <c r="B73" s="827">
        <v>350379004.04000002</v>
      </c>
      <c r="C73" s="827">
        <v>16159597.07</v>
      </c>
      <c r="D73" s="827">
        <v>10695323</v>
      </c>
      <c r="E73" s="827">
        <v>58789270.719999999</v>
      </c>
      <c r="F73" s="827">
        <v>264734813.25</v>
      </c>
      <c r="G73" s="827">
        <v>18407060.510000002</v>
      </c>
    </row>
    <row r="74" spans="1:8" ht="13.15" customHeight="1">
      <c r="A74" s="279" t="s">
        <v>475</v>
      </c>
      <c r="B74" s="827">
        <v>662911070.75</v>
      </c>
      <c r="C74" s="827">
        <v>25914418</v>
      </c>
      <c r="D74" s="827">
        <v>17191520</v>
      </c>
      <c r="E74" s="827">
        <v>97237880.519999996</v>
      </c>
      <c r="F74" s="827">
        <v>522567252.23000002</v>
      </c>
      <c r="G74" s="827">
        <v>35133728.950000003</v>
      </c>
    </row>
    <row r="75" spans="1:8" ht="13.15" customHeight="1">
      <c r="A75" s="279" t="s">
        <v>477</v>
      </c>
      <c r="B75" s="827">
        <v>216475850.84999999</v>
      </c>
      <c r="C75" s="827">
        <v>11743940</v>
      </c>
      <c r="D75" s="827">
        <v>7712396</v>
      </c>
      <c r="E75" s="827">
        <v>40166749.380000003</v>
      </c>
      <c r="F75" s="827">
        <v>156852765.47</v>
      </c>
      <c r="G75" s="827">
        <v>11287045.84</v>
      </c>
    </row>
    <row r="76" spans="1:8" ht="13.15" customHeight="1">
      <c r="A76" s="279" t="s">
        <v>480</v>
      </c>
      <c r="B76" s="827">
        <v>271869069.01999998</v>
      </c>
      <c r="C76" s="827">
        <v>12318075</v>
      </c>
      <c r="D76" s="827">
        <v>8155537.5</v>
      </c>
      <c r="E76" s="827">
        <v>44344720.25</v>
      </c>
      <c r="F76" s="827">
        <v>207050736.27000001</v>
      </c>
      <c r="G76" s="827">
        <v>14316473.15</v>
      </c>
    </row>
    <row r="77" spans="1:8" ht="13.15" customHeight="1">
      <c r="A77" s="279" t="s">
        <v>483</v>
      </c>
      <c r="B77" s="827">
        <v>198906785.56</v>
      </c>
      <c r="C77" s="827">
        <v>12718099</v>
      </c>
      <c r="D77" s="827">
        <v>8416219</v>
      </c>
      <c r="E77" s="827">
        <v>44828631.789999999</v>
      </c>
      <c r="F77" s="827">
        <v>132943835.77</v>
      </c>
      <c r="G77" s="827">
        <v>10162474.5</v>
      </c>
    </row>
    <row r="78" spans="1:8" ht="24" customHeight="1">
      <c r="A78" s="279" t="s">
        <v>486</v>
      </c>
      <c r="B78" s="827">
        <v>856294517.13</v>
      </c>
      <c r="C78" s="827">
        <v>40719958.159999996</v>
      </c>
      <c r="D78" s="827">
        <v>26975366.690000001</v>
      </c>
      <c r="E78" s="827">
        <v>149880070.91999999</v>
      </c>
      <c r="F78" s="827">
        <v>638719121.36000001</v>
      </c>
      <c r="G78" s="827">
        <v>44905648.880000003</v>
      </c>
    </row>
    <row r="79" spans="1:8" ht="13.15" customHeight="1">
      <c r="A79" s="279" t="s">
        <v>489</v>
      </c>
      <c r="B79" s="827">
        <v>372712612.13</v>
      </c>
      <c r="C79" s="827">
        <v>22864012</v>
      </c>
      <c r="D79" s="827">
        <v>15187842</v>
      </c>
      <c r="E79" s="827">
        <v>82940480.060000002</v>
      </c>
      <c r="F79" s="827">
        <v>251720278.06999999</v>
      </c>
      <c r="G79" s="827">
        <v>19001331.920000002</v>
      </c>
    </row>
    <row r="80" spans="1:8" ht="13.15" customHeight="1">
      <c r="A80" s="279" t="s">
        <v>492</v>
      </c>
      <c r="B80" s="827">
        <v>224632415.44</v>
      </c>
      <c r="C80" s="827">
        <v>14480571.810000001</v>
      </c>
      <c r="D80" s="827">
        <v>9586256.4900000002</v>
      </c>
      <c r="E80" s="827">
        <v>51654707.390000001</v>
      </c>
      <c r="F80" s="827">
        <v>148910879.75</v>
      </c>
      <c r="G80" s="827">
        <v>11392162.960000001</v>
      </c>
    </row>
    <row r="81" spans="1:9" ht="13.15" customHeight="1">
      <c r="A81" s="279" t="s">
        <v>495</v>
      </c>
      <c r="B81" s="827">
        <v>969976326.25999999</v>
      </c>
      <c r="C81" s="827">
        <v>56796733</v>
      </c>
      <c r="D81" s="827">
        <v>37641834</v>
      </c>
      <c r="E81" s="827">
        <v>204109208.94999999</v>
      </c>
      <c r="F81" s="827">
        <v>671428550.30999994</v>
      </c>
      <c r="G81" s="827">
        <v>49812171.619999997</v>
      </c>
    </row>
    <row r="82" spans="1:9" ht="13.15" customHeight="1">
      <c r="A82" s="279" t="s">
        <v>498</v>
      </c>
      <c r="B82" s="827">
        <v>1291134638.8599999</v>
      </c>
      <c r="C82" s="827">
        <v>32882409</v>
      </c>
      <c r="D82" s="827">
        <v>21864139</v>
      </c>
      <c r="E82" s="827">
        <v>123777154.83</v>
      </c>
      <c r="F82" s="827">
        <v>1112610936.03</v>
      </c>
      <c r="G82" s="827">
        <v>70394293.870000005</v>
      </c>
    </row>
    <row r="83" spans="1:9" s="528" customFormat="1" ht="17.100000000000001" customHeight="1">
      <c r="A83" s="526" t="s">
        <v>717</v>
      </c>
      <c r="B83" s="527"/>
      <c r="C83" s="527"/>
      <c r="D83" s="527"/>
      <c r="E83" s="527"/>
      <c r="F83" s="527"/>
      <c r="G83" s="527"/>
      <c r="H83" s="830"/>
      <c r="I83" s="822"/>
    </row>
    <row r="84" spans="1:9" ht="15" customHeight="1">
      <c r="A84" s="462" t="s">
        <v>706</v>
      </c>
      <c r="B84" s="521"/>
      <c r="C84" s="521"/>
      <c r="D84" s="521"/>
      <c r="E84" s="521"/>
      <c r="F84" s="521"/>
      <c r="G84" s="521"/>
    </row>
    <row r="85" spans="1:9" ht="15" customHeight="1">
      <c r="A85" s="462" t="str">
        <f>A3</f>
        <v>Taxable Year 2019</v>
      </c>
      <c r="B85" s="520"/>
      <c r="C85" s="520"/>
      <c r="D85" s="520"/>
      <c r="E85" s="520"/>
      <c r="F85" s="520"/>
      <c r="G85" s="520"/>
    </row>
    <row r="86" spans="1:9" ht="6" customHeight="1" thickBot="1">
      <c r="A86" s="464"/>
      <c r="B86" s="521"/>
      <c r="C86" s="521"/>
      <c r="D86" s="521"/>
      <c r="E86" s="521"/>
      <c r="F86" s="521"/>
      <c r="G86" s="521"/>
    </row>
    <row r="87" spans="1:9">
      <c r="A87" s="522"/>
      <c r="B87" s="522" t="s">
        <v>707</v>
      </c>
      <c r="C87" s="522" t="s">
        <v>708</v>
      </c>
      <c r="D87" s="522" t="s">
        <v>709</v>
      </c>
      <c r="E87" s="522" t="s">
        <v>709</v>
      </c>
      <c r="F87" s="522" t="s">
        <v>709</v>
      </c>
      <c r="G87" s="522" t="s">
        <v>710</v>
      </c>
      <c r="H87" s="830"/>
    </row>
    <row r="88" spans="1:9" ht="13.15" customHeight="1">
      <c r="A88" s="523" t="s">
        <v>23</v>
      </c>
      <c r="B88" s="523" t="s">
        <v>711</v>
      </c>
      <c r="C88" s="523" t="s">
        <v>712</v>
      </c>
      <c r="D88" s="523" t="s">
        <v>713</v>
      </c>
      <c r="E88" s="523" t="s">
        <v>714</v>
      </c>
      <c r="F88" s="523" t="s">
        <v>715</v>
      </c>
      <c r="G88" s="523" t="s">
        <v>716</v>
      </c>
    </row>
    <row r="89" spans="1:9" ht="24" customHeight="1">
      <c r="A89" s="279" t="s">
        <v>501</v>
      </c>
      <c r="B89" s="827">
        <v>276102499.75999999</v>
      </c>
      <c r="C89" s="827">
        <v>17222261.140000001</v>
      </c>
      <c r="D89" s="827">
        <v>11398819</v>
      </c>
      <c r="E89" s="827">
        <v>60862642.899999999</v>
      </c>
      <c r="F89" s="827">
        <v>186618776.72</v>
      </c>
      <c r="G89" s="827">
        <v>14140778.949999999</v>
      </c>
    </row>
    <row r="90" spans="1:9" ht="13.15" customHeight="1">
      <c r="A90" s="279" t="s">
        <v>503</v>
      </c>
      <c r="B90" s="827">
        <v>691187431.05999994</v>
      </c>
      <c r="C90" s="827">
        <v>33225311</v>
      </c>
      <c r="D90" s="827">
        <v>21941138.539999999</v>
      </c>
      <c r="E90" s="827">
        <v>120325880.78</v>
      </c>
      <c r="F90" s="827">
        <v>515695100.74000001</v>
      </c>
      <c r="G90" s="827">
        <v>36241420.700000003</v>
      </c>
    </row>
    <row r="91" spans="1:9" ht="13.15" customHeight="1">
      <c r="A91" s="279" t="s">
        <v>506</v>
      </c>
      <c r="B91" s="827">
        <v>14195619476.200001</v>
      </c>
      <c r="C91" s="827">
        <v>529579973.49000001</v>
      </c>
      <c r="D91" s="827">
        <v>351526374.26999998</v>
      </c>
      <c r="E91" s="827">
        <v>1967148446.22</v>
      </c>
      <c r="F91" s="827">
        <v>11347364682.219999</v>
      </c>
      <c r="G91" s="827">
        <v>759477855.73000002</v>
      </c>
    </row>
    <row r="92" spans="1:9" ht="13.15" customHeight="1">
      <c r="A92" s="279" t="s">
        <v>508</v>
      </c>
      <c r="B92" s="827">
        <v>553257684.94000006</v>
      </c>
      <c r="C92" s="827">
        <v>31564576.809999999</v>
      </c>
      <c r="D92" s="827">
        <v>20928045</v>
      </c>
      <c r="E92" s="827">
        <v>115075490.20999999</v>
      </c>
      <c r="F92" s="827">
        <v>385689572.92000002</v>
      </c>
      <c r="G92" s="827">
        <v>28436954.489999998</v>
      </c>
    </row>
    <row r="93" spans="1:9" ht="13.15" customHeight="1">
      <c r="A93" s="279" t="s">
        <v>511</v>
      </c>
      <c r="B93" s="827">
        <v>242649140.97999999</v>
      </c>
      <c r="C93" s="827">
        <v>7774996</v>
      </c>
      <c r="D93" s="827">
        <v>5150693</v>
      </c>
      <c r="E93" s="827">
        <v>28804749.75</v>
      </c>
      <c r="F93" s="827">
        <v>200918702.22999999</v>
      </c>
      <c r="G93" s="827">
        <v>13100425.6</v>
      </c>
    </row>
    <row r="94" spans="1:9" ht="24" customHeight="1">
      <c r="A94" s="279" t="s">
        <v>441</v>
      </c>
      <c r="B94" s="828">
        <v>204410998.28</v>
      </c>
      <c r="C94" s="828">
        <v>12446158.199999999</v>
      </c>
      <c r="D94" s="828">
        <v>7629251.1200000001</v>
      </c>
      <c r="E94" s="828">
        <v>37976608.630000003</v>
      </c>
      <c r="F94" s="828">
        <v>146358980.33000001</v>
      </c>
      <c r="G94" s="828">
        <v>10622818.34</v>
      </c>
    </row>
    <row r="95" spans="1:9" ht="13.15" customHeight="1">
      <c r="A95" s="279" t="s">
        <v>445</v>
      </c>
      <c r="B95" s="827">
        <v>2476400188.2800002</v>
      </c>
      <c r="C95" s="827">
        <v>103680888.89</v>
      </c>
      <c r="D95" s="827">
        <v>68695185.219999999</v>
      </c>
      <c r="E95" s="827">
        <v>383676812.98000002</v>
      </c>
      <c r="F95" s="827">
        <v>1920347301.1900001</v>
      </c>
      <c r="G95" s="827">
        <v>130889027.23999999</v>
      </c>
    </row>
    <row r="96" spans="1:9" ht="13.15" customHeight="1">
      <c r="A96" s="279" t="s">
        <v>518</v>
      </c>
      <c r="B96" s="827">
        <v>424052064.68000001</v>
      </c>
      <c r="C96" s="827">
        <v>21165129</v>
      </c>
      <c r="D96" s="827">
        <v>14032779.529999999</v>
      </c>
      <c r="E96" s="827">
        <v>76968864.719999999</v>
      </c>
      <c r="F96" s="827">
        <v>311885291.43000001</v>
      </c>
      <c r="G96" s="827">
        <v>22077891.84</v>
      </c>
    </row>
    <row r="97" spans="1:8" ht="13.15" customHeight="1">
      <c r="A97" s="279" t="s">
        <v>521</v>
      </c>
      <c r="B97" s="827">
        <v>1803355396.53</v>
      </c>
      <c r="C97" s="827">
        <v>85547892.209999993</v>
      </c>
      <c r="D97" s="827">
        <v>56790879.229999997</v>
      </c>
      <c r="E97" s="827">
        <v>316181220.92000002</v>
      </c>
      <c r="F97" s="827">
        <v>1344835404.1700001</v>
      </c>
      <c r="G97" s="827">
        <v>94182251.299999997</v>
      </c>
    </row>
    <row r="98" spans="1:8" ht="13.15" customHeight="1">
      <c r="A98" s="279" t="s">
        <v>524</v>
      </c>
      <c r="B98" s="828">
        <v>328377037.64999998</v>
      </c>
      <c r="C98" s="828">
        <v>20114948.829999998</v>
      </c>
      <c r="D98" s="828">
        <v>13340222</v>
      </c>
      <c r="E98" s="828">
        <v>72924432.819999993</v>
      </c>
      <c r="F98" s="828">
        <v>221997434</v>
      </c>
      <c r="G98" s="828">
        <v>16706158.34</v>
      </c>
    </row>
    <row r="99" spans="1:8" ht="24" customHeight="1">
      <c r="A99" s="279" t="s">
        <v>400</v>
      </c>
      <c r="B99" s="520">
        <v>267242179.5</v>
      </c>
      <c r="C99" s="520">
        <v>17596963.84</v>
      </c>
      <c r="D99" s="520">
        <v>11540420.4</v>
      </c>
      <c r="E99" s="520">
        <v>61831318.380000003</v>
      </c>
      <c r="F99" s="520">
        <v>176273476.88</v>
      </c>
      <c r="G99" s="520">
        <v>13533685.23</v>
      </c>
    </row>
    <row r="100" spans="1:8" ht="13.15" customHeight="1">
      <c r="A100" s="279" t="s">
        <v>404</v>
      </c>
      <c r="B100" s="520">
        <v>870144418.26999998</v>
      </c>
      <c r="C100" s="520">
        <v>46816397.700000003</v>
      </c>
      <c r="D100" s="520">
        <v>31088069</v>
      </c>
      <c r="E100" s="520">
        <v>171650560.63</v>
      </c>
      <c r="F100" s="520">
        <v>620589390.94000006</v>
      </c>
      <c r="G100" s="520">
        <v>45026472.140000001</v>
      </c>
    </row>
    <row r="101" spans="1:8" ht="13.15" customHeight="1">
      <c r="A101" s="279" t="s">
        <v>408</v>
      </c>
      <c r="B101" s="520">
        <v>380114978.93000001</v>
      </c>
      <c r="C101" s="520">
        <v>25165266.670000002</v>
      </c>
      <c r="D101" s="520">
        <v>16698495</v>
      </c>
      <c r="E101" s="520">
        <v>89800507.189999998</v>
      </c>
      <c r="F101" s="520">
        <v>248450710.06999999</v>
      </c>
      <c r="G101" s="520">
        <v>19173801.690000001</v>
      </c>
    </row>
    <row r="102" spans="1:8" ht="13.15" customHeight="1">
      <c r="A102" s="279" t="s">
        <v>412</v>
      </c>
      <c r="B102" s="520">
        <v>315430437.99000001</v>
      </c>
      <c r="C102" s="520">
        <v>17709171</v>
      </c>
      <c r="D102" s="520">
        <v>11692097.41</v>
      </c>
      <c r="E102" s="520">
        <v>63494645.450000003</v>
      </c>
      <c r="F102" s="520">
        <v>222534524.13</v>
      </c>
      <c r="G102" s="520">
        <v>16278257.58</v>
      </c>
    </row>
    <row r="103" spans="1:8" ht="13.15" customHeight="1">
      <c r="A103" s="279" t="s">
        <v>416</v>
      </c>
      <c r="B103" s="520">
        <v>3637608240.7800002</v>
      </c>
      <c r="C103" s="520">
        <v>148839239.71000001</v>
      </c>
      <c r="D103" s="520">
        <v>98904764</v>
      </c>
      <c r="E103" s="520">
        <v>550414956.55999994</v>
      </c>
      <c r="F103" s="520">
        <v>2839449280.5100002</v>
      </c>
      <c r="G103" s="520">
        <v>193127037.61000001</v>
      </c>
    </row>
    <row r="104" spans="1:8" ht="24" customHeight="1">
      <c r="A104" s="279" t="s">
        <v>420</v>
      </c>
      <c r="B104" s="520">
        <v>4503266671.7299995</v>
      </c>
      <c r="C104" s="520">
        <v>161830001.40000001</v>
      </c>
      <c r="D104" s="520">
        <v>107463646.29000001</v>
      </c>
      <c r="E104" s="520">
        <v>602826602.05999994</v>
      </c>
      <c r="F104" s="520">
        <v>3631146421.98</v>
      </c>
      <c r="G104" s="520">
        <v>241239554.81999999</v>
      </c>
    </row>
    <row r="105" spans="1:8" ht="13.15" customHeight="1">
      <c r="A105" s="279" t="s">
        <v>424</v>
      </c>
      <c r="B105" s="520">
        <v>121935481.62</v>
      </c>
      <c r="C105" s="520">
        <v>7307613</v>
      </c>
      <c r="D105" s="520">
        <v>4798202.0999999996</v>
      </c>
      <c r="E105" s="520">
        <v>25675292.07</v>
      </c>
      <c r="F105" s="520">
        <v>84154374.450000003</v>
      </c>
      <c r="G105" s="520">
        <v>6276763.2599999998</v>
      </c>
    </row>
    <row r="106" spans="1:8" ht="13.15" customHeight="1">
      <c r="A106" s="279" t="s">
        <v>428</v>
      </c>
      <c r="B106" s="520">
        <v>130099784.27</v>
      </c>
      <c r="C106" s="520">
        <v>8502812.9000000004</v>
      </c>
      <c r="D106" s="520">
        <v>5609458</v>
      </c>
      <c r="E106" s="520">
        <v>29626056.899999999</v>
      </c>
      <c r="F106" s="520">
        <v>86361456.469999999</v>
      </c>
      <c r="G106" s="520">
        <v>6652423.9500000002</v>
      </c>
    </row>
    <row r="107" spans="1:8" ht="13.15" customHeight="1">
      <c r="A107" s="525" t="s">
        <v>432</v>
      </c>
      <c r="B107" s="521">
        <v>581628016.33000004</v>
      </c>
      <c r="C107" s="521">
        <v>32369972.379999999</v>
      </c>
      <c r="D107" s="521">
        <v>21420952.82</v>
      </c>
      <c r="E107" s="521">
        <v>116442248.28</v>
      </c>
      <c r="F107" s="521">
        <v>411394842.85000002</v>
      </c>
      <c r="G107" s="521">
        <v>29995716.43</v>
      </c>
    </row>
    <row r="108" spans="1:8" ht="13.15" customHeight="1">
      <c r="A108" s="525" t="s">
        <v>436</v>
      </c>
      <c r="B108" s="521">
        <v>924358428.83000004</v>
      </c>
      <c r="C108" s="521">
        <v>43829161.5</v>
      </c>
      <c r="D108" s="521">
        <v>29087607.289999999</v>
      </c>
      <c r="E108" s="521">
        <v>161860208.94999999</v>
      </c>
      <c r="F108" s="521">
        <v>689581451.09000003</v>
      </c>
      <c r="G108" s="521">
        <v>48564342.770000003</v>
      </c>
      <c r="H108" s="830"/>
    </row>
    <row r="109" spans="1:8" ht="24" customHeight="1">
      <c r="A109" s="279" t="s">
        <v>440</v>
      </c>
      <c r="B109" s="459">
        <v>1020979226.05</v>
      </c>
      <c r="C109" s="459">
        <v>54789781.340000004</v>
      </c>
      <c r="D109" s="459">
        <v>35853102</v>
      </c>
      <c r="E109" s="459">
        <v>192230089.38</v>
      </c>
      <c r="F109" s="459">
        <v>738106253.33000004</v>
      </c>
      <c r="G109" s="459">
        <v>53001212.590000004</v>
      </c>
    </row>
    <row r="110" spans="1:8" ht="13.15" customHeight="1">
      <c r="A110" s="279" t="s">
        <v>444</v>
      </c>
      <c r="B110" s="520">
        <v>357235904.69</v>
      </c>
      <c r="C110" s="520">
        <v>18574059</v>
      </c>
      <c r="D110" s="520">
        <v>12319469</v>
      </c>
      <c r="E110" s="520">
        <v>66296070.240000002</v>
      </c>
      <c r="F110" s="520">
        <v>260046306.44999999</v>
      </c>
      <c r="G110" s="520">
        <v>18660590.390000001</v>
      </c>
    </row>
    <row r="111" spans="1:8" ht="13.15" customHeight="1">
      <c r="A111" s="279" t="s">
        <v>448</v>
      </c>
      <c r="B111" s="520">
        <v>421945304.45999998</v>
      </c>
      <c r="C111" s="520">
        <v>26644720.27</v>
      </c>
      <c r="D111" s="520">
        <v>17646252</v>
      </c>
      <c r="E111" s="520">
        <v>94803665.290000007</v>
      </c>
      <c r="F111" s="520">
        <v>282850666.89999998</v>
      </c>
      <c r="G111" s="520">
        <v>21462835.030000001</v>
      </c>
    </row>
    <row r="112" spans="1:8" ht="13.15" customHeight="1">
      <c r="A112" s="279" t="s">
        <v>452</v>
      </c>
      <c r="B112" s="520">
        <v>431500688.43000001</v>
      </c>
      <c r="C112" s="520">
        <v>26293851.09</v>
      </c>
      <c r="D112" s="520">
        <v>17408173</v>
      </c>
      <c r="E112" s="520">
        <v>94943222.129999995</v>
      </c>
      <c r="F112" s="520">
        <v>292855442.20999998</v>
      </c>
      <c r="G112" s="520">
        <v>22008769.899999999</v>
      </c>
    </row>
    <row r="113" spans="1:8" ht="13.15" customHeight="1">
      <c r="A113" s="525" t="s">
        <v>456</v>
      </c>
      <c r="B113" s="520">
        <v>1996184336.1900001</v>
      </c>
      <c r="C113" s="520">
        <v>68472088.680000007</v>
      </c>
      <c r="D113" s="520">
        <v>45291612.170000002</v>
      </c>
      <c r="E113" s="520">
        <v>254346610.81</v>
      </c>
      <c r="F113" s="520">
        <v>1628074024.53</v>
      </c>
      <c r="G113" s="520">
        <v>107097574.31999999</v>
      </c>
    </row>
    <row r="114" spans="1:8" ht="10.7" customHeight="1">
      <c r="A114" s="525"/>
      <c r="C114" s="279"/>
      <c r="D114" s="279"/>
      <c r="E114" s="279"/>
      <c r="F114" s="279"/>
      <c r="G114" s="279"/>
    </row>
    <row r="115" spans="1:8" ht="13.15" customHeight="1">
      <c r="A115" s="529" t="s">
        <v>24</v>
      </c>
      <c r="B115" s="530">
        <f t="shared" ref="B115:G115" si="0">SUM(B7:B113)</f>
        <v>196721291842.80994</v>
      </c>
      <c r="C115" s="530">
        <f t="shared" si="0"/>
        <v>6479374226.9200001</v>
      </c>
      <c r="D115" s="530">
        <f t="shared" si="0"/>
        <v>4293202425.3099995</v>
      </c>
      <c r="E115" s="530">
        <f t="shared" si="0"/>
        <v>23996536654.850018</v>
      </c>
      <c r="F115" s="530">
        <f t="shared" si="0"/>
        <v>161952178535.73007</v>
      </c>
      <c r="G115" s="530">
        <f t="shared" si="0"/>
        <v>10606799424.680004</v>
      </c>
    </row>
    <row r="116" spans="1:8" ht="17.100000000000001" customHeight="1">
      <c r="A116" s="526" t="s">
        <v>717</v>
      </c>
      <c r="B116" s="521"/>
      <c r="C116" s="521"/>
      <c r="D116" s="521"/>
      <c r="E116" s="521"/>
      <c r="F116" s="521"/>
      <c r="G116" s="521"/>
      <c r="H116" s="830"/>
    </row>
    <row r="117" spans="1:8" ht="14.85" customHeight="1">
      <c r="A117" s="462" t="s">
        <v>706</v>
      </c>
      <c r="B117" s="521"/>
      <c r="C117" s="521"/>
      <c r="D117" s="521"/>
      <c r="E117" s="521"/>
      <c r="F117" s="521"/>
      <c r="G117" s="521"/>
    </row>
    <row r="118" spans="1:8" ht="14.85" customHeight="1">
      <c r="A118" s="462" t="str">
        <f>A3</f>
        <v>Taxable Year 2019</v>
      </c>
      <c r="B118" s="520"/>
      <c r="C118" s="520"/>
      <c r="D118" s="520"/>
      <c r="E118" s="520"/>
      <c r="F118" s="520"/>
      <c r="G118" s="520"/>
    </row>
    <row r="119" spans="1:8" ht="6" customHeight="1" thickBot="1">
      <c r="A119" s="464"/>
      <c r="B119" s="521"/>
      <c r="C119" s="521"/>
      <c r="D119" s="521"/>
      <c r="E119" s="521"/>
      <c r="F119" s="521"/>
      <c r="G119" s="521"/>
    </row>
    <row r="120" spans="1:8" ht="24.95" customHeight="1">
      <c r="A120" s="825" t="s">
        <v>25</v>
      </c>
      <c r="B120" s="826" t="s">
        <v>1066</v>
      </c>
      <c r="C120" s="826" t="s">
        <v>1067</v>
      </c>
      <c r="D120" s="826" t="s">
        <v>1068</v>
      </c>
      <c r="E120" s="826" t="s">
        <v>1069</v>
      </c>
      <c r="F120" s="826" t="s">
        <v>1070</v>
      </c>
      <c r="G120" s="826" t="s">
        <v>1071</v>
      </c>
    </row>
    <row r="121" spans="1:8" ht="18.95" customHeight="1">
      <c r="A121" s="280" t="s">
        <v>473</v>
      </c>
      <c r="B121" s="524">
        <v>8116079152.9700003</v>
      </c>
      <c r="C121" s="524">
        <v>221518253.69999999</v>
      </c>
      <c r="D121" s="524">
        <v>146028766.06999999</v>
      </c>
      <c r="E121" s="524">
        <v>824293329.72000003</v>
      </c>
      <c r="F121" s="524">
        <v>6924238803.4799995</v>
      </c>
      <c r="G121" s="524">
        <v>444350156.66000003</v>
      </c>
    </row>
    <row r="122" spans="1:8" ht="12.2" customHeight="1">
      <c r="A122" s="276" t="s">
        <v>478</v>
      </c>
      <c r="B122" s="279">
        <v>282945499.79000002</v>
      </c>
      <c r="C122" s="279">
        <v>23005174.16</v>
      </c>
      <c r="D122" s="279">
        <v>14643902.75</v>
      </c>
      <c r="E122" s="279">
        <v>73574095.590000004</v>
      </c>
      <c r="F122" s="279">
        <v>171722327.28999999</v>
      </c>
      <c r="G122" s="279">
        <v>14176350.369999999</v>
      </c>
    </row>
    <row r="123" spans="1:8" ht="12.2" customHeight="1">
      <c r="A123" s="276" t="s">
        <v>481</v>
      </c>
      <c r="B123" s="279">
        <v>74362734.269999996</v>
      </c>
      <c r="C123" s="279">
        <v>5557552</v>
      </c>
      <c r="D123" s="279">
        <v>3674201</v>
      </c>
      <c r="E123" s="279">
        <v>19611329.030000001</v>
      </c>
      <c r="F123" s="279">
        <v>45519652.240000002</v>
      </c>
      <c r="G123" s="279">
        <v>3703339.26</v>
      </c>
    </row>
    <row r="124" spans="1:8" ht="12.2" customHeight="1">
      <c r="A124" s="276" t="s">
        <v>484</v>
      </c>
      <c r="B124" s="279">
        <v>1397448524.6700001</v>
      </c>
      <c r="C124" s="279">
        <v>49624717.719999999</v>
      </c>
      <c r="D124" s="279">
        <v>32551713.280000001</v>
      </c>
      <c r="E124" s="279">
        <v>177707251.78999999</v>
      </c>
      <c r="F124" s="279">
        <v>1137564841.8800001</v>
      </c>
      <c r="G124" s="279">
        <v>75377678.640000001</v>
      </c>
    </row>
    <row r="125" spans="1:8" ht="12.2" customHeight="1">
      <c r="A125" s="276" t="s">
        <v>487</v>
      </c>
      <c r="B125" s="279">
        <v>5599090316.4300003</v>
      </c>
      <c r="C125" s="279">
        <v>253993218.75</v>
      </c>
      <c r="D125" s="279">
        <v>168060380.40000001</v>
      </c>
      <c r="E125" s="279">
        <v>923883804.85000002</v>
      </c>
      <c r="F125" s="279">
        <v>4253152912.4299998</v>
      </c>
      <c r="G125" s="279">
        <v>295132466.39999998</v>
      </c>
    </row>
    <row r="126" spans="1:8" ht="18.95" customHeight="1">
      <c r="A126" s="276" t="s">
        <v>490</v>
      </c>
      <c r="B126" s="279">
        <v>322195596.45999998</v>
      </c>
      <c r="C126" s="279">
        <v>19442735.600000001</v>
      </c>
      <c r="D126" s="279">
        <v>12886244</v>
      </c>
      <c r="E126" s="279">
        <v>70330689.25</v>
      </c>
      <c r="F126" s="279">
        <v>219535927.61000001</v>
      </c>
      <c r="G126" s="279">
        <v>16570608.199999999</v>
      </c>
    </row>
    <row r="127" spans="1:8" ht="12.2" customHeight="1">
      <c r="A127" s="276" t="s">
        <v>493</v>
      </c>
      <c r="B127" s="279">
        <v>78319350.829999998</v>
      </c>
      <c r="C127" s="279">
        <v>5925428.79</v>
      </c>
      <c r="D127" s="279">
        <v>3857529</v>
      </c>
      <c r="E127" s="279">
        <v>20069327.25</v>
      </c>
      <c r="F127" s="279">
        <v>48467065.789999999</v>
      </c>
      <c r="G127" s="279">
        <v>3928764.79</v>
      </c>
    </row>
    <row r="128" spans="1:8" ht="12.2" customHeight="1">
      <c r="A128" s="276" t="s">
        <v>496</v>
      </c>
      <c r="B128" s="279">
        <v>603801285.90999997</v>
      </c>
      <c r="C128" s="279">
        <v>40158155.57</v>
      </c>
      <c r="D128" s="279">
        <v>26311122.890000001</v>
      </c>
      <c r="E128" s="279">
        <v>132716584.12</v>
      </c>
      <c r="F128" s="279">
        <v>404615423.32999998</v>
      </c>
      <c r="G128" s="279">
        <v>31045837.370000001</v>
      </c>
    </row>
    <row r="129" spans="1:8" ht="12.2" customHeight="1">
      <c r="A129" s="276" t="s">
        <v>499</v>
      </c>
      <c r="B129" s="279">
        <v>55712639.240000002</v>
      </c>
      <c r="C129" s="279">
        <v>4962421.93</v>
      </c>
      <c r="D129" s="279">
        <v>3212168</v>
      </c>
      <c r="E129" s="279">
        <v>15851504.439999999</v>
      </c>
      <c r="F129" s="279">
        <v>31686544.870000001</v>
      </c>
      <c r="G129" s="279">
        <v>2772443.94</v>
      </c>
    </row>
    <row r="130" spans="1:8" ht="12.2" customHeight="1">
      <c r="A130" s="276" t="s">
        <v>494</v>
      </c>
      <c r="B130" s="279">
        <v>1178512988.8599999</v>
      </c>
      <c r="C130" s="279">
        <v>35692760.93</v>
      </c>
      <c r="D130" s="279">
        <v>23310078.09</v>
      </c>
      <c r="E130" s="279">
        <v>128838960.48999999</v>
      </c>
      <c r="F130" s="279">
        <v>990671189.35000002</v>
      </c>
      <c r="G130" s="279">
        <v>63990987.990000002</v>
      </c>
    </row>
    <row r="131" spans="1:8" ht="18.95" customHeight="1">
      <c r="A131" s="276" t="s">
        <v>504</v>
      </c>
      <c r="B131" s="279">
        <v>1031222726.83</v>
      </c>
      <c r="C131" s="279">
        <v>20193459.760000002</v>
      </c>
      <c r="D131" s="279">
        <v>13254384.550000001</v>
      </c>
      <c r="E131" s="279">
        <v>75295830.859999999</v>
      </c>
      <c r="F131" s="279">
        <v>922479051.65999997</v>
      </c>
      <c r="G131" s="279">
        <v>57079026.609999999</v>
      </c>
    </row>
    <row r="132" spans="1:8" ht="12.2" customHeight="1">
      <c r="A132" s="276" t="s">
        <v>26</v>
      </c>
      <c r="B132" s="279">
        <v>105227981.65000001</v>
      </c>
      <c r="C132" s="279">
        <v>7627779.3700000001</v>
      </c>
      <c r="D132" s="279">
        <v>4984887</v>
      </c>
      <c r="E132" s="279">
        <v>25607432.449999999</v>
      </c>
      <c r="F132" s="279">
        <v>67007882.829999998</v>
      </c>
      <c r="G132" s="279">
        <v>5334388.05</v>
      </c>
    </row>
    <row r="133" spans="1:8" ht="12.2" customHeight="1">
      <c r="A133" s="276" t="s">
        <v>509</v>
      </c>
      <c r="B133" s="279">
        <v>800965121.94000006</v>
      </c>
      <c r="C133" s="279">
        <v>31860585.739999998</v>
      </c>
      <c r="D133" s="279">
        <v>21011901</v>
      </c>
      <c r="E133" s="279">
        <v>114365674.59</v>
      </c>
      <c r="F133" s="279">
        <v>633726960.61000001</v>
      </c>
      <c r="G133" s="279">
        <v>42921057.729999997</v>
      </c>
    </row>
    <row r="134" spans="1:8" ht="12.2" customHeight="1">
      <c r="A134" s="276" t="s">
        <v>512</v>
      </c>
      <c r="B134" s="279">
        <v>89928852.659999996</v>
      </c>
      <c r="C134" s="279">
        <v>6462675.96</v>
      </c>
      <c r="D134" s="279">
        <v>4225483</v>
      </c>
      <c r="E134" s="279">
        <v>22081611.120000001</v>
      </c>
      <c r="F134" s="279">
        <v>57159082.579999998</v>
      </c>
      <c r="G134" s="279">
        <v>4528536.54</v>
      </c>
    </row>
    <row r="135" spans="1:8" ht="12.2" customHeight="1">
      <c r="A135" s="276" t="s">
        <v>514</v>
      </c>
      <c r="B135" s="279">
        <v>2136575635.71</v>
      </c>
      <c r="C135" s="279">
        <v>131691698.47</v>
      </c>
      <c r="D135" s="279">
        <v>87137697.319999993</v>
      </c>
      <c r="E135" s="279">
        <v>467588232.60000002</v>
      </c>
      <c r="F135" s="279">
        <v>1450158007.3199999</v>
      </c>
      <c r="G135" s="279">
        <v>110002845.62</v>
      </c>
    </row>
    <row r="136" spans="1:8" ht="18.95" customHeight="1">
      <c r="A136" s="276" t="s">
        <v>516</v>
      </c>
      <c r="B136" s="279">
        <v>648367440.22000003</v>
      </c>
      <c r="C136" s="279">
        <v>40682109.609999999</v>
      </c>
      <c r="D136" s="279">
        <v>26901656.370000001</v>
      </c>
      <c r="E136" s="279">
        <v>144967993.27000001</v>
      </c>
      <c r="F136" s="279">
        <v>435815680.97000003</v>
      </c>
      <c r="G136" s="279">
        <v>33204232.940000001</v>
      </c>
    </row>
    <row r="137" spans="1:8" ht="12.2" customHeight="1">
      <c r="A137" s="276" t="s">
        <v>519</v>
      </c>
      <c r="B137" s="279">
        <v>279235006.93000001</v>
      </c>
      <c r="C137" s="279">
        <v>22249252.149999999</v>
      </c>
      <c r="D137" s="279">
        <v>14715141</v>
      </c>
      <c r="E137" s="279">
        <v>76103457.200000003</v>
      </c>
      <c r="F137" s="279">
        <v>166167156.58000001</v>
      </c>
      <c r="G137" s="279">
        <v>14021407.01</v>
      </c>
    </row>
    <row r="138" spans="1:8" ht="12.2" customHeight="1">
      <c r="A138" s="280" t="s">
        <v>522</v>
      </c>
      <c r="B138" s="379">
        <v>141950231.55000001</v>
      </c>
      <c r="C138" s="379">
        <v>5538062</v>
      </c>
      <c r="D138" s="379">
        <v>3608090.58</v>
      </c>
      <c r="E138" s="379">
        <v>19733509.550000001</v>
      </c>
      <c r="F138" s="379">
        <v>113070569.42</v>
      </c>
      <c r="G138" s="379">
        <v>7572456.46</v>
      </c>
    </row>
    <row r="139" spans="1:8" ht="12.2" customHeight="1">
      <c r="A139" s="481" t="s">
        <v>525</v>
      </c>
      <c r="B139" s="525">
        <v>1330423789.8199999</v>
      </c>
      <c r="C139" s="525">
        <v>71641547.599999994</v>
      </c>
      <c r="D139" s="525">
        <v>47248847</v>
      </c>
      <c r="E139" s="525">
        <v>251203947.25</v>
      </c>
      <c r="F139" s="525">
        <v>960329447.97000003</v>
      </c>
      <c r="G139" s="525">
        <v>69314658.670000002</v>
      </c>
      <c r="H139" s="830"/>
    </row>
    <row r="140" spans="1:8" ht="12.2" customHeight="1">
      <c r="A140" s="284" t="s">
        <v>401</v>
      </c>
      <c r="B140" s="279">
        <v>1013337827.98</v>
      </c>
      <c r="C140" s="279">
        <v>50611768.030000001</v>
      </c>
      <c r="D140" s="279">
        <v>33512996.809999999</v>
      </c>
      <c r="E140" s="279">
        <v>183655096.02000001</v>
      </c>
      <c r="F140" s="279">
        <v>745557967.12</v>
      </c>
      <c r="G140" s="279">
        <v>53169345.130000003</v>
      </c>
      <c r="H140" s="830"/>
    </row>
    <row r="141" spans="1:8" ht="18.95" customHeight="1">
      <c r="A141" s="276" t="s">
        <v>405</v>
      </c>
      <c r="B141" s="279">
        <v>401811265.81999999</v>
      </c>
      <c r="C141" s="279">
        <v>21109889.960000001</v>
      </c>
      <c r="D141" s="279">
        <v>14025427.52</v>
      </c>
      <c r="E141" s="279">
        <v>77292111.519999996</v>
      </c>
      <c r="F141" s="279">
        <v>289383836.81999999</v>
      </c>
      <c r="G141" s="279">
        <v>20979166.699999999</v>
      </c>
    </row>
    <row r="142" spans="1:8" ht="12.2" customHeight="1">
      <c r="A142" s="276" t="s">
        <v>409</v>
      </c>
      <c r="B142" s="279">
        <v>185473141.61000001</v>
      </c>
      <c r="C142" s="279">
        <v>12992868.369999999</v>
      </c>
      <c r="D142" s="279">
        <v>8517372.0199999996</v>
      </c>
      <c r="E142" s="279">
        <v>43608428.299999997</v>
      </c>
      <c r="F142" s="279">
        <v>120354472.92</v>
      </c>
      <c r="G142" s="279">
        <v>9462387.9700000007</v>
      </c>
    </row>
    <row r="143" spans="1:8" ht="12.2" customHeight="1">
      <c r="A143" s="276" t="s">
        <v>413</v>
      </c>
      <c r="B143" s="279">
        <v>3002807623.2399998</v>
      </c>
      <c r="C143" s="279">
        <v>181499278.91</v>
      </c>
      <c r="D143" s="279">
        <v>120139454.23</v>
      </c>
      <c r="E143" s="279">
        <v>641051791.14999998</v>
      </c>
      <c r="F143" s="279">
        <v>2060117098.95</v>
      </c>
      <c r="G143" s="279">
        <v>155030289.38999999</v>
      </c>
    </row>
    <row r="144" spans="1:8" ht="12.2" customHeight="1">
      <c r="A144" s="276" t="s">
        <v>417</v>
      </c>
      <c r="B144" s="279">
        <v>3769208714.9400001</v>
      </c>
      <c r="C144" s="279">
        <v>207512050.16999999</v>
      </c>
      <c r="D144" s="279">
        <v>136858760.56</v>
      </c>
      <c r="E144" s="279">
        <v>719305794.95000005</v>
      </c>
      <c r="F144" s="279">
        <v>2705532109.2600002</v>
      </c>
      <c r="G144" s="279">
        <v>197120534.33000001</v>
      </c>
    </row>
    <row r="145" spans="1:8" ht="12.2" customHeight="1">
      <c r="A145" s="276" t="s">
        <v>421</v>
      </c>
      <c r="B145" s="279">
        <v>55719867.740000002</v>
      </c>
      <c r="C145" s="279">
        <v>3983952</v>
      </c>
      <c r="D145" s="279">
        <v>2628259</v>
      </c>
      <c r="E145" s="279">
        <v>13658668.6</v>
      </c>
      <c r="F145" s="279">
        <v>35448988.140000001</v>
      </c>
      <c r="G145" s="279">
        <v>2805441.84</v>
      </c>
    </row>
    <row r="146" spans="1:8" ht="18" customHeight="1">
      <c r="A146" s="276" t="s">
        <v>425</v>
      </c>
      <c r="B146" s="279">
        <v>336268418.94</v>
      </c>
      <c r="C146" s="279">
        <v>30497604.420000002</v>
      </c>
      <c r="D146" s="279">
        <v>20130033.699999999</v>
      </c>
      <c r="E146" s="279">
        <v>100998474.84999999</v>
      </c>
      <c r="F146" s="279">
        <v>184642305.97</v>
      </c>
      <c r="G146" s="279">
        <v>16682932.460000001</v>
      </c>
    </row>
    <row r="147" spans="1:8" ht="12.2" customHeight="1">
      <c r="A147" s="276" t="s">
        <v>429</v>
      </c>
      <c r="B147" s="279">
        <v>400420475.61000001</v>
      </c>
      <c r="C147" s="279">
        <v>13132829</v>
      </c>
      <c r="D147" s="279">
        <v>8721239.6699999999</v>
      </c>
      <c r="E147" s="279">
        <v>49394600.549999997</v>
      </c>
      <c r="F147" s="279">
        <v>329171806.38999999</v>
      </c>
      <c r="G147" s="279">
        <v>21492531.760000002</v>
      </c>
    </row>
    <row r="148" spans="1:8" ht="12.2" customHeight="1">
      <c r="A148" s="276" t="s">
        <v>433</v>
      </c>
      <c r="B148" s="279">
        <v>1356435698.8599999</v>
      </c>
      <c r="C148" s="279">
        <v>93969067.75</v>
      </c>
      <c r="D148" s="279">
        <v>62218471.600000001</v>
      </c>
      <c r="E148" s="279">
        <v>328627037.25999999</v>
      </c>
      <c r="F148" s="279">
        <v>871621122.25</v>
      </c>
      <c r="G148" s="279">
        <v>69128289.150000006</v>
      </c>
    </row>
    <row r="149" spans="1:8" ht="12.2" customHeight="1">
      <c r="A149" s="276" t="s">
        <v>437</v>
      </c>
      <c r="B149" s="279">
        <v>219100420.74000001</v>
      </c>
      <c r="C149" s="279">
        <v>12401647.74</v>
      </c>
      <c r="D149" s="279">
        <v>8177791.5999999996</v>
      </c>
      <c r="E149" s="279">
        <v>43713745.119999997</v>
      </c>
      <c r="F149" s="279">
        <v>154807236.28</v>
      </c>
      <c r="G149" s="279">
        <v>11327366.140000001</v>
      </c>
    </row>
    <row r="150" spans="1:8" ht="12.2" customHeight="1">
      <c r="A150" s="276" t="s">
        <v>441</v>
      </c>
      <c r="B150" s="375">
        <v>6562573384.6199999</v>
      </c>
      <c r="C150" s="375">
        <v>246796843.41999999</v>
      </c>
      <c r="D150" s="375">
        <v>162642379.63999999</v>
      </c>
      <c r="E150" s="375">
        <v>868892144.10000002</v>
      </c>
      <c r="F150" s="375">
        <v>5284242017.46</v>
      </c>
      <c r="G150" s="375">
        <v>354084271.80000001</v>
      </c>
    </row>
    <row r="151" spans="1:8" ht="18" customHeight="1">
      <c r="A151" s="276" t="s">
        <v>27</v>
      </c>
      <c r="B151" s="279">
        <v>1776793536.1700001</v>
      </c>
      <c r="C151" s="279">
        <v>101439521.33</v>
      </c>
      <c r="D151" s="279">
        <v>67064055.460000001</v>
      </c>
      <c r="E151" s="279">
        <v>356955322.68000001</v>
      </c>
      <c r="F151" s="279">
        <v>1251334636.7</v>
      </c>
      <c r="G151" s="279">
        <v>92351775.370000005</v>
      </c>
    </row>
    <row r="152" spans="1:8" ht="12.2" customHeight="1">
      <c r="A152" s="276" t="s">
        <v>449</v>
      </c>
      <c r="B152" s="279">
        <v>584388128.80999994</v>
      </c>
      <c r="C152" s="279">
        <v>27115146</v>
      </c>
      <c r="D152" s="279">
        <v>17954209</v>
      </c>
      <c r="E152" s="279">
        <v>98888537.890000001</v>
      </c>
      <c r="F152" s="279">
        <v>440430235.92000002</v>
      </c>
      <c r="G152" s="279">
        <v>30681911.140000001</v>
      </c>
    </row>
    <row r="153" spans="1:8" ht="12.2" customHeight="1">
      <c r="A153" s="276" t="s">
        <v>453</v>
      </c>
      <c r="B153" s="279">
        <v>484475506.93000001</v>
      </c>
      <c r="C153" s="279">
        <v>27038369</v>
      </c>
      <c r="D153" s="279">
        <v>17946608</v>
      </c>
      <c r="E153" s="279">
        <v>98026275.400000006</v>
      </c>
      <c r="F153" s="279">
        <v>341464254.52999997</v>
      </c>
      <c r="G153" s="279">
        <v>25053556.289999999</v>
      </c>
    </row>
    <row r="154" spans="1:8" ht="12.2" customHeight="1">
      <c r="A154" s="276" t="s">
        <v>457</v>
      </c>
      <c r="B154" s="279">
        <v>2060392239.5999999</v>
      </c>
      <c r="C154" s="279">
        <v>93553357.409999996</v>
      </c>
      <c r="D154" s="279">
        <v>61883436</v>
      </c>
      <c r="E154" s="279">
        <v>336872591.63</v>
      </c>
      <c r="F154" s="279">
        <v>1568082854.5599999</v>
      </c>
      <c r="G154" s="279">
        <v>108662312.72</v>
      </c>
    </row>
    <row r="155" spans="1:8" ht="18" customHeight="1">
      <c r="A155" s="276" t="s">
        <v>28</v>
      </c>
      <c r="B155" s="279">
        <v>11875230531.82</v>
      </c>
      <c r="C155" s="279">
        <v>478515348.72000003</v>
      </c>
      <c r="D155" s="279">
        <v>316524628.94999999</v>
      </c>
      <c r="E155" s="279">
        <v>1741773967.1099999</v>
      </c>
      <c r="F155" s="279">
        <v>9338416587.0400009</v>
      </c>
      <c r="G155" s="279">
        <v>633092879.24000001</v>
      </c>
    </row>
    <row r="156" spans="1:8" ht="12.2" customHeight="1">
      <c r="A156" s="276" t="s">
        <v>462</v>
      </c>
      <c r="B156" s="279">
        <v>385511934.50999999</v>
      </c>
      <c r="C156" s="279">
        <v>23640134</v>
      </c>
      <c r="D156" s="279">
        <v>15694325</v>
      </c>
      <c r="E156" s="279">
        <v>85929510.370000005</v>
      </c>
      <c r="F156" s="279">
        <v>260247965.13999999</v>
      </c>
      <c r="G156" s="279">
        <v>19762317.780000001</v>
      </c>
    </row>
    <row r="157" spans="1:8" ht="12.2" customHeight="1">
      <c r="A157" s="276" t="s">
        <v>465</v>
      </c>
      <c r="B157" s="279">
        <v>295533672.79000002</v>
      </c>
      <c r="C157" s="279">
        <v>13744047.300000001</v>
      </c>
      <c r="D157" s="279">
        <v>8958208.3900000006</v>
      </c>
      <c r="E157" s="279">
        <v>47586291.439999998</v>
      </c>
      <c r="F157" s="279">
        <v>225245125.66</v>
      </c>
      <c r="G157" s="279">
        <v>15634632.83</v>
      </c>
    </row>
    <row r="158" spans="1:8" ht="12.2" customHeight="1">
      <c r="A158" s="280" t="s">
        <v>468</v>
      </c>
      <c r="B158" s="525">
        <v>619053474.24000001</v>
      </c>
      <c r="C158" s="525">
        <v>30538401.149999999</v>
      </c>
      <c r="D158" s="525">
        <v>20101014</v>
      </c>
      <c r="E158" s="525">
        <v>108741382.37</v>
      </c>
      <c r="F158" s="525">
        <v>459672676.72000003</v>
      </c>
      <c r="G158" s="525">
        <v>32594560.530000001</v>
      </c>
    </row>
    <row r="159" spans="1:8" ht="6" customHeight="1">
      <c r="A159" s="531"/>
      <c r="B159" s="531"/>
      <c r="C159" s="531"/>
      <c r="D159" s="531"/>
      <c r="E159" s="531"/>
      <c r="F159" s="531"/>
      <c r="G159" s="531"/>
      <c r="H159" s="830"/>
    </row>
    <row r="160" spans="1:8" ht="12.6" customHeight="1">
      <c r="A160" s="529" t="s">
        <v>29</v>
      </c>
      <c r="B160" s="530">
        <f t="shared" ref="B160:G160" si="1">SUM(B121:B158)</f>
        <v>59656900741.709991</v>
      </c>
      <c r="C160" s="530">
        <f t="shared" si="1"/>
        <v>2667919714.4900002</v>
      </c>
      <c r="D160" s="530">
        <f t="shared" si="1"/>
        <v>1761322864.45</v>
      </c>
      <c r="E160" s="530">
        <f t="shared" si="1"/>
        <v>9528796336.7300034</v>
      </c>
      <c r="F160" s="530">
        <f t="shared" si="1"/>
        <v>45698861826.040009</v>
      </c>
      <c r="G160" s="530">
        <f t="shared" si="1"/>
        <v>3164143745.8200006</v>
      </c>
    </row>
    <row r="161" spans="1:7" ht="12.6" customHeight="1">
      <c r="A161" s="529" t="s">
        <v>24</v>
      </c>
      <c r="B161" s="530">
        <f t="shared" ref="B161:G161" si="2">B115</f>
        <v>196721291842.80994</v>
      </c>
      <c r="C161" s="530">
        <f t="shared" si="2"/>
        <v>6479374226.9200001</v>
      </c>
      <c r="D161" s="530">
        <f t="shared" si="2"/>
        <v>4293202425.3099995</v>
      </c>
      <c r="E161" s="530">
        <f t="shared" si="2"/>
        <v>23996536654.850018</v>
      </c>
      <c r="F161" s="530">
        <f t="shared" si="2"/>
        <v>161952178535.73007</v>
      </c>
      <c r="G161" s="530">
        <f t="shared" si="2"/>
        <v>10606799424.680004</v>
      </c>
    </row>
    <row r="162" spans="1:7" ht="12.6" customHeight="1">
      <c r="A162" s="529" t="s">
        <v>698</v>
      </c>
      <c r="B162" s="284">
        <v>7374826218.29</v>
      </c>
      <c r="C162" s="284">
        <v>274251150.14999998</v>
      </c>
      <c r="D162" s="284">
        <v>169967034.34999999</v>
      </c>
      <c r="E162" s="284">
        <v>881537517.47000003</v>
      </c>
      <c r="F162" s="284">
        <v>6049070516.3199997</v>
      </c>
      <c r="G162" s="284">
        <v>401089970.14999998</v>
      </c>
    </row>
    <row r="163" spans="1:7" ht="6" customHeight="1">
      <c r="A163" s="529"/>
      <c r="B163" s="532"/>
      <c r="C163" s="532"/>
      <c r="D163" s="532"/>
      <c r="E163" s="532"/>
      <c r="F163" s="532"/>
      <c r="G163" s="532"/>
    </row>
    <row r="164" spans="1:7" ht="12.6" customHeight="1">
      <c r="A164" s="529" t="s">
        <v>30</v>
      </c>
      <c r="B164" s="530">
        <f t="shared" ref="B164:G164" si="3">SUM(B160:B162)</f>
        <v>263753018802.80994</v>
      </c>
      <c r="C164" s="530">
        <f t="shared" si="3"/>
        <v>9421545091.5599995</v>
      </c>
      <c r="D164" s="530">
        <f t="shared" si="3"/>
        <v>6224492324.1099997</v>
      </c>
      <c r="E164" s="530">
        <f t="shared" si="3"/>
        <v>34406870509.050018</v>
      </c>
      <c r="F164" s="530">
        <f t="shared" si="3"/>
        <v>213700110878.09009</v>
      </c>
      <c r="G164" s="530">
        <f t="shared" si="3"/>
        <v>14172033140.650003</v>
      </c>
    </row>
    <row r="165" spans="1:7" s="517" customFormat="1" ht="6" customHeight="1">
      <c r="A165" s="823"/>
      <c r="B165" s="824"/>
      <c r="C165" s="824"/>
      <c r="D165" s="824"/>
      <c r="E165" s="824"/>
      <c r="F165" s="824"/>
      <c r="G165" s="824"/>
    </row>
    <row r="166" spans="1:7" s="1173" customFormat="1" ht="11.1" customHeight="1">
      <c r="A166" s="1177" t="s">
        <v>1</v>
      </c>
      <c r="B166" s="1178"/>
      <c r="C166" s="1177"/>
      <c r="D166" s="1177"/>
      <c r="E166" s="1177"/>
      <c r="F166" s="1177"/>
      <c r="G166" s="1179"/>
    </row>
    <row r="167" spans="1:7" s="1173" customFormat="1" ht="11.1" customHeight="1">
      <c r="A167" s="1173" t="s">
        <v>1196</v>
      </c>
      <c r="B167" s="1178"/>
      <c r="C167" s="1177"/>
      <c r="D167" s="1177"/>
      <c r="E167" s="1177"/>
      <c r="F167" s="1177"/>
      <c r="G167" s="1177"/>
    </row>
    <row r="168" spans="1:7" s="1173" customFormat="1" ht="11.1" customHeight="1">
      <c r="A168" s="1173" t="s">
        <v>926</v>
      </c>
      <c r="B168" s="1178"/>
      <c r="C168" s="1177"/>
      <c r="D168" s="1177"/>
      <c r="E168" s="1177"/>
      <c r="F168" s="1177"/>
      <c r="G168" s="1177"/>
    </row>
    <row r="169" spans="1:7" s="1173" customFormat="1" ht="11.1" customHeight="1">
      <c r="A169" s="1173" t="s">
        <v>927</v>
      </c>
      <c r="B169" s="1180"/>
    </row>
    <row r="170" spans="1:7" s="1173" customFormat="1" ht="11.1" customHeight="1">
      <c r="A170" s="1171" t="str">
        <f>'1.5'!A175</f>
        <v>* Returns not assigned to a locality are generally nonresident returns.  In these cases, the taxpayer did not report a locality in which the Virginia portion of income was earned.</v>
      </c>
      <c r="B170" s="1180"/>
    </row>
    <row r="171" spans="1:7" s="1068" customFormat="1" ht="12.75" customHeight="1">
      <c r="A171" s="1120" t="s">
        <v>1158</v>
      </c>
      <c r="B171" s="1072"/>
      <c r="C171" s="1072"/>
      <c r="D171" s="1072"/>
      <c r="E171" s="1073"/>
    </row>
    <row r="174" spans="1:7">
      <c r="C174" s="279"/>
      <c r="D174" s="279"/>
      <c r="E174" s="279"/>
      <c r="F174" s="279"/>
      <c r="G174" s="279"/>
    </row>
  </sheetData>
  <customSheetViews>
    <customSheetView guid="{E6BBE5A7-0B25-4EE8-BA45-5EA5DBAF3AD4}" showPageBreaks="1" outlineSymbols="0" printArea="1">
      <pane xSplit="1" topLeftCell="B1" activePane="topRight" state="frozen"/>
      <selection pane="topRight" activeCell="A3" sqref="A3"/>
      <rowBreaks count="4" manualBreakCount="4">
        <brk id="42" max="6" man="1"/>
        <brk id="84" max="6" man="1"/>
        <brk id="126" max="6" man="1"/>
        <brk id="168" max="6" man="1"/>
      </rowBreaks>
      <pageMargins left="0.5" right="0.5" top="0.5" bottom="1" header="0.5" footer="0.5"/>
      <printOptions horizontalCentered="1"/>
      <pageSetup scale="84" firstPageNumber="17" fitToHeight="6" orientation="landscape" useFirstPageNumber="1" r:id="rId1"/>
      <headerFooter alignWithMargins="0"/>
    </customSheetView>
  </customSheetViews>
  <hyperlinks>
    <hyperlink ref="H1" location="TOC!A1" display="Back"/>
  </hyperlinks>
  <pageMargins left="0.6" right="0.25" top="0.25" bottom="0.15" header="0.25" footer="0.25"/>
  <pageSetup scale="84" firstPageNumber="17" fitToHeight="6" orientation="landscape" r:id="rId2"/>
  <headerFooter scaleWithDoc="0">
    <oddHeader>&amp;R&amp;P</oddHeader>
  </headerFooter>
  <rowBreaks count="3" manualBreakCount="3">
    <brk id="41" max="6" man="1"/>
    <brk id="82" max="6" man="1"/>
    <brk id="115" max="6"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P45"/>
  <sheetViews>
    <sheetView zoomScaleNormal="100" workbookViewId="0"/>
  </sheetViews>
  <sheetFormatPr defaultColWidth="9.28515625" defaultRowHeight="12.75"/>
  <cols>
    <col min="1" max="1" width="7.5703125" style="159" customWidth="1"/>
    <col min="2" max="2" width="20.140625" style="159" customWidth="1"/>
    <col min="3" max="3" width="11.7109375" style="162" customWidth="1"/>
    <col min="4" max="4" width="12.7109375" style="159" customWidth="1"/>
    <col min="5" max="5" width="1.7109375" style="159" customWidth="1"/>
    <col min="6" max="6" width="11.7109375" style="162" customWidth="1"/>
    <col min="7" max="7" width="12.7109375" style="159" customWidth="1"/>
    <col min="8" max="8" width="1.7109375" style="159" customWidth="1"/>
    <col min="9" max="9" width="11.7109375" style="162" customWidth="1"/>
    <col min="10" max="10" width="12.7109375" style="159" customWidth="1"/>
    <col min="11" max="11" width="1.7109375" style="163" customWidth="1"/>
    <col min="12" max="12" width="11.7109375" style="162" customWidth="1"/>
    <col min="13" max="13" width="12.7109375" style="159" customWidth="1"/>
    <col min="14" max="14" width="2.7109375" style="159" customWidth="1"/>
    <col min="15" max="15" width="5.28515625" style="653" bestFit="1" customWidth="1"/>
    <col min="16" max="16" width="9.28515625" style="653"/>
    <col min="17" max="16384" width="9.28515625" style="159"/>
  </cols>
  <sheetData>
    <row r="1" spans="1:15" ht="18">
      <c r="A1" s="606" t="s">
        <v>718</v>
      </c>
      <c r="C1" s="160"/>
      <c r="D1" s="161"/>
      <c r="E1" s="161"/>
      <c r="O1" s="1276" t="s">
        <v>1194</v>
      </c>
    </row>
    <row r="2" spans="1:15" ht="15.75">
      <c r="A2" s="164" t="s">
        <v>719</v>
      </c>
      <c r="D2" s="161"/>
      <c r="E2" s="161"/>
    </row>
    <row r="3" spans="1:15" ht="6" customHeight="1" thickBot="1">
      <c r="B3" s="165"/>
      <c r="C3" s="166"/>
      <c r="D3" s="165"/>
      <c r="E3" s="165"/>
      <c r="F3" s="166"/>
      <c r="G3" s="165"/>
      <c r="H3" s="165"/>
    </row>
    <row r="4" spans="1:15" ht="15">
      <c r="A4" s="1385"/>
      <c r="B4" s="1386"/>
      <c r="C4" s="167">
        <v>2016</v>
      </c>
      <c r="D4" s="167"/>
      <c r="E4" s="168"/>
      <c r="F4" s="167">
        <v>2017</v>
      </c>
      <c r="G4" s="167"/>
      <c r="H4" s="168"/>
      <c r="I4" s="607">
        <v>2018</v>
      </c>
      <c r="J4" s="167"/>
      <c r="K4" s="168"/>
      <c r="L4" s="607">
        <v>2019</v>
      </c>
      <c r="M4" s="167"/>
    </row>
    <row r="5" spans="1:15" ht="15">
      <c r="A5" s="1384"/>
      <c r="B5" s="1387"/>
      <c r="C5" s="169" t="s">
        <v>379</v>
      </c>
      <c r="D5" s="169"/>
      <c r="E5" s="169"/>
      <c r="F5" s="169" t="s">
        <v>379</v>
      </c>
      <c r="G5" s="169"/>
      <c r="H5" s="169"/>
      <c r="I5" s="169" t="s">
        <v>379</v>
      </c>
      <c r="J5" s="169"/>
      <c r="K5" s="169"/>
      <c r="L5" s="169" t="s">
        <v>379</v>
      </c>
      <c r="M5" s="169"/>
    </row>
    <row r="6" spans="1:15" ht="15">
      <c r="A6" s="1388" t="s">
        <v>720</v>
      </c>
      <c r="B6" s="1389"/>
      <c r="C6" s="170" t="s">
        <v>721</v>
      </c>
      <c r="D6" s="170" t="s">
        <v>20</v>
      </c>
      <c r="E6" s="170"/>
      <c r="F6" s="170" t="s">
        <v>721</v>
      </c>
      <c r="G6" s="170" t="s">
        <v>20</v>
      </c>
      <c r="H6" s="170"/>
      <c r="I6" s="170" t="s">
        <v>721</v>
      </c>
      <c r="J6" s="170" t="s">
        <v>20</v>
      </c>
      <c r="K6" s="170"/>
      <c r="L6" s="170" t="s">
        <v>721</v>
      </c>
      <c r="M6" s="170" t="s">
        <v>20</v>
      </c>
    </row>
    <row r="7" spans="1:15" ht="6" customHeight="1">
      <c r="A7" s="1390"/>
      <c r="B7" s="1390"/>
      <c r="K7" s="159"/>
    </row>
    <row r="8" spans="1:15">
      <c r="A8" s="1384" t="s">
        <v>722</v>
      </c>
      <c r="B8" s="1384"/>
      <c r="C8" s="171">
        <v>121162</v>
      </c>
      <c r="D8" s="172">
        <v>24280577.16</v>
      </c>
      <c r="F8" s="171">
        <v>120722</v>
      </c>
      <c r="G8" s="172">
        <v>24645554.41</v>
      </c>
      <c r="I8" s="171">
        <v>183835</v>
      </c>
      <c r="J8" s="764">
        <v>29014380.25</v>
      </c>
      <c r="K8" s="159"/>
      <c r="L8" s="171">
        <v>118572</v>
      </c>
      <c r="M8" s="764">
        <v>25116360.699999999</v>
      </c>
    </row>
    <row r="9" spans="1:15">
      <c r="A9" s="1384" t="s">
        <v>723</v>
      </c>
      <c r="B9" s="1384"/>
      <c r="C9" s="281">
        <v>5100</v>
      </c>
      <c r="D9" s="282">
        <v>1051243.73</v>
      </c>
      <c r="F9" s="281">
        <v>4335</v>
      </c>
      <c r="G9" s="282">
        <v>912678.09</v>
      </c>
      <c r="I9" s="281">
        <v>5840</v>
      </c>
      <c r="J9" s="282">
        <v>1095441.3999999999</v>
      </c>
      <c r="K9" s="159"/>
      <c r="L9" s="281">
        <v>6625</v>
      </c>
      <c r="M9" s="282">
        <v>1439198.43</v>
      </c>
    </row>
    <row r="10" spans="1:15" ht="12.75" customHeight="1">
      <c r="A10" s="1395" t="s">
        <v>724</v>
      </c>
      <c r="B10" s="1389"/>
      <c r="C10" s="281">
        <v>19576</v>
      </c>
      <c r="D10" s="282">
        <v>2767049.28</v>
      </c>
      <c r="F10" s="281">
        <v>16294</v>
      </c>
      <c r="G10" s="282">
        <v>2252684.7999999998</v>
      </c>
      <c r="I10" s="281">
        <v>19788</v>
      </c>
      <c r="J10" s="282">
        <v>2601852.65</v>
      </c>
      <c r="K10" s="159"/>
      <c r="L10" s="281">
        <v>37262</v>
      </c>
      <c r="M10" s="282">
        <v>5244447.8099999996</v>
      </c>
    </row>
    <row r="11" spans="1:15">
      <c r="A11" s="1384" t="s">
        <v>725</v>
      </c>
      <c r="B11" s="1384"/>
      <c r="C11" s="281">
        <v>2004</v>
      </c>
      <c r="D11" s="282">
        <v>301749.59999999998</v>
      </c>
      <c r="F11" s="281">
        <v>1698</v>
      </c>
      <c r="G11" s="282">
        <v>258734.06</v>
      </c>
      <c r="I11" s="281">
        <v>2272</v>
      </c>
      <c r="J11" s="282">
        <v>309898.15000000002</v>
      </c>
      <c r="K11" s="159"/>
      <c r="L11" s="281">
        <v>2314</v>
      </c>
      <c r="M11" s="282">
        <v>351093.01</v>
      </c>
    </row>
    <row r="12" spans="1:15">
      <c r="A12" s="1384" t="s">
        <v>726</v>
      </c>
      <c r="B12" s="1384"/>
      <c r="C12" s="281">
        <v>2397</v>
      </c>
      <c r="D12" s="282">
        <v>330057.33</v>
      </c>
      <c r="F12" s="281">
        <v>2005</v>
      </c>
      <c r="G12" s="282">
        <v>279658.76</v>
      </c>
      <c r="I12" s="281">
        <v>2226</v>
      </c>
      <c r="J12" s="282">
        <v>286306.44</v>
      </c>
      <c r="K12" s="159"/>
      <c r="L12" s="281">
        <v>3919</v>
      </c>
      <c r="M12" s="282">
        <v>548832.85</v>
      </c>
    </row>
    <row r="13" spans="1:15">
      <c r="A13" s="174" t="s">
        <v>727</v>
      </c>
      <c r="B13" s="161"/>
      <c r="C13" s="281">
        <v>17344</v>
      </c>
      <c r="D13" s="282">
        <v>7908810.4699999997</v>
      </c>
      <c r="F13" s="281">
        <v>16476</v>
      </c>
      <c r="G13" s="282">
        <v>8252959.0099999998</v>
      </c>
      <c r="I13" s="585">
        <v>27635</v>
      </c>
      <c r="J13" s="586">
        <v>8688268.6300000008</v>
      </c>
      <c r="K13" s="159"/>
      <c r="L13" s="585">
        <v>6781</v>
      </c>
      <c r="M13" s="586">
        <v>2487295.6800000002</v>
      </c>
    </row>
    <row r="14" spans="1:15">
      <c r="A14" s="1384" t="s">
        <v>343</v>
      </c>
      <c r="B14" s="1384"/>
      <c r="C14" s="171">
        <v>123561</v>
      </c>
      <c r="D14" s="173">
        <v>20367294.109999999</v>
      </c>
      <c r="F14" s="171">
        <v>129680</v>
      </c>
      <c r="G14" s="173">
        <v>22036178.760000002</v>
      </c>
      <c r="I14" s="281">
        <v>151382</v>
      </c>
      <c r="J14" s="282">
        <v>20855570.129999999</v>
      </c>
      <c r="K14" s="159"/>
      <c r="L14" s="281">
        <v>124032</v>
      </c>
      <c r="M14" s="282">
        <v>19866832.510000002</v>
      </c>
    </row>
    <row r="15" spans="1:15">
      <c r="A15" s="1384" t="s">
        <v>344</v>
      </c>
      <c r="B15" s="1384"/>
      <c r="C15" s="281">
        <v>95201</v>
      </c>
      <c r="D15" s="282">
        <v>15480482.08</v>
      </c>
      <c r="F15" s="281">
        <v>113498</v>
      </c>
      <c r="G15" s="282">
        <v>18806390.030000001</v>
      </c>
      <c r="I15" s="281">
        <v>149958</v>
      </c>
      <c r="J15" s="282">
        <v>20369801.940000001</v>
      </c>
      <c r="K15" s="159"/>
      <c r="L15" s="281">
        <v>114900</v>
      </c>
      <c r="M15" s="282">
        <v>17605023.300000001</v>
      </c>
    </row>
    <row r="16" spans="1:15">
      <c r="A16" s="1384" t="s">
        <v>728</v>
      </c>
      <c r="B16" s="1384"/>
      <c r="C16" s="281">
        <v>7120</v>
      </c>
      <c r="D16" s="282">
        <v>657877.85</v>
      </c>
      <c r="F16" s="281">
        <v>6767</v>
      </c>
      <c r="G16" s="282">
        <v>608096.06999999995</v>
      </c>
      <c r="I16" s="281">
        <v>8267</v>
      </c>
      <c r="J16" s="282">
        <v>686459.6</v>
      </c>
      <c r="K16" s="159"/>
      <c r="L16" s="281">
        <v>6190</v>
      </c>
      <c r="M16" s="282">
        <v>516369.27</v>
      </c>
    </row>
    <row r="17" spans="1:13">
      <c r="A17" s="1384" t="s">
        <v>729</v>
      </c>
      <c r="B17" s="1384"/>
      <c r="C17" s="171">
        <v>1404</v>
      </c>
      <c r="D17" s="175">
        <v>388092.7</v>
      </c>
      <c r="F17" s="171">
        <v>1282</v>
      </c>
      <c r="G17" s="175">
        <v>352987.02</v>
      </c>
      <c r="I17" s="171">
        <v>1732</v>
      </c>
      <c r="J17" s="765">
        <v>373367.39</v>
      </c>
      <c r="K17" s="159"/>
      <c r="L17" s="171">
        <v>1379</v>
      </c>
      <c r="M17" s="765">
        <v>404823.16</v>
      </c>
    </row>
    <row r="18" spans="1:13">
      <c r="A18" s="703" t="s">
        <v>1033</v>
      </c>
      <c r="B18" s="704"/>
      <c r="C18" s="705"/>
      <c r="D18" s="704"/>
      <c r="E18" s="704"/>
      <c r="F18" s="707">
        <v>3275</v>
      </c>
      <c r="G18" s="706">
        <v>1213098.0900000001</v>
      </c>
      <c r="H18" s="704"/>
      <c r="I18" s="707">
        <v>27894</v>
      </c>
      <c r="J18" s="706">
        <v>8682639.4900000002</v>
      </c>
      <c r="K18" s="704"/>
      <c r="L18" s="707">
        <v>17215</v>
      </c>
      <c r="M18" s="706">
        <v>5057115.0199999996</v>
      </c>
    </row>
    <row r="19" spans="1:13" ht="6" customHeight="1">
      <c r="A19" s="703"/>
      <c r="B19" s="704"/>
      <c r="C19" s="705"/>
      <c r="D19" s="704"/>
      <c r="E19" s="704"/>
      <c r="F19" s="705"/>
      <c r="G19" s="704"/>
      <c r="H19" s="704"/>
      <c r="I19" s="705"/>
      <c r="J19" s="706"/>
      <c r="K19" s="704"/>
      <c r="L19" s="707"/>
      <c r="M19" s="706"/>
    </row>
    <row r="20" spans="1:13" ht="15" customHeight="1">
      <c r="A20" s="176"/>
      <c r="B20" s="177" t="s">
        <v>730</v>
      </c>
      <c r="C20" s="178">
        <f>SUM(C8:C18)</f>
        <v>394869</v>
      </c>
      <c r="D20" s="179">
        <f>SUM(D8:D18)</f>
        <v>73533234.310000002</v>
      </c>
      <c r="E20" s="177"/>
      <c r="F20" s="178">
        <f>SUM(F8:F18)</f>
        <v>416032</v>
      </c>
      <c r="G20" s="179">
        <f>SUM(G8:G18)</f>
        <v>79619019.099999994</v>
      </c>
      <c r="H20" s="177"/>
      <c r="I20" s="178">
        <f>SUM(I8:I18)</f>
        <v>580829</v>
      </c>
      <c r="J20" s="179">
        <f>SUM(J8:J18)</f>
        <v>92963986.069999978</v>
      </c>
      <c r="K20" s="177"/>
      <c r="L20" s="178">
        <f>SUM(L8:L18)</f>
        <v>439189</v>
      </c>
      <c r="M20" s="179">
        <f>SUM(M8:M18)</f>
        <v>78637391.739999995</v>
      </c>
    </row>
    <row r="21" spans="1:13" ht="6" customHeight="1">
      <c r="G21" s="180"/>
      <c r="J21" s="180"/>
      <c r="L21" s="400"/>
      <c r="M21" s="172"/>
    </row>
    <row r="22" spans="1:13" s="1183" customFormat="1">
      <c r="A22" s="842" t="s">
        <v>19</v>
      </c>
      <c r="B22" s="842"/>
      <c r="C22" s="1181"/>
      <c r="D22" s="842"/>
      <c r="E22" s="842"/>
      <c r="F22" s="1181"/>
      <c r="G22" s="842"/>
      <c r="H22" s="842"/>
      <c r="I22" s="1181"/>
      <c r="J22" s="842"/>
      <c r="K22" s="1182"/>
      <c r="L22" s="1181"/>
      <c r="M22" s="842"/>
    </row>
    <row r="23" spans="1:13" s="1183" customFormat="1" ht="13.15" customHeight="1">
      <c r="A23" s="842" t="s">
        <v>925</v>
      </c>
      <c r="B23" s="842"/>
      <c r="C23" s="1181"/>
      <c r="D23" s="842"/>
      <c r="E23" s="842"/>
      <c r="F23" s="1181"/>
      <c r="G23" s="842"/>
      <c r="H23" s="842"/>
      <c r="I23" s="1181"/>
      <c r="J23" s="842"/>
      <c r="K23" s="1182"/>
      <c r="L23" s="1181"/>
      <c r="M23" s="842"/>
    </row>
    <row r="24" spans="1:13" s="1183" customFormat="1">
      <c r="A24" s="843" t="s">
        <v>1040</v>
      </c>
      <c r="B24" s="1066"/>
      <c r="C24" s="1066"/>
      <c r="D24" s="1066"/>
      <c r="E24" s="1066"/>
      <c r="F24" s="1066"/>
      <c r="G24" s="1066"/>
      <c r="H24" s="1066"/>
      <c r="I24" s="1066"/>
      <c r="J24" s="1066"/>
      <c r="K24" s="1066"/>
      <c r="L24" s="1066"/>
      <c r="M24" s="1066"/>
    </row>
    <row r="25" spans="1:13" ht="9.9499999999999993" customHeight="1">
      <c r="A25" s="182"/>
    </row>
    <row r="26" spans="1:13" ht="9.9499999999999993" customHeight="1">
      <c r="B26" s="181"/>
    </row>
    <row r="27" spans="1:13" ht="18">
      <c r="A27" s="183" t="s">
        <v>731</v>
      </c>
      <c r="C27" s="184"/>
    </row>
    <row r="28" spans="1:13" ht="15.75">
      <c r="A28" s="185" t="s">
        <v>732</v>
      </c>
      <c r="C28" s="184"/>
    </row>
    <row r="29" spans="1:13" ht="6" customHeight="1" thickBot="1">
      <c r="B29" s="184"/>
      <c r="C29" s="184"/>
    </row>
    <row r="30" spans="1:13">
      <c r="B30" s="186" t="s">
        <v>733</v>
      </c>
      <c r="C30" s="1393" t="s">
        <v>17</v>
      </c>
      <c r="D30" s="1394"/>
      <c r="F30" s="831"/>
      <c r="G30" s="831"/>
    </row>
    <row r="31" spans="1:13" ht="12.75" customHeight="1">
      <c r="B31" s="187">
        <v>2009</v>
      </c>
      <c r="C31" s="188"/>
      <c r="D31" s="354">
        <v>17876422.93</v>
      </c>
      <c r="F31" s="832"/>
      <c r="G31" s="833"/>
    </row>
    <row r="32" spans="1:13" ht="12.75" customHeight="1">
      <c r="B32" s="187">
        <v>2010</v>
      </c>
      <c r="C32" s="188"/>
      <c r="D32" s="189">
        <v>18578293.82</v>
      </c>
      <c r="F32" s="832"/>
      <c r="G32" s="833"/>
    </row>
    <row r="33" spans="1:14" ht="12.75" customHeight="1">
      <c r="B33" s="187">
        <v>2011</v>
      </c>
      <c r="C33" s="188"/>
      <c r="D33" s="190">
        <v>18104923.309999999</v>
      </c>
      <c r="F33" s="832"/>
      <c r="G33" s="833"/>
    </row>
    <row r="34" spans="1:14" ht="12.75" customHeight="1">
      <c r="B34" s="187">
        <v>2012</v>
      </c>
      <c r="C34" s="191"/>
      <c r="D34" s="192">
        <v>17368776.620000001</v>
      </c>
      <c r="F34" s="832"/>
      <c r="G34" s="833"/>
    </row>
    <row r="35" spans="1:14" ht="12.75" customHeight="1">
      <c r="B35" s="193">
        <v>2013</v>
      </c>
      <c r="C35" s="194"/>
      <c r="D35" s="192">
        <v>18211926.469999999</v>
      </c>
      <c r="F35" s="832"/>
      <c r="G35" s="833"/>
    </row>
    <row r="36" spans="1:14" ht="12.75" customHeight="1">
      <c r="B36" s="193">
        <v>2014</v>
      </c>
      <c r="C36" s="194"/>
      <c r="D36" s="195">
        <v>19469019.920000002</v>
      </c>
      <c r="F36" s="832"/>
      <c r="G36" s="833"/>
    </row>
    <row r="37" spans="1:14" ht="12.75" customHeight="1">
      <c r="B37" s="193">
        <v>2015</v>
      </c>
      <c r="C37" s="196"/>
      <c r="D37" s="195">
        <v>19206043.66</v>
      </c>
      <c r="F37" s="832"/>
      <c r="G37" s="833"/>
    </row>
    <row r="38" spans="1:14" ht="12.75" customHeight="1">
      <c r="B38" s="197">
        <v>2016</v>
      </c>
      <c r="C38" s="196"/>
      <c r="D38" s="195">
        <v>16359793.289999999</v>
      </c>
      <c r="F38" s="832"/>
      <c r="G38" s="833"/>
    </row>
    <row r="39" spans="1:14" ht="12.75" customHeight="1">
      <c r="B39" s="193">
        <v>2017</v>
      </c>
      <c r="C39" s="196"/>
      <c r="D39" s="195">
        <v>17431562.34</v>
      </c>
      <c r="F39" s="832"/>
      <c r="G39" s="833"/>
    </row>
    <row r="40" spans="1:14" ht="12.75" customHeight="1">
      <c r="B40" s="193">
        <v>2018</v>
      </c>
      <c r="C40" s="196"/>
      <c r="D40" s="656">
        <v>16204019.57</v>
      </c>
      <c r="F40" s="832"/>
      <c r="G40" s="833"/>
    </row>
    <row r="41" spans="1:14">
      <c r="B41" s="197">
        <v>2019</v>
      </c>
      <c r="C41" s="196"/>
      <c r="D41" s="656">
        <v>17428289.379999999</v>
      </c>
      <c r="F41" s="832"/>
    </row>
    <row r="42" spans="1:14" ht="6" customHeight="1">
      <c r="D42" s="763">
        <f>D41/D39-1</f>
        <v>-1.8776056535618757E-4</v>
      </c>
      <c r="I42" s="198"/>
      <c r="J42" s="198"/>
    </row>
    <row r="43" spans="1:14" s="835" customFormat="1" ht="12">
      <c r="A43" s="835" t="s">
        <v>19</v>
      </c>
      <c r="B43" s="836"/>
      <c r="C43" s="836"/>
      <c r="D43" s="837"/>
      <c r="F43" s="834"/>
      <c r="G43" s="838"/>
      <c r="H43" s="838"/>
      <c r="I43" s="834"/>
      <c r="K43" s="838"/>
      <c r="L43" s="838"/>
      <c r="M43" s="838"/>
      <c r="N43" s="838"/>
    </row>
    <row r="44" spans="1:14" s="835" customFormat="1" ht="38.25" customHeight="1">
      <c r="A44" s="1391" t="s">
        <v>924</v>
      </c>
      <c r="B44" s="1392"/>
      <c r="C44" s="1392"/>
      <c r="D44" s="1392"/>
      <c r="E44" s="840"/>
      <c r="F44" s="841"/>
      <c r="I44" s="834"/>
      <c r="K44" s="839"/>
      <c r="L44" s="834"/>
    </row>
    <row r="45" spans="1:14" s="1068" customFormat="1" ht="12.75" customHeight="1">
      <c r="A45" s="1120" t="s">
        <v>1159</v>
      </c>
      <c r="B45" s="1072"/>
      <c r="C45" s="1072"/>
      <c r="D45" s="1072"/>
      <c r="E45" s="1073"/>
    </row>
  </sheetData>
  <customSheetViews>
    <customSheetView guid="{E6BBE5A7-0B25-4EE8-BA45-5EA5DBAF3AD4}" showPageBreaks="1" printArea="1">
      <selection activeCell="F24" sqref="F24"/>
      <pageMargins left="0.5" right="0.5" top="0.5" bottom="1" header="0.5" footer="0.5"/>
      <printOptions horizontalCentered="1"/>
      <pageSetup scale="82" firstPageNumber="22" orientation="landscape" useFirstPageNumber="1" r:id="rId1"/>
      <headerFooter alignWithMargins="0"/>
    </customSheetView>
  </customSheetViews>
  <mergeCells count="15">
    <mergeCell ref="A44:D44"/>
    <mergeCell ref="A17:B17"/>
    <mergeCell ref="C30:D30"/>
    <mergeCell ref="A16:B16"/>
    <mergeCell ref="A10:B10"/>
    <mergeCell ref="A11:B11"/>
    <mergeCell ref="A12:B12"/>
    <mergeCell ref="A14:B14"/>
    <mergeCell ref="A15:B15"/>
    <mergeCell ref="A9:B9"/>
    <mergeCell ref="A4:B4"/>
    <mergeCell ref="A5:B5"/>
    <mergeCell ref="A6:B6"/>
    <mergeCell ref="A7:B7"/>
    <mergeCell ref="A8:B8"/>
  </mergeCells>
  <hyperlinks>
    <hyperlink ref="O1" location="TOC!A1" display="Back"/>
  </hyperlinks>
  <pageMargins left="0.5" right="0.25" top="0.4" bottom="0.25" header="0.25" footer="0"/>
  <pageSetup firstPageNumber="22" orientation="landscape" r:id="rId2"/>
  <headerFooter scaleWithDoc="0">
    <oddHeader>&amp;R&amp;P</oddHeader>
  </headerFooter>
  <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O54"/>
  <sheetViews>
    <sheetView zoomScaleNormal="100" workbookViewId="0"/>
  </sheetViews>
  <sheetFormatPr defaultColWidth="9.5703125" defaultRowHeight="12.75"/>
  <cols>
    <col min="1" max="1" width="58.7109375" style="202" customWidth="1"/>
    <col min="2" max="2" width="10.140625" style="202" hidden="1" customWidth="1"/>
    <col min="3" max="3" width="12.5703125" style="202" hidden="1" customWidth="1"/>
    <col min="4" max="4" width="2.5703125" style="202" hidden="1" customWidth="1"/>
    <col min="5" max="5" width="10.7109375" style="202" customWidth="1"/>
    <col min="6" max="6" width="12.7109375" style="202" customWidth="1"/>
    <col min="7" max="7" width="2.5703125" style="202" customWidth="1"/>
    <col min="8" max="8" width="10.7109375" style="220" customWidth="1"/>
    <col min="9" max="9" width="12.7109375" style="202" customWidth="1"/>
    <col min="10" max="10" width="2.5703125" style="202" customWidth="1"/>
    <col min="11" max="11" width="10.7109375" style="220" customWidth="1"/>
    <col min="12" max="12" width="12.7109375" style="202" customWidth="1"/>
    <col min="13" max="14" width="1.7109375" style="202" customWidth="1"/>
    <col min="15" max="15" width="5.28515625" style="202" bestFit="1" customWidth="1"/>
    <col min="16" max="16384" width="9.5703125" style="202"/>
  </cols>
  <sheetData>
    <row r="1" spans="1:15" ht="17.100000000000001" customHeight="1">
      <c r="A1" s="608" t="s">
        <v>734</v>
      </c>
      <c r="B1" s="199"/>
      <c r="C1" s="199"/>
      <c r="D1" s="199"/>
      <c r="E1" s="199"/>
      <c r="F1" s="199"/>
      <c r="G1" s="199"/>
      <c r="H1" s="200"/>
      <c r="I1" s="199"/>
      <c r="J1" s="199"/>
      <c r="K1" s="200"/>
      <c r="L1" s="199"/>
      <c r="M1" s="201"/>
      <c r="O1" s="1276" t="s">
        <v>1194</v>
      </c>
    </row>
    <row r="2" spans="1:15" ht="15" customHeight="1">
      <c r="A2" s="203" t="s">
        <v>1197</v>
      </c>
      <c r="C2" s="199"/>
      <c r="D2" s="199"/>
      <c r="E2" s="199"/>
      <c r="F2" s="199"/>
      <c r="G2" s="199"/>
      <c r="H2" s="200"/>
      <c r="I2" s="199"/>
      <c r="J2" s="199"/>
      <c r="K2" s="200"/>
      <c r="L2" s="199"/>
      <c r="M2" s="201"/>
    </row>
    <row r="3" spans="1:15" ht="6" customHeight="1" thickBot="1">
      <c r="A3" s="204"/>
      <c r="B3" s="204"/>
      <c r="C3" s="204"/>
      <c r="D3" s="204"/>
      <c r="E3" s="204"/>
      <c r="F3" s="204"/>
      <c r="G3" s="204"/>
      <c r="H3" s="205"/>
      <c r="I3" s="204"/>
      <c r="J3" s="204"/>
      <c r="K3" s="205"/>
      <c r="L3" s="204"/>
      <c r="M3" s="201"/>
    </row>
    <row r="4" spans="1:15" ht="14.1" customHeight="1">
      <c r="A4" s="206"/>
      <c r="B4" s="1402">
        <v>2016</v>
      </c>
      <c r="C4" s="1403"/>
      <c r="D4" s="207"/>
      <c r="E4" s="1397">
        <v>2017</v>
      </c>
      <c r="F4" s="1398"/>
      <c r="G4" s="1198"/>
      <c r="H4" s="1397">
        <v>2018</v>
      </c>
      <c r="I4" s="1398"/>
      <c r="J4" s="1198"/>
      <c r="K4" s="1397">
        <v>2019</v>
      </c>
      <c r="L4" s="1398"/>
      <c r="M4" s="201"/>
    </row>
    <row r="5" spans="1:15" s="208" customFormat="1" ht="14.1" customHeight="1">
      <c r="A5" s="1196" t="s">
        <v>735</v>
      </c>
      <c r="B5" s="1197" t="s">
        <v>736</v>
      </c>
      <c r="C5" s="1197" t="s">
        <v>20</v>
      </c>
      <c r="D5" s="1197"/>
      <c r="E5" s="1197" t="s">
        <v>736</v>
      </c>
      <c r="F5" s="1197" t="s">
        <v>20</v>
      </c>
      <c r="G5" s="1197"/>
      <c r="H5" s="1197" t="s">
        <v>736</v>
      </c>
      <c r="I5" s="1197" t="s">
        <v>20</v>
      </c>
      <c r="J5" s="1197"/>
      <c r="K5" s="1197" t="s">
        <v>736</v>
      </c>
      <c r="L5" s="1197" t="s">
        <v>20</v>
      </c>
      <c r="M5" s="204"/>
      <c r="N5" s="202"/>
      <c r="O5" s="202"/>
    </row>
    <row r="6" spans="1:15" ht="21" customHeight="1">
      <c r="A6" s="1199" t="s">
        <v>737</v>
      </c>
      <c r="B6" s="205">
        <v>589</v>
      </c>
      <c r="C6" s="209">
        <v>13566.72</v>
      </c>
      <c r="D6" s="210"/>
      <c r="E6" s="205">
        <v>2226</v>
      </c>
      <c r="F6" s="209">
        <v>48940.25</v>
      </c>
      <c r="H6" s="205">
        <v>1681</v>
      </c>
      <c r="I6" s="209">
        <v>32622.68</v>
      </c>
      <c r="K6" s="205">
        <v>2890</v>
      </c>
      <c r="L6" s="209">
        <v>56719.53</v>
      </c>
      <c r="M6" s="201"/>
      <c r="N6" s="208"/>
      <c r="O6" s="208"/>
    </row>
    <row r="7" spans="1:15" s="1316" customFormat="1" ht="14.1" customHeight="1">
      <c r="A7" s="1200" t="s">
        <v>738</v>
      </c>
      <c r="B7" s="1314">
        <v>182</v>
      </c>
      <c r="C7" s="1315">
        <v>4422.12</v>
      </c>
      <c r="D7" s="1314"/>
      <c r="E7" s="1314">
        <v>646</v>
      </c>
      <c r="F7" s="1315">
        <v>13398.64</v>
      </c>
      <c r="H7" s="1314">
        <v>641</v>
      </c>
      <c r="I7" s="1315">
        <v>12070</v>
      </c>
      <c r="K7" s="1317">
        <v>1051</v>
      </c>
      <c r="L7" s="1315">
        <v>19978.64</v>
      </c>
      <c r="M7" s="1318"/>
    </row>
    <row r="8" spans="1:15" s="1316" customFormat="1" ht="14.1" customHeight="1">
      <c r="A8" s="657" t="s">
        <v>739</v>
      </c>
      <c r="B8" s="1314">
        <v>1097</v>
      </c>
      <c r="C8" s="1315">
        <v>39819.230000000003</v>
      </c>
      <c r="D8" s="1314"/>
      <c r="E8" s="1314">
        <v>3601</v>
      </c>
      <c r="F8" s="1315">
        <v>87143.97</v>
      </c>
      <c r="H8" s="1314">
        <v>3282</v>
      </c>
      <c r="I8" s="1315">
        <v>74491.98</v>
      </c>
      <c r="K8" s="1317">
        <v>5012</v>
      </c>
      <c r="L8" s="1315">
        <v>108343.52</v>
      </c>
      <c r="M8" s="1318"/>
    </row>
    <row r="9" spans="1:15" s="1316" customFormat="1" ht="14.1" customHeight="1">
      <c r="A9" s="1200" t="s">
        <v>740</v>
      </c>
      <c r="B9" s="25">
        <v>446</v>
      </c>
      <c r="C9" s="1315">
        <v>14867</v>
      </c>
      <c r="D9" s="1314"/>
      <c r="E9" s="25">
        <v>1808</v>
      </c>
      <c r="F9" s="1315">
        <v>43610.400000000001</v>
      </c>
      <c r="H9" s="25">
        <v>1701</v>
      </c>
      <c r="I9" s="1315">
        <v>34905.919999999998</v>
      </c>
      <c r="K9" s="1317">
        <v>3108</v>
      </c>
      <c r="L9" s="1315">
        <v>66219.72</v>
      </c>
      <c r="M9" s="1318"/>
    </row>
    <row r="10" spans="1:15" s="1316" customFormat="1" ht="14.1" customHeight="1">
      <c r="A10" s="1200" t="s">
        <v>741</v>
      </c>
      <c r="B10" s="25">
        <v>688</v>
      </c>
      <c r="C10" s="1315">
        <v>17674.23</v>
      </c>
      <c r="D10" s="1314"/>
      <c r="E10" s="25">
        <v>2105</v>
      </c>
      <c r="F10" s="1315">
        <v>45028.27</v>
      </c>
      <c r="H10" s="25">
        <v>1762</v>
      </c>
      <c r="I10" s="1315">
        <v>34553.26</v>
      </c>
      <c r="K10" s="1317">
        <v>2501</v>
      </c>
      <c r="L10" s="1315">
        <v>47135.12</v>
      </c>
      <c r="M10" s="1318"/>
    </row>
    <row r="11" spans="1:15" s="1316" customFormat="1" ht="14.1" customHeight="1">
      <c r="A11" s="1200" t="s">
        <v>742</v>
      </c>
      <c r="B11" s="1314">
        <v>368</v>
      </c>
      <c r="C11" s="1315">
        <v>15366</v>
      </c>
      <c r="D11" s="1314"/>
      <c r="E11" s="1314">
        <v>1230</v>
      </c>
      <c r="F11" s="1315">
        <v>28944.14</v>
      </c>
      <c r="H11" s="1314">
        <v>1213</v>
      </c>
      <c r="I11" s="1315">
        <v>25353.87</v>
      </c>
      <c r="K11" s="1317">
        <v>1455</v>
      </c>
      <c r="L11" s="1315">
        <v>30981.59</v>
      </c>
      <c r="M11" s="1318"/>
    </row>
    <row r="12" spans="1:15" s="1316" customFormat="1" ht="14.1" customHeight="1">
      <c r="A12" s="1200" t="s">
        <v>743</v>
      </c>
      <c r="B12" s="1314">
        <v>700</v>
      </c>
      <c r="C12" s="1315">
        <v>18800.18</v>
      </c>
      <c r="D12" s="1314"/>
      <c r="E12" s="1314">
        <v>3077</v>
      </c>
      <c r="F12" s="1315">
        <v>68659.360000000001</v>
      </c>
      <c r="H12" s="1314">
        <v>2598</v>
      </c>
      <c r="I12" s="1315">
        <v>52933.760000000002</v>
      </c>
      <c r="K12" s="1317">
        <v>4157</v>
      </c>
      <c r="L12" s="1315">
        <v>85910.32</v>
      </c>
      <c r="M12" s="1318"/>
    </row>
    <row r="13" spans="1:15" s="1316" customFormat="1" ht="14.1" customHeight="1">
      <c r="A13" s="1200" t="s">
        <v>962</v>
      </c>
      <c r="B13" s="1314">
        <v>7</v>
      </c>
      <c r="C13" s="1315">
        <v>200</v>
      </c>
      <c r="D13" s="1314"/>
      <c r="E13" s="1314">
        <v>2</v>
      </c>
      <c r="F13" s="1315">
        <v>70</v>
      </c>
      <c r="H13" s="1314">
        <v>0</v>
      </c>
      <c r="I13" s="1315">
        <v>0</v>
      </c>
      <c r="K13" s="1317">
        <v>1</v>
      </c>
      <c r="L13" s="1315">
        <v>10</v>
      </c>
      <c r="M13" s="1318"/>
    </row>
    <row r="14" spans="1:15" s="1316" customFormat="1" ht="14.1" customHeight="1">
      <c r="A14" s="657" t="s">
        <v>963</v>
      </c>
      <c r="B14" s="1314">
        <v>6</v>
      </c>
      <c r="C14" s="1315">
        <v>165</v>
      </c>
      <c r="D14" s="1314"/>
      <c r="E14" s="1314">
        <v>1</v>
      </c>
      <c r="F14" s="1315">
        <v>20</v>
      </c>
      <c r="H14" s="1314">
        <v>0</v>
      </c>
      <c r="I14" s="1315">
        <v>0</v>
      </c>
      <c r="K14" s="1317">
        <v>1</v>
      </c>
      <c r="L14" s="1315">
        <v>10</v>
      </c>
      <c r="M14" s="1318"/>
    </row>
    <row r="15" spans="1:15" s="1316" customFormat="1" ht="14.1" customHeight="1">
      <c r="A15" s="1200" t="s">
        <v>744</v>
      </c>
      <c r="B15" s="1314">
        <v>609</v>
      </c>
      <c r="C15" s="1315">
        <v>17324.86</v>
      </c>
      <c r="D15" s="1314"/>
      <c r="E15" s="1314">
        <v>2458</v>
      </c>
      <c r="F15" s="1315">
        <v>49534.14</v>
      </c>
      <c r="H15" s="1314">
        <v>2143</v>
      </c>
      <c r="I15" s="1315">
        <v>41120.980000000003</v>
      </c>
      <c r="K15" s="1317">
        <v>3120</v>
      </c>
      <c r="L15" s="1315">
        <v>54681.599999999999</v>
      </c>
      <c r="M15" s="1318"/>
    </row>
    <row r="16" spans="1:15" s="1316" customFormat="1" ht="14.1" customHeight="1">
      <c r="A16" s="1200" t="s">
        <v>745</v>
      </c>
      <c r="B16" s="1314">
        <v>1261</v>
      </c>
      <c r="C16" s="1315">
        <v>39013.89</v>
      </c>
      <c r="D16" s="1314"/>
      <c r="E16" s="1314">
        <v>3164</v>
      </c>
      <c r="F16" s="1315">
        <v>83670.25</v>
      </c>
      <c r="H16" s="1314">
        <v>3285</v>
      </c>
      <c r="I16" s="1315">
        <v>82044.710000000006</v>
      </c>
      <c r="K16" s="1317">
        <v>3872</v>
      </c>
      <c r="L16" s="1315">
        <v>91734.78</v>
      </c>
      <c r="M16" s="1318"/>
    </row>
    <row r="17" spans="1:15" s="1316" customFormat="1" ht="14.1" customHeight="1">
      <c r="A17" s="657" t="s">
        <v>964</v>
      </c>
      <c r="B17" s="1314">
        <v>5</v>
      </c>
      <c r="C17" s="1315">
        <v>124</v>
      </c>
      <c r="D17" s="1314"/>
      <c r="E17" s="1314">
        <v>3</v>
      </c>
      <c r="F17" s="1315">
        <v>120</v>
      </c>
      <c r="H17" s="1314">
        <v>0</v>
      </c>
      <c r="I17" s="1315">
        <v>0</v>
      </c>
      <c r="K17" s="1317">
        <v>0</v>
      </c>
      <c r="L17" s="1315">
        <v>0</v>
      </c>
      <c r="M17" s="1318"/>
    </row>
    <row r="18" spans="1:15" s="1316" customFormat="1" ht="14.1" customHeight="1">
      <c r="A18" s="657" t="s">
        <v>816</v>
      </c>
      <c r="B18" s="1314">
        <v>637</v>
      </c>
      <c r="C18" s="1315">
        <v>15130.24</v>
      </c>
      <c r="D18" s="1314"/>
      <c r="E18" s="1314">
        <v>1942</v>
      </c>
      <c r="F18" s="1315">
        <v>36736.89</v>
      </c>
      <c r="H18" s="1314">
        <v>2171</v>
      </c>
      <c r="I18" s="1315">
        <v>38664.47</v>
      </c>
      <c r="K18" s="1317">
        <v>2691</v>
      </c>
      <c r="L18" s="1315">
        <v>48422.58</v>
      </c>
      <c r="M18" s="1318"/>
    </row>
    <row r="19" spans="1:15" s="1316" customFormat="1" ht="14.1" customHeight="1">
      <c r="A19" s="659" t="s">
        <v>965</v>
      </c>
      <c r="B19" s="1314">
        <v>7</v>
      </c>
      <c r="C19" s="1315">
        <v>252</v>
      </c>
      <c r="D19" s="1314"/>
      <c r="E19" s="1314">
        <v>7</v>
      </c>
      <c r="F19" s="1315">
        <v>82</v>
      </c>
      <c r="H19" s="1314">
        <v>6</v>
      </c>
      <c r="I19" s="1315">
        <v>84</v>
      </c>
      <c r="K19" s="1317">
        <v>0</v>
      </c>
      <c r="L19" s="1315">
        <v>0</v>
      </c>
      <c r="M19" s="1318"/>
    </row>
    <row r="20" spans="1:15" s="1316" customFormat="1" ht="14.1" customHeight="1">
      <c r="A20" s="657" t="s">
        <v>1055</v>
      </c>
      <c r="B20" s="1314"/>
      <c r="C20" s="1315"/>
      <c r="D20" s="1314"/>
      <c r="E20" s="1314">
        <v>1</v>
      </c>
      <c r="F20" s="1315">
        <v>50</v>
      </c>
      <c r="H20" s="1314">
        <v>998</v>
      </c>
      <c r="I20" s="1315">
        <v>17151.45</v>
      </c>
      <c r="K20" s="1317">
        <v>1651</v>
      </c>
      <c r="L20" s="1315">
        <v>32090.91</v>
      </c>
      <c r="M20" s="1318"/>
    </row>
    <row r="21" spans="1:15" s="1320" customFormat="1" ht="14.1" customHeight="1">
      <c r="A21" s="1201" t="s">
        <v>746</v>
      </c>
      <c r="B21" s="1319">
        <v>541</v>
      </c>
      <c r="C21" s="1315">
        <v>31980.25</v>
      </c>
      <c r="D21" s="1319"/>
      <c r="E21" s="1319">
        <v>1334</v>
      </c>
      <c r="F21" s="1315">
        <v>43953.33</v>
      </c>
      <c r="H21" s="1319">
        <v>1273</v>
      </c>
      <c r="I21" s="1315">
        <v>37614.75</v>
      </c>
      <c r="K21" s="1317">
        <v>1599</v>
      </c>
      <c r="L21" s="1315">
        <v>50293.58</v>
      </c>
      <c r="M21" s="1318"/>
      <c r="N21" s="1316"/>
      <c r="O21" s="1316"/>
    </row>
    <row r="22" spans="1:15" s="1316" customFormat="1" ht="14.1" customHeight="1">
      <c r="A22" s="1200" t="s">
        <v>1036</v>
      </c>
      <c r="B22" s="1317">
        <v>323</v>
      </c>
      <c r="C22" s="1315">
        <v>7442</v>
      </c>
      <c r="D22" s="1315"/>
      <c r="E22" s="1317">
        <v>20</v>
      </c>
      <c r="F22" s="1315">
        <v>304</v>
      </c>
      <c r="G22" s="1321"/>
      <c r="H22" s="1317">
        <v>6</v>
      </c>
      <c r="I22" s="1315">
        <v>423</v>
      </c>
      <c r="J22" s="1321"/>
      <c r="K22" s="1317">
        <v>5</v>
      </c>
      <c r="L22" s="1315">
        <v>140</v>
      </c>
      <c r="M22" s="1318"/>
      <c r="N22" s="1320"/>
      <c r="O22" s="1320"/>
    </row>
    <row r="23" spans="1:15" s="1316" customFormat="1" ht="14.1" customHeight="1">
      <c r="A23" s="657" t="s">
        <v>966</v>
      </c>
      <c r="B23" s="1315">
        <v>6</v>
      </c>
      <c r="C23" s="1315">
        <v>220</v>
      </c>
      <c r="D23" s="1315"/>
      <c r="E23" s="1315">
        <v>1</v>
      </c>
      <c r="F23" s="1315">
        <v>25</v>
      </c>
      <c r="G23" s="1321"/>
      <c r="H23" s="1315">
        <v>0</v>
      </c>
      <c r="I23" s="1315">
        <v>0</v>
      </c>
      <c r="J23" s="1321"/>
      <c r="K23" s="1317">
        <v>0</v>
      </c>
      <c r="L23" s="1315">
        <v>0</v>
      </c>
      <c r="M23" s="1318"/>
    </row>
    <row r="24" spans="1:15" s="1316" customFormat="1" ht="14.1" customHeight="1">
      <c r="A24" s="1200" t="s">
        <v>747</v>
      </c>
      <c r="B24" s="1317">
        <v>678</v>
      </c>
      <c r="C24" s="1315">
        <v>18473.599999999999</v>
      </c>
      <c r="D24" s="1315"/>
      <c r="E24" s="1317">
        <v>2170</v>
      </c>
      <c r="F24" s="1315">
        <v>46049.85</v>
      </c>
      <c r="G24" s="1321"/>
      <c r="H24" s="1317">
        <v>1831</v>
      </c>
      <c r="I24" s="1315">
        <v>37980.720000000001</v>
      </c>
      <c r="J24" s="1321"/>
      <c r="K24" s="1317">
        <v>2410</v>
      </c>
      <c r="L24" s="1315">
        <v>47489.87</v>
      </c>
      <c r="M24" s="1318"/>
    </row>
    <row r="25" spans="1:15" s="1316" customFormat="1" ht="14.1" customHeight="1">
      <c r="A25" s="657" t="s">
        <v>967</v>
      </c>
      <c r="B25" s="1315">
        <v>4</v>
      </c>
      <c r="C25" s="1315">
        <v>170</v>
      </c>
      <c r="D25" s="212"/>
      <c r="E25" s="1315">
        <v>4</v>
      </c>
      <c r="F25" s="1315">
        <v>155</v>
      </c>
      <c r="G25" s="1321"/>
      <c r="H25" s="1315">
        <v>0</v>
      </c>
      <c r="I25" s="1315">
        <v>0</v>
      </c>
      <c r="J25" s="1321"/>
      <c r="K25" s="1317">
        <v>1</v>
      </c>
      <c r="L25" s="1315">
        <v>10</v>
      </c>
      <c r="M25" s="1318"/>
    </row>
    <row r="26" spans="1:15" s="1316" customFormat="1" ht="14.1" customHeight="1">
      <c r="A26" s="1200" t="s">
        <v>748</v>
      </c>
      <c r="B26" s="1314">
        <v>471</v>
      </c>
      <c r="C26" s="1315">
        <v>13318</v>
      </c>
      <c r="D26" s="212"/>
      <c r="E26" s="1314">
        <v>1600</v>
      </c>
      <c r="F26" s="1315">
        <v>33485.279999999999</v>
      </c>
      <c r="H26" s="1314">
        <v>1246</v>
      </c>
      <c r="I26" s="1315">
        <v>24994.47</v>
      </c>
      <c r="K26" s="1317">
        <v>1922</v>
      </c>
      <c r="L26" s="1315">
        <v>36849.47</v>
      </c>
      <c r="M26" s="1318"/>
    </row>
    <row r="27" spans="1:15" s="1316" customFormat="1" ht="14.1" customHeight="1">
      <c r="A27" s="1200" t="s">
        <v>749</v>
      </c>
      <c r="B27" s="1314">
        <v>465</v>
      </c>
      <c r="C27" s="1315">
        <v>11605.89</v>
      </c>
      <c r="D27" s="212"/>
      <c r="E27" s="1314">
        <v>1902</v>
      </c>
      <c r="F27" s="1315">
        <v>42383.28</v>
      </c>
      <c r="H27" s="1314">
        <v>1679</v>
      </c>
      <c r="I27" s="1315">
        <v>37630.160000000003</v>
      </c>
      <c r="K27" s="1317">
        <v>2659</v>
      </c>
      <c r="L27" s="1315">
        <v>57833.66</v>
      </c>
      <c r="M27" s="1318"/>
    </row>
    <row r="28" spans="1:15" s="1316" customFormat="1" ht="14.1" customHeight="1">
      <c r="A28" s="657" t="s">
        <v>968</v>
      </c>
      <c r="B28" s="1314">
        <v>10</v>
      </c>
      <c r="C28" s="1315">
        <v>218</v>
      </c>
      <c r="D28" s="212"/>
      <c r="E28" s="1314">
        <v>5</v>
      </c>
      <c r="F28" s="1315">
        <v>295</v>
      </c>
      <c r="H28" s="1314">
        <v>0</v>
      </c>
      <c r="I28" s="1315">
        <v>0</v>
      </c>
      <c r="K28" s="1317">
        <v>0</v>
      </c>
      <c r="L28" s="1315">
        <v>0</v>
      </c>
      <c r="M28" s="1318"/>
    </row>
    <row r="29" spans="1:15" s="1316" customFormat="1" ht="14.1" customHeight="1">
      <c r="A29" s="1200" t="s">
        <v>750</v>
      </c>
      <c r="B29" s="1314">
        <v>601</v>
      </c>
      <c r="C29" s="1315">
        <v>17964</v>
      </c>
      <c r="D29" s="212"/>
      <c r="E29" s="1314">
        <v>1804</v>
      </c>
      <c r="F29" s="1315">
        <v>44190.239999999998</v>
      </c>
      <c r="H29" s="1314">
        <v>1796</v>
      </c>
      <c r="I29" s="1315">
        <v>38476.67</v>
      </c>
      <c r="K29" s="1317">
        <v>2224</v>
      </c>
      <c r="L29" s="1315">
        <v>51726.78</v>
      </c>
      <c r="M29" s="1318"/>
    </row>
    <row r="30" spans="1:15" s="1316" customFormat="1" ht="14.1" customHeight="1">
      <c r="A30" s="657" t="s">
        <v>751</v>
      </c>
      <c r="B30" s="1314">
        <v>789</v>
      </c>
      <c r="C30" s="1315">
        <v>22894.55</v>
      </c>
      <c r="D30" s="212"/>
      <c r="E30" s="1314">
        <v>1635</v>
      </c>
      <c r="F30" s="1315">
        <v>43001.86</v>
      </c>
      <c r="H30" s="1314">
        <v>1565</v>
      </c>
      <c r="I30" s="1315">
        <v>40105.050000000003</v>
      </c>
      <c r="K30" s="1317">
        <v>2634</v>
      </c>
      <c r="L30" s="1315">
        <v>64875.37</v>
      </c>
      <c r="M30" s="1318"/>
    </row>
    <row r="31" spans="1:15" s="1316" customFormat="1" ht="14.1" customHeight="1">
      <c r="A31" s="657" t="s">
        <v>969</v>
      </c>
      <c r="B31" s="1314">
        <v>7</v>
      </c>
      <c r="C31" s="1315">
        <v>152</v>
      </c>
      <c r="D31" s="212"/>
      <c r="E31" s="1314">
        <v>2</v>
      </c>
      <c r="F31" s="1315">
        <v>36</v>
      </c>
      <c r="H31" s="1314">
        <v>0</v>
      </c>
      <c r="I31" s="1315">
        <v>0</v>
      </c>
      <c r="K31" s="1317">
        <v>0</v>
      </c>
      <c r="L31" s="1315">
        <v>0</v>
      </c>
      <c r="M31" s="1318"/>
    </row>
    <row r="32" spans="1:15" s="1316" customFormat="1" ht="14.1" customHeight="1">
      <c r="A32" s="657" t="s">
        <v>891</v>
      </c>
      <c r="B32" s="1322">
        <v>1110</v>
      </c>
      <c r="C32" s="1322">
        <v>712691</v>
      </c>
      <c r="D32" s="1323"/>
      <c r="E32" s="1315">
        <v>983</v>
      </c>
      <c r="F32" s="1315">
        <v>648929</v>
      </c>
      <c r="G32" s="1324"/>
      <c r="H32" s="1315">
        <v>949</v>
      </c>
      <c r="I32" s="1315">
        <v>599362.82999999996</v>
      </c>
      <c r="J32" s="1324"/>
      <c r="K32" s="1317">
        <v>1024</v>
      </c>
      <c r="L32" s="1315">
        <v>637076.97</v>
      </c>
      <c r="M32" s="1318"/>
    </row>
    <row r="33" spans="1:15" s="1316" customFormat="1" ht="14.1" customHeight="1">
      <c r="A33" s="657" t="s">
        <v>978</v>
      </c>
      <c r="B33" s="1319">
        <v>72</v>
      </c>
      <c r="C33" s="1319">
        <v>1387</v>
      </c>
      <c r="D33" s="1325"/>
      <c r="E33" s="1319">
        <v>384</v>
      </c>
      <c r="F33" s="1319">
        <v>5534.87</v>
      </c>
      <c r="G33" s="1326"/>
      <c r="H33" s="1319">
        <v>339</v>
      </c>
      <c r="I33" s="1319">
        <v>3939.81</v>
      </c>
      <c r="J33" s="1326"/>
      <c r="K33" s="1317">
        <v>8</v>
      </c>
      <c r="L33" s="1315">
        <v>236</v>
      </c>
      <c r="M33" s="1318"/>
    </row>
    <row r="34" spans="1:15" s="1316" customFormat="1" ht="14.1" customHeight="1">
      <c r="A34" s="657" t="s">
        <v>970</v>
      </c>
      <c r="B34" s="1319">
        <v>69</v>
      </c>
      <c r="C34" s="1319">
        <v>2147</v>
      </c>
      <c r="D34" s="1325"/>
      <c r="E34" s="1319">
        <v>144</v>
      </c>
      <c r="F34" s="1319">
        <v>3640.9300000000003</v>
      </c>
      <c r="G34" s="1326"/>
      <c r="H34" s="1319">
        <v>134</v>
      </c>
      <c r="I34" s="1319">
        <v>2876</v>
      </c>
      <c r="J34" s="1326"/>
      <c r="K34" s="1317">
        <v>25</v>
      </c>
      <c r="L34" s="1315">
        <v>2541</v>
      </c>
      <c r="M34" s="1318"/>
    </row>
    <row r="35" spans="1:15" s="1316" customFormat="1" ht="14.1" customHeight="1">
      <c r="A35" s="657" t="s">
        <v>971</v>
      </c>
      <c r="B35" s="1319">
        <v>197</v>
      </c>
      <c r="C35" s="1319">
        <v>4975</v>
      </c>
      <c r="D35" s="1325"/>
      <c r="E35" s="1319">
        <v>678</v>
      </c>
      <c r="F35" s="1319">
        <v>13666.7</v>
      </c>
      <c r="G35" s="1326"/>
      <c r="H35" s="1319">
        <v>655</v>
      </c>
      <c r="I35" s="1319">
        <v>11081.45</v>
      </c>
      <c r="J35" s="1326"/>
      <c r="K35" s="1317">
        <v>23</v>
      </c>
      <c r="L35" s="1315">
        <v>654</v>
      </c>
      <c r="M35" s="1318"/>
    </row>
    <row r="36" spans="1:15" s="1316" customFormat="1" ht="14.1" customHeight="1">
      <c r="A36" s="657" t="s">
        <v>973</v>
      </c>
      <c r="B36" s="1319">
        <v>80</v>
      </c>
      <c r="C36" s="1319">
        <v>1247</v>
      </c>
      <c r="D36" s="1325"/>
      <c r="E36" s="1319">
        <v>297</v>
      </c>
      <c r="F36" s="1319">
        <v>3809</v>
      </c>
      <c r="G36" s="1326"/>
      <c r="H36" s="1319">
        <v>323</v>
      </c>
      <c r="I36" s="1319">
        <v>4349.53</v>
      </c>
      <c r="J36" s="1326"/>
      <c r="K36" s="1317">
        <v>12</v>
      </c>
      <c r="L36" s="1315">
        <v>144</v>
      </c>
      <c r="M36" s="1318"/>
    </row>
    <row r="37" spans="1:15" s="1316" customFormat="1" ht="14.1" customHeight="1">
      <c r="A37" s="657" t="s">
        <v>972</v>
      </c>
      <c r="B37" s="1319">
        <v>320</v>
      </c>
      <c r="C37" s="1319">
        <v>8591.25</v>
      </c>
      <c r="D37" s="1325"/>
      <c r="E37" s="1319">
        <v>1149</v>
      </c>
      <c r="F37" s="1319">
        <v>21960.7</v>
      </c>
      <c r="G37" s="1326"/>
      <c r="H37" s="1319">
        <v>1097</v>
      </c>
      <c r="I37" s="1319">
        <v>18276.84</v>
      </c>
      <c r="J37" s="1326"/>
      <c r="K37" s="1317">
        <v>20</v>
      </c>
      <c r="L37" s="1315">
        <v>369</v>
      </c>
      <c r="M37" s="1318"/>
    </row>
    <row r="38" spans="1:15" s="1316" customFormat="1" ht="14.1" customHeight="1">
      <c r="A38" s="657" t="s">
        <v>974</v>
      </c>
      <c r="B38" s="1319">
        <v>239</v>
      </c>
      <c r="C38" s="1319">
        <v>4318</v>
      </c>
      <c r="D38" s="1325"/>
      <c r="E38" s="1319">
        <v>953</v>
      </c>
      <c r="F38" s="1319">
        <v>15759.09</v>
      </c>
      <c r="G38" s="1326"/>
      <c r="H38" s="1319">
        <v>982</v>
      </c>
      <c r="I38" s="1319">
        <v>14017</v>
      </c>
      <c r="J38" s="1326"/>
      <c r="K38" s="1317">
        <v>22</v>
      </c>
      <c r="L38" s="1315">
        <v>1065</v>
      </c>
      <c r="M38" s="1318"/>
    </row>
    <row r="39" spans="1:15" s="1316" customFormat="1" ht="14.1" customHeight="1">
      <c r="A39" s="657" t="s">
        <v>975</v>
      </c>
      <c r="B39" s="1319">
        <v>77</v>
      </c>
      <c r="C39" s="1319">
        <v>1045</v>
      </c>
      <c r="D39" s="1325"/>
      <c r="E39" s="1319">
        <v>136</v>
      </c>
      <c r="F39" s="1319">
        <v>1481</v>
      </c>
      <c r="G39" s="1326"/>
      <c r="H39" s="1319">
        <v>134</v>
      </c>
      <c r="I39" s="1319">
        <v>3315</v>
      </c>
      <c r="J39" s="1326"/>
      <c r="K39" s="1317">
        <v>3</v>
      </c>
      <c r="L39" s="1315">
        <v>36</v>
      </c>
      <c r="M39" s="1318"/>
    </row>
    <row r="40" spans="1:15" s="1316" customFormat="1" ht="14.1" customHeight="1">
      <c r="A40" s="657" t="s">
        <v>976</v>
      </c>
      <c r="B40" s="1319">
        <v>196</v>
      </c>
      <c r="C40" s="1319">
        <v>3715</v>
      </c>
      <c r="D40" s="1325"/>
      <c r="E40" s="1319">
        <v>1604</v>
      </c>
      <c r="F40" s="1319">
        <v>31516.35</v>
      </c>
      <c r="G40" s="1326"/>
      <c r="H40" s="1319">
        <v>1518</v>
      </c>
      <c r="I40" s="1319">
        <v>28169.599999999999</v>
      </c>
      <c r="J40" s="1326"/>
      <c r="K40" s="1317">
        <v>33</v>
      </c>
      <c r="L40" s="1315">
        <v>1047</v>
      </c>
      <c r="M40" s="1318"/>
    </row>
    <row r="41" spans="1:15" s="1316" customFormat="1" ht="14.1" customHeight="1">
      <c r="A41" s="657" t="s">
        <v>977</v>
      </c>
      <c r="B41" s="1319">
        <v>657</v>
      </c>
      <c r="C41" s="1319">
        <v>19802.099999999999</v>
      </c>
      <c r="D41" s="1325"/>
      <c r="E41" s="1319">
        <v>2789</v>
      </c>
      <c r="F41" s="1319">
        <v>72059.73</v>
      </c>
      <c r="G41" s="1326"/>
      <c r="H41" s="1319">
        <v>2811</v>
      </c>
      <c r="I41" s="1319">
        <v>71122.28</v>
      </c>
      <c r="J41" s="1326"/>
      <c r="K41" s="1317">
        <v>4269</v>
      </c>
      <c r="L41" s="1315">
        <v>136938.82</v>
      </c>
      <c r="M41" s="1318"/>
    </row>
    <row r="42" spans="1:15" ht="6" customHeight="1">
      <c r="A42" s="657"/>
      <c r="B42" s="211"/>
      <c r="C42" s="210"/>
      <c r="D42" s="214"/>
      <c r="E42" s="211"/>
      <c r="F42" s="210"/>
      <c r="G42" s="210"/>
      <c r="H42" s="211"/>
      <c r="I42" s="210"/>
      <c r="J42" s="210"/>
      <c r="K42" s="211"/>
      <c r="L42" s="210"/>
      <c r="M42" s="201"/>
    </row>
    <row r="43" spans="1:15" ht="14.45" customHeight="1">
      <c r="A43" s="658" t="s">
        <v>17</v>
      </c>
      <c r="B43" s="215">
        <f>SUM(B6:B41)</f>
        <v>13514</v>
      </c>
      <c r="C43" s="215">
        <f t="shared" ref="C43:L43" si="0">SUM(C6:C41)</f>
        <v>1081082.1100000001</v>
      </c>
      <c r="D43" s="215"/>
      <c r="E43" s="215">
        <f t="shared" si="0"/>
        <v>41865</v>
      </c>
      <c r="F43" s="215">
        <f t="shared" si="0"/>
        <v>1578244.52</v>
      </c>
      <c r="G43" s="215"/>
      <c r="H43" s="215">
        <f t="shared" ref="H43:I43" si="1">SUM(H6:H41)</f>
        <v>39819</v>
      </c>
      <c r="I43" s="215">
        <f t="shared" si="1"/>
        <v>1419732.2400000002</v>
      </c>
      <c r="J43" s="215"/>
      <c r="K43" s="215">
        <f t="shared" si="0"/>
        <v>50403</v>
      </c>
      <c r="L43" s="215">
        <f t="shared" si="0"/>
        <v>1731564.83</v>
      </c>
      <c r="M43" s="201"/>
    </row>
    <row r="44" spans="1:15" ht="9" customHeight="1">
      <c r="A44" s="213"/>
      <c r="B44" s="216"/>
      <c r="C44" s="217"/>
      <c r="D44" s="218"/>
      <c r="E44" s="216"/>
      <c r="F44" s="219"/>
      <c r="G44" s="219"/>
      <c r="H44" s="216"/>
      <c r="I44" s="216"/>
      <c r="J44" s="219"/>
      <c r="K44" s="216"/>
      <c r="L44" s="216"/>
      <c r="M44" s="201"/>
    </row>
    <row r="45" spans="1:15" s="208" customFormat="1" ht="14.1" customHeight="1">
      <c r="A45" s="1192" t="s">
        <v>1</v>
      </c>
      <c r="B45" s="1193"/>
      <c r="C45" s="1194"/>
      <c r="D45" s="1194"/>
      <c r="E45" s="1193"/>
      <c r="F45" s="1195"/>
      <c r="G45" s="1195"/>
      <c r="H45" s="1193"/>
      <c r="I45" s="1195"/>
      <c r="J45" s="1195"/>
      <c r="K45" s="1193"/>
      <c r="L45" s="1195"/>
      <c r="M45" s="1191"/>
      <c r="O45" s="202"/>
    </row>
    <row r="46" spans="1:15" s="208" customFormat="1" ht="27.95" customHeight="1">
      <c r="A46" s="1399" t="s">
        <v>752</v>
      </c>
      <c r="B46" s="1399"/>
      <c r="C46" s="1399"/>
      <c r="D46" s="1399"/>
      <c r="E46" s="1399"/>
      <c r="F46" s="1399"/>
      <c r="G46" s="1399"/>
      <c r="H46" s="1399"/>
      <c r="I46" s="1399"/>
      <c r="J46" s="1399"/>
      <c r="K46" s="1399"/>
      <c r="L46" s="1399"/>
      <c r="M46" s="1191"/>
    </row>
    <row r="47" spans="1:15" s="208" customFormat="1" ht="27.95" customHeight="1">
      <c r="A47" s="1399" t="s">
        <v>1175</v>
      </c>
      <c r="B47" s="1399"/>
      <c r="C47" s="1399"/>
      <c r="D47" s="1399"/>
      <c r="E47" s="1399"/>
      <c r="F47" s="1399"/>
      <c r="G47" s="1399"/>
      <c r="H47" s="1399"/>
      <c r="I47" s="1399"/>
      <c r="J47" s="1399"/>
      <c r="K47" s="1399"/>
      <c r="L47" s="1399"/>
      <c r="M47" s="1191"/>
    </row>
    <row r="48" spans="1:15" s="208" customFormat="1" ht="27.95" customHeight="1">
      <c r="A48" s="1399" t="s">
        <v>956</v>
      </c>
      <c r="B48" s="1399"/>
      <c r="C48" s="1399"/>
      <c r="D48" s="1399"/>
      <c r="E48" s="1399"/>
      <c r="F48" s="1399"/>
      <c r="G48" s="1399"/>
      <c r="H48" s="1399"/>
      <c r="I48" s="1399"/>
      <c r="J48" s="1399"/>
      <c r="K48" s="1399"/>
      <c r="L48" s="1399"/>
      <c r="M48" s="1191"/>
    </row>
    <row r="49" spans="1:15" s="208" customFormat="1" ht="14.1" customHeight="1">
      <c r="A49" s="1400" t="s">
        <v>1174</v>
      </c>
      <c r="B49" s="1400"/>
      <c r="C49" s="1400"/>
      <c r="D49" s="1400"/>
      <c r="E49" s="1400"/>
      <c r="F49" s="1400"/>
      <c r="G49" s="1400"/>
      <c r="H49" s="1400"/>
      <c r="I49" s="1400"/>
      <c r="J49" s="1400"/>
      <c r="K49" s="1400"/>
      <c r="L49" s="1400"/>
      <c r="M49" s="1191"/>
    </row>
    <row r="50" spans="1:15" s="208" customFormat="1" ht="27.95" customHeight="1">
      <c r="A50" s="1401" t="s">
        <v>1198</v>
      </c>
      <c r="B50" s="1396"/>
      <c r="C50" s="1396"/>
      <c r="D50" s="1396"/>
      <c r="E50" s="1396"/>
      <c r="F50" s="1396"/>
      <c r="G50" s="1396"/>
      <c r="H50" s="1396"/>
      <c r="I50" s="1396"/>
      <c r="J50" s="1396"/>
      <c r="K50" s="1396"/>
      <c r="L50" s="1396"/>
      <c r="M50" s="1191"/>
    </row>
    <row r="51" spans="1:15" s="208" customFormat="1" ht="14.1" customHeight="1">
      <c r="A51" s="1396" t="s">
        <v>1056</v>
      </c>
      <c r="B51" s="1396"/>
      <c r="C51" s="1396"/>
      <c r="D51" s="1396"/>
      <c r="E51" s="1396"/>
      <c r="F51" s="1396"/>
      <c r="G51" s="1396"/>
      <c r="H51" s="1396"/>
      <c r="I51" s="1396"/>
      <c r="J51" s="1396"/>
      <c r="K51" s="1396"/>
      <c r="L51" s="1396"/>
    </row>
    <row r="52" spans="1:15" s="208" customFormat="1" ht="14.1" customHeight="1">
      <c r="A52" s="1396" t="s">
        <v>979</v>
      </c>
      <c r="B52" s="1396"/>
      <c r="C52" s="1396"/>
      <c r="D52" s="1396"/>
      <c r="E52" s="1396"/>
      <c r="F52" s="1396"/>
      <c r="G52" s="1396"/>
      <c r="H52" s="1396"/>
      <c r="I52" s="1396"/>
      <c r="J52" s="1396"/>
      <c r="K52" s="1396"/>
      <c r="L52" s="1396"/>
    </row>
    <row r="53" spans="1:15" s="1068" customFormat="1" ht="12.75" customHeight="1">
      <c r="A53" s="1120" t="s">
        <v>1173</v>
      </c>
      <c r="B53" s="1072"/>
      <c r="C53" s="1072"/>
      <c r="D53" s="1072"/>
      <c r="E53" s="1073"/>
      <c r="O53" s="208"/>
    </row>
    <row r="54" spans="1:15" ht="13.5">
      <c r="O54" s="1068"/>
    </row>
  </sheetData>
  <customSheetViews>
    <customSheetView guid="{E6BBE5A7-0B25-4EE8-BA45-5EA5DBAF3AD4}" showPageBreaks="1" printArea="1">
      <selection activeCell="I9" sqref="I9"/>
      <pageMargins left="0.5" right="0.5" top="0.5" bottom="1" header="0.5" footer="0.5"/>
      <printOptions horizontalCentered="1"/>
      <pageSetup scale="63" firstPageNumber="23" orientation="landscape" useFirstPageNumber="1" r:id="rId1"/>
      <headerFooter alignWithMargins="0"/>
    </customSheetView>
  </customSheetViews>
  <mergeCells count="11">
    <mergeCell ref="A52:L52"/>
    <mergeCell ref="A51:L51"/>
    <mergeCell ref="E4:F4"/>
    <mergeCell ref="K4:L4"/>
    <mergeCell ref="A46:L46"/>
    <mergeCell ref="A47:L47"/>
    <mergeCell ref="A49:L49"/>
    <mergeCell ref="A50:L50"/>
    <mergeCell ref="A48:L48"/>
    <mergeCell ref="B4:C4"/>
    <mergeCell ref="H4:I4"/>
  </mergeCells>
  <conditionalFormatting sqref="M6:M31">
    <cfRule type="cellIs" dxfId="1" priority="2" stopIfTrue="1" operator="equal">
      <formula>0</formula>
    </cfRule>
  </conditionalFormatting>
  <hyperlinks>
    <hyperlink ref="O1" location="TOC!A1" display="Back"/>
  </hyperlinks>
  <pageMargins left="0.6" right="0.25" top="0.4" bottom="0.25" header="0.25" footer="0.25"/>
  <pageSetup scale="75" firstPageNumber="23" orientation="landscape" r:id="rId2"/>
  <headerFooter scaleWithDoc="0">
    <oddHeader>&amp;R&amp;P</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M44"/>
  <sheetViews>
    <sheetView zoomScaleNormal="100" workbookViewId="0"/>
  </sheetViews>
  <sheetFormatPr defaultColWidth="11.42578125" defaultRowHeight="15"/>
  <cols>
    <col min="1" max="1" width="18.7109375" style="111" customWidth="1"/>
    <col min="2" max="3" width="3.7109375" style="111" customWidth="1"/>
    <col min="4" max="4" width="18.7109375" style="111" customWidth="1"/>
    <col min="5" max="12" width="10.7109375" style="111" customWidth="1"/>
    <col min="13" max="13" width="5.28515625" style="111" bestFit="1" customWidth="1"/>
    <col min="14" max="16384" width="11.42578125" style="111"/>
  </cols>
  <sheetData>
    <row r="1" spans="1:13" ht="18">
      <c r="A1" s="600" t="s">
        <v>339</v>
      </c>
      <c r="M1" s="1276" t="s">
        <v>1194</v>
      </c>
    </row>
    <row r="2" spans="1:13" ht="15.75">
      <c r="A2" s="112" t="s">
        <v>340</v>
      </c>
    </row>
    <row r="3" spans="1:13" ht="15.75" thickBot="1"/>
    <row r="4" spans="1:13" ht="15.75" thickTop="1">
      <c r="A4" s="114" t="s">
        <v>33</v>
      </c>
      <c r="B4" s="114"/>
      <c r="C4" s="114"/>
      <c r="D4" s="114" t="s">
        <v>20</v>
      </c>
      <c r="E4" s="113"/>
    </row>
    <row r="5" spans="1:13" hidden="1">
      <c r="A5" s="115">
        <v>2010</v>
      </c>
      <c r="B5" s="116"/>
      <c r="C5" s="116"/>
      <c r="D5" s="355">
        <v>806472760</v>
      </c>
      <c r="E5" s="117"/>
    </row>
    <row r="6" spans="1:13">
      <c r="A6" s="115">
        <v>2011</v>
      </c>
      <c r="B6" s="116"/>
      <c r="C6" s="116"/>
      <c r="D6" s="119">
        <v>822258802.83999991</v>
      </c>
      <c r="E6" s="117"/>
    </row>
    <row r="7" spans="1:13">
      <c r="A7" s="115">
        <v>2012</v>
      </c>
      <c r="B7" s="116"/>
      <c r="C7" s="116"/>
      <c r="D7" s="118">
        <v>859922839.54999995</v>
      </c>
      <c r="E7" s="117"/>
    </row>
    <row r="8" spans="1:13">
      <c r="A8" s="120">
        <v>2013</v>
      </c>
      <c r="B8" s="116"/>
      <c r="C8" s="116"/>
      <c r="D8" s="119">
        <v>796728154.4000001</v>
      </c>
      <c r="E8" s="117"/>
      <c r="F8" s="119"/>
    </row>
    <row r="9" spans="1:13">
      <c r="A9" s="120">
        <v>2014</v>
      </c>
      <c r="B9" s="116"/>
      <c r="C9" s="116"/>
      <c r="D9" s="119">
        <v>757490742.09000015</v>
      </c>
      <c r="E9" s="117"/>
    </row>
    <row r="10" spans="1:13">
      <c r="A10" s="120">
        <v>2015</v>
      </c>
      <c r="D10" s="119">
        <v>831906887.15999985</v>
      </c>
      <c r="E10" s="117"/>
    </row>
    <row r="11" spans="1:13">
      <c r="A11" s="120">
        <v>2016</v>
      </c>
      <c r="D11" s="119">
        <v>764948013.7700001</v>
      </c>
      <c r="E11" s="117"/>
    </row>
    <row r="12" spans="1:13">
      <c r="A12" s="120">
        <v>2017</v>
      </c>
      <c r="D12" s="121">
        <v>826960822.31000006</v>
      </c>
      <c r="E12" s="117"/>
    </row>
    <row r="13" spans="1:13">
      <c r="A13" s="120">
        <v>2018</v>
      </c>
      <c r="D13" s="121">
        <v>861897138.17999983</v>
      </c>
      <c r="E13" s="614">
        <f>D13/D12-1</f>
        <v>4.2246639656289942E-2</v>
      </c>
    </row>
    <row r="14" spans="1:13">
      <c r="A14" s="120">
        <v>2019</v>
      </c>
      <c r="D14" s="121">
        <v>943390660.94999993</v>
      </c>
      <c r="E14" s="660"/>
    </row>
    <row r="15" spans="1:13">
      <c r="A15" s="120">
        <v>2020</v>
      </c>
      <c r="D15" s="592">
        <f>1456048948.77-254758722.16-189640608.54</f>
        <v>1011649618.0699999</v>
      </c>
      <c r="E15" s="778"/>
    </row>
    <row r="16" spans="1:13">
      <c r="A16" s="120">
        <v>2021</v>
      </c>
      <c r="D16" s="592">
        <v>1515692110.6500001</v>
      </c>
      <c r="E16" s="778"/>
    </row>
    <row r="17" spans="1:5">
      <c r="D17" s="759"/>
      <c r="E17" s="591"/>
    </row>
    <row r="18" spans="1:5">
      <c r="D18" s="759"/>
      <c r="E18" s="591"/>
    </row>
    <row r="19" spans="1:5" s="950" customFormat="1" ht="12.75">
      <c r="A19" s="950" t="s">
        <v>1</v>
      </c>
    </row>
    <row r="20" spans="1:5" s="950" customFormat="1" ht="12.75">
      <c r="A20" s="950" t="s">
        <v>341</v>
      </c>
    </row>
    <row r="21" spans="1:5" s="950" customFormat="1" ht="54.75" customHeight="1">
      <c r="A21" s="1404" t="s">
        <v>923</v>
      </c>
      <c r="B21" s="1405"/>
      <c r="C21" s="1405"/>
      <c r="D21" s="1405"/>
    </row>
    <row r="22" spans="1:5" s="1068" customFormat="1" ht="12.75" customHeight="1">
      <c r="A22" s="1120" t="s">
        <v>1155</v>
      </c>
      <c r="B22" s="1072"/>
      <c r="C22" s="1072"/>
      <c r="D22" s="1072"/>
      <c r="E22" s="1073"/>
    </row>
    <row r="43" spans="1:4">
      <c r="A43" s="115"/>
      <c r="B43" s="116"/>
      <c r="C43" s="116"/>
      <c r="D43" s="122"/>
    </row>
    <row r="44" spans="1:4">
      <c r="A44" s="120"/>
      <c r="B44" s="116"/>
      <c r="C44" s="116"/>
      <c r="D44" s="123"/>
    </row>
  </sheetData>
  <customSheetViews>
    <customSheetView guid="{E6BBE5A7-0B25-4EE8-BA45-5EA5DBAF3AD4}" showPageBreaks="1" printArea="1">
      <pageMargins left="0.75" right="0.75" top="1" bottom="1" header="0.5" footer="0.5"/>
      <printOptions horizontalCentered="1"/>
      <pageSetup scale="70" orientation="landscape" r:id="rId1"/>
      <headerFooter alignWithMargins="0"/>
    </customSheetView>
  </customSheetViews>
  <mergeCells count="1">
    <mergeCell ref="A21:D21"/>
  </mergeCells>
  <hyperlinks>
    <hyperlink ref="M1" location="TOC!A1" display="Back"/>
  </hyperlinks>
  <pageMargins left="0.6" right="0.25" top="0.5" bottom="0.5" header="0.25" footer="0.5"/>
  <pageSetup orientation="landscape" r:id="rId2"/>
  <headerFooter scaleWithDoc="0">
    <oddHeader>&amp;R&amp;P</oddHeader>
  </headerFooter>
  <drawing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N31"/>
  <sheetViews>
    <sheetView zoomScaleNormal="100" workbookViewId="0"/>
  </sheetViews>
  <sheetFormatPr defaultColWidth="9.140625" defaultRowHeight="12.75"/>
  <cols>
    <col min="1" max="1" width="25.7109375" style="30" customWidth="1"/>
    <col min="2" max="2" width="18.7109375" style="30" customWidth="1"/>
    <col min="3" max="3" width="2.7109375" style="30" customWidth="1"/>
    <col min="4" max="4" width="10.28515625" style="30" bestFit="1" customWidth="1"/>
    <col min="5" max="5" width="2.7109375" style="30" customWidth="1"/>
    <col min="6" max="6" width="16.7109375" style="30" customWidth="1"/>
    <col min="7" max="7" width="2.7109375" style="30" customWidth="1"/>
    <col min="8" max="8" width="10.28515625" style="30" bestFit="1" customWidth="1"/>
    <col min="9" max="9" width="2.7109375" style="30" customWidth="1"/>
    <col min="10" max="10" width="15.7109375" style="30" customWidth="1"/>
    <col min="11" max="11" width="2.7109375" style="30" customWidth="1"/>
    <col min="12" max="12" width="10.28515625" style="30" bestFit="1" customWidth="1"/>
    <col min="13" max="13" width="5.28515625" style="30" bestFit="1" customWidth="1"/>
    <col min="14" max="16384" width="9.140625" style="30"/>
  </cols>
  <sheetData>
    <row r="1" spans="1:14" ht="18">
      <c r="A1" s="601" t="s">
        <v>34</v>
      </c>
      <c r="B1" s="28"/>
      <c r="C1" s="28"/>
      <c r="D1" s="29"/>
      <c r="E1" s="29"/>
      <c r="F1" s="28"/>
      <c r="G1" s="28"/>
      <c r="H1" s="29"/>
      <c r="I1" s="29"/>
      <c r="J1" s="28"/>
      <c r="K1" s="28"/>
      <c r="L1" s="29"/>
      <c r="M1" s="1276" t="s">
        <v>1194</v>
      </c>
    </row>
    <row r="2" spans="1:14" ht="15.75">
      <c r="A2" s="844" t="s">
        <v>35</v>
      </c>
      <c r="B2" s="28"/>
      <c r="C2" s="28"/>
      <c r="D2" s="29"/>
      <c r="E2" s="29"/>
      <c r="F2" s="28"/>
      <c r="G2" s="28"/>
      <c r="H2" s="29"/>
      <c r="I2" s="29"/>
      <c r="J2" s="28"/>
      <c r="K2" s="28"/>
      <c r="L2" s="29"/>
    </row>
    <row r="3" spans="1:14">
      <c r="A3" s="845" t="s">
        <v>1072</v>
      </c>
      <c r="B3" s="31"/>
      <c r="C3" s="31"/>
      <c r="D3" s="32"/>
      <c r="E3" s="32"/>
      <c r="F3" s="31"/>
      <c r="G3" s="31"/>
      <c r="H3" s="32"/>
      <c r="I3" s="32"/>
      <c r="J3" s="31"/>
      <c r="K3" s="31"/>
      <c r="L3" s="32"/>
    </row>
    <row r="4" spans="1:14" ht="13.5" thickBot="1">
      <c r="A4" s="846"/>
      <c r="B4" s="31"/>
      <c r="C4" s="31"/>
      <c r="D4" s="32"/>
      <c r="E4" s="32"/>
      <c r="F4" s="31"/>
      <c r="G4" s="31"/>
      <c r="H4" s="32"/>
      <c r="I4" s="32"/>
      <c r="J4" s="31"/>
      <c r="K4" s="31"/>
      <c r="L4" s="32"/>
    </row>
    <row r="5" spans="1:14">
      <c r="A5" s="847" t="s">
        <v>36</v>
      </c>
      <c r="B5" s="1187" t="s">
        <v>1037</v>
      </c>
      <c r="C5" s="1121"/>
      <c r="D5" s="1186" t="s">
        <v>1172</v>
      </c>
      <c r="E5" s="34"/>
      <c r="F5" s="1189" t="s">
        <v>37</v>
      </c>
      <c r="G5" s="35"/>
      <c r="H5" s="1186" t="s">
        <v>1172</v>
      </c>
      <c r="I5" s="33"/>
      <c r="J5" s="1189" t="s">
        <v>38</v>
      </c>
      <c r="K5" s="35"/>
      <c r="L5" s="1186" t="s">
        <v>1172</v>
      </c>
    </row>
    <row r="6" spans="1:14">
      <c r="A6" s="848" t="s">
        <v>39</v>
      </c>
      <c r="B6" s="1188" t="s">
        <v>920</v>
      </c>
      <c r="C6" s="1122"/>
      <c r="D6" s="392" t="s">
        <v>1171</v>
      </c>
      <c r="E6" s="38"/>
      <c r="F6" s="1190" t="s">
        <v>22</v>
      </c>
      <c r="G6" s="36"/>
      <c r="H6" s="392" t="s">
        <v>1171</v>
      </c>
      <c r="I6" s="37"/>
      <c r="J6" s="1190" t="s">
        <v>40</v>
      </c>
      <c r="K6" s="36"/>
      <c r="L6" s="392" t="s">
        <v>1171</v>
      </c>
    </row>
    <row r="7" spans="1:14" ht="6" customHeight="1">
      <c r="A7" s="849"/>
      <c r="B7" s="39"/>
      <c r="C7" s="39"/>
      <c r="D7" s="40"/>
      <c r="E7" s="40"/>
      <c r="F7" s="39"/>
      <c r="G7" s="39"/>
      <c r="H7" s="40"/>
      <c r="I7" s="40"/>
      <c r="J7" s="779"/>
      <c r="K7" s="39"/>
      <c r="L7" s="40"/>
    </row>
    <row r="8" spans="1:14">
      <c r="A8" s="353" t="s">
        <v>41</v>
      </c>
      <c r="B8" s="42">
        <v>43335</v>
      </c>
      <c r="C8" s="31"/>
      <c r="D8" s="43">
        <f>B8/$B$18</f>
        <v>0.62747965596131017</v>
      </c>
      <c r="E8" s="43"/>
      <c r="F8" s="44">
        <v>0</v>
      </c>
      <c r="G8" s="45"/>
      <c r="H8" s="43">
        <f>F8/$F$18</f>
        <v>0</v>
      </c>
      <c r="I8" s="46"/>
      <c r="J8" s="780">
        <v>22572191.329999998</v>
      </c>
      <c r="K8" s="45"/>
      <c r="L8" s="43">
        <f>J8/$J$18</f>
        <v>1.9101552069833643E-2</v>
      </c>
      <c r="M8" s="22"/>
      <c r="N8" s="272"/>
    </row>
    <row r="9" spans="1:14">
      <c r="A9" s="850" t="s">
        <v>42</v>
      </c>
      <c r="B9" s="42">
        <v>14529</v>
      </c>
      <c r="C9" s="31"/>
      <c r="D9" s="43">
        <f t="shared" ref="D9:D16" si="0">B9/$B$18</f>
        <v>0.21037618371897715</v>
      </c>
      <c r="E9" s="43"/>
      <c r="F9" s="47">
        <v>93512361.030000001</v>
      </c>
      <c r="G9" s="45"/>
      <c r="H9" s="43">
        <f t="shared" ref="H9:H16" si="1">F9/$F$18</f>
        <v>4.9109561394958343E-3</v>
      </c>
      <c r="I9" s="46"/>
      <c r="J9" s="781">
        <v>5623228.7300000004</v>
      </c>
      <c r="K9" s="45"/>
      <c r="L9" s="43">
        <f t="shared" ref="L9:L16" si="2">J9/$J$18</f>
        <v>4.7586162467053448E-3</v>
      </c>
      <c r="M9" s="22"/>
      <c r="N9" s="272"/>
    </row>
    <row r="10" spans="1:14">
      <c r="A10" s="850" t="s">
        <v>43</v>
      </c>
      <c r="B10" s="42">
        <v>2702</v>
      </c>
      <c r="C10" s="31"/>
      <c r="D10" s="43">
        <f t="shared" si="0"/>
        <v>3.9124265153050883E-2</v>
      </c>
      <c r="E10" s="43"/>
      <c r="F10" s="47">
        <v>97096034.450000003</v>
      </c>
      <c r="G10" s="48"/>
      <c r="H10" s="43">
        <f t="shared" si="1"/>
        <v>5.0991586700495327E-3</v>
      </c>
      <c r="I10" s="46"/>
      <c r="J10" s="781">
        <v>5850218.2300000004</v>
      </c>
      <c r="K10" s="48"/>
      <c r="L10" s="43">
        <f t="shared" si="2"/>
        <v>4.9507044533914574E-3</v>
      </c>
      <c r="M10" s="22"/>
      <c r="N10" s="272"/>
    </row>
    <row r="11" spans="1:14">
      <c r="A11" s="850" t="s">
        <v>44</v>
      </c>
      <c r="B11" s="42">
        <v>2328</v>
      </c>
      <c r="C11" s="31"/>
      <c r="D11" s="43">
        <f t="shared" si="0"/>
        <v>3.3708841330977964E-2</v>
      </c>
      <c r="E11" s="43"/>
      <c r="F11" s="47">
        <v>166059481</v>
      </c>
      <c r="G11" s="48"/>
      <c r="H11" s="43">
        <f t="shared" si="1"/>
        <v>8.7208880062050326E-3</v>
      </c>
      <c r="I11" s="46"/>
      <c r="J11" s="781">
        <v>10311878</v>
      </c>
      <c r="K11" s="48"/>
      <c r="L11" s="43">
        <f t="shared" si="2"/>
        <v>8.7263514505559539E-3</v>
      </c>
      <c r="M11" s="22"/>
      <c r="N11" s="272"/>
    </row>
    <row r="12" spans="1:14">
      <c r="A12" s="850" t="s">
        <v>45</v>
      </c>
      <c r="B12" s="42">
        <v>3629</v>
      </c>
      <c r="C12" s="31"/>
      <c r="D12" s="43">
        <f t="shared" si="0"/>
        <v>5.2546986765515044E-2</v>
      </c>
      <c r="E12" s="43"/>
      <c r="F12" s="47">
        <v>817456275</v>
      </c>
      <c r="G12" s="48"/>
      <c r="H12" s="43">
        <f t="shared" si="1"/>
        <v>4.2930066873113633E-2</v>
      </c>
      <c r="I12" s="46"/>
      <c r="J12" s="781">
        <v>49130867</v>
      </c>
      <c r="K12" s="48"/>
      <c r="L12" s="43">
        <f t="shared" si="2"/>
        <v>4.1576637399368149E-2</v>
      </c>
      <c r="M12" s="22"/>
      <c r="N12" s="272"/>
    </row>
    <row r="13" spans="1:14">
      <c r="A13" s="850" t="s">
        <v>46</v>
      </c>
      <c r="B13" s="42">
        <v>924</v>
      </c>
      <c r="C13" s="31"/>
      <c r="D13" s="43">
        <f t="shared" si="0"/>
        <v>1.3379282383944861E-2</v>
      </c>
      <c r="E13" s="43"/>
      <c r="F13" s="47">
        <v>649612571</v>
      </c>
      <c r="G13" s="48"/>
      <c r="H13" s="43">
        <f t="shared" si="1"/>
        <v>3.4115477448191683E-2</v>
      </c>
      <c r="I13" s="46"/>
      <c r="J13" s="781">
        <v>39076314</v>
      </c>
      <c r="K13" s="48"/>
      <c r="L13" s="43">
        <f t="shared" si="2"/>
        <v>3.3068045350835212E-2</v>
      </c>
      <c r="M13" s="22"/>
      <c r="N13" s="272"/>
    </row>
    <row r="14" spans="1:14">
      <c r="A14" s="850" t="s">
        <v>47</v>
      </c>
      <c r="B14" s="42">
        <v>642</v>
      </c>
      <c r="C14" s="31"/>
      <c r="D14" s="43">
        <f t="shared" si="0"/>
        <v>9.2959949031305202E-3</v>
      </c>
      <c r="E14" s="43"/>
      <c r="F14" s="47">
        <v>905836102.66999996</v>
      </c>
      <c r="G14" s="48"/>
      <c r="H14" s="43">
        <f t="shared" si="1"/>
        <v>4.7571479543298781E-2</v>
      </c>
      <c r="I14" s="46"/>
      <c r="J14" s="781">
        <v>54395463</v>
      </c>
      <c r="K14" s="48"/>
      <c r="L14" s="43">
        <f t="shared" si="2"/>
        <v>4.6031763317381444E-2</v>
      </c>
      <c r="M14" s="22"/>
      <c r="N14" s="272"/>
    </row>
    <row r="15" spans="1:14">
      <c r="A15" s="850" t="s">
        <v>48</v>
      </c>
      <c r="B15" s="42">
        <v>727</v>
      </c>
      <c r="C15" s="31"/>
      <c r="D15" s="43">
        <f t="shared" si="0"/>
        <v>1.052677304451073E-2</v>
      </c>
      <c r="E15" s="43"/>
      <c r="F15" s="47">
        <v>3106310264.3299999</v>
      </c>
      <c r="G15" s="48"/>
      <c r="H15" s="43">
        <f t="shared" si="1"/>
        <v>0.16313301573998704</v>
      </c>
      <c r="I15" s="46"/>
      <c r="J15" s="781">
        <v>186734235</v>
      </c>
      <c r="K15" s="48"/>
      <c r="L15" s="43">
        <f t="shared" si="2"/>
        <v>0.15802248266132574</v>
      </c>
      <c r="M15" s="22"/>
      <c r="N15" s="272"/>
    </row>
    <row r="16" spans="1:14">
      <c r="A16" s="850" t="s">
        <v>49</v>
      </c>
      <c r="B16" s="42">
        <v>246</v>
      </c>
      <c r="C16" s="31"/>
      <c r="D16" s="43">
        <f t="shared" si="0"/>
        <v>3.5620167385827226E-3</v>
      </c>
      <c r="E16" s="43"/>
      <c r="F16" s="47">
        <v>13205696263.66</v>
      </c>
      <c r="G16" s="48"/>
      <c r="H16" s="43">
        <f t="shared" si="1"/>
        <v>0.69351895757965842</v>
      </c>
      <c r="I16" s="46"/>
      <c r="J16" s="781">
        <v>807999702</v>
      </c>
      <c r="K16" s="48"/>
      <c r="L16" s="43">
        <f t="shared" si="2"/>
        <v>0.68376384705060311</v>
      </c>
      <c r="M16" s="22"/>
      <c r="N16" s="272"/>
    </row>
    <row r="17" spans="1:12" ht="6" customHeight="1">
      <c r="A17" s="850"/>
      <c r="B17" s="31"/>
      <c r="C17" s="31"/>
      <c r="D17" s="49"/>
      <c r="E17" s="49"/>
      <c r="F17" s="31"/>
      <c r="G17" s="31"/>
      <c r="H17" s="49"/>
      <c r="I17" s="49"/>
      <c r="J17" s="782"/>
      <c r="K17" s="31"/>
      <c r="L17" s="49"/>
    </row>
    <row r="18" spans="1:12">
      <c r="A18" s="851" t="s">
        <v>50</v>
      </c>
      <c r="B18" s="50">
        <f>SUM(B8:B16)</f>
        <v>69062</v>
      </c>
      <c r="C18" s="51"/>
      <c r="D18" s="52">
        <f>SUM(D8:D16)</f>
        <v>1</v>
      </c>
      <c r="E18" s="52"/>
      <c r="F18" s="53">
        <f>SUM(F8:F16)</f>
        <v>19041579353.139999</v>
      </c>
      <c r="G18" s="54"/>
      <c r="H18" s="52">
        <f>SUM(H8:H16)</f>
        <v>1</v>
      </c>
      <c r="I18" s="52"/>
      <c r="J18" s="783">
        <f>SUM(J8:J16)</f>
        <v>1181694097.29</v>
      </c>
      <c r="K18" s="54"/>
      <c r="L18" s="275">
        <f>SUM(L8:L16)</f>
        <v>1</v>
      </c>
    </row>
    <row r="19" spans="1:12" ht="6" customHeight="1">
      <c r="A19" s="55"/>
      <c r="B19" s="56"/>
      <c r="C19" s="56"/>
      <c r="D19" s="57"/>
      <c r="E19" s="57"/>
      <c r="F19" s="58"/>
      <c r="G19" s="58"/>
      <c r="H19" s="58"/>
      <c r="I19" s="57"/>
      <c r="J19" s="784"/>
      <c r="K19" s="58"/>
      <c r="L19" s="57"/>
    </row>
    <row r="20" spans="1:12">
      <c r="A20" s="353" t="s">
        <v>51</v>
      </c>
      <c r="B20" s="42"/>
      <c r="C20" s="31"/>
      <c r="D20" s="49"/>
      <c r="E20" s="59"/>
      <c r="F20" s="42">
        <v>-39436491.5</v>
      </c>
      <c r="G20" s="31"/>
      <c r="H20" s="273">
        <f>F20/F22</f>
        <v>-2.0753707509278451E-3</v>
      </c>
      <c r="I20" s="49"/>
      <c r="J20" s="785">
        <v>-3972252</v>
      </c>
      <c r="K20" s="31"/>
      <c r="L20" s="273">
        <f>J20/J22</f>
        <v>-3.3728269674932285E-3</v>
      </c>
    </row>
    <row r="21" spans="1:12" ht="6" customHeight="1">
      <c r="A21" s="41"/>
      <c r="B21" s="31"/>
      <c r="C21" s="31"/>
      <c r="D21" s="59"/>
      <c r="E21" s="59"/>
      <c r="F21" s="48"/>
      <c r="G21" s="48"/>
      <c r="H21" s="48"/>
      <c r="I21" s="49"/>
      <c r="J21" s="782"/>
      <c r="K21" s="31"/>
      <c r="L21" s="49"/>
    </row>
    <row r="22" spans="1:12">
      <c r="A22" s="60" t="s">
        <v>52</v>
      </c>
      <c r="B22" s="61"/>
      <c r="C22" s="61"/>
      <c r="D22" s="62"/>
      <c r="E22" s="62"/>
      <c r="F22" s="65">
        <f>SUM(F18,F20)</f>
        <v>19002142861.639999</v>
      </c>
      <c r="G22" s="63"/>
      <c r="H22" s="64">
        <f>F22/F22</f>
        <v>1</v>
      </c>
      <c r="I22" s="62"/>
      <c r="J22" s="786">
        <f>SUM(J18,J20)</f>
        <v>1177721845.29</v>
      </c>
      <c r="K22" s="63"/>
      <c r="L22" s="64">
        <f>J22/J22</f>
        <v>1</v>
      </c>
    </row>
    <row r="23" spans="1:12">
      <c r="A23" s="367"/>
      <c r="B23" s="66"/>
      <c r="C23" s="66"/>
      <c r="D23" s="67"/>
      <c r="E23" s="67"/>
      <c r="F23" s="68"/>
      <c r="G23" s="68"/>
      <c r="H23" s="67"/>
      <c r="I23" s="67"/>
      <c r="J23" s="68"/>
      <c r="K23" s="68"/>
      <c r="L23" s="67"/>
    </row>
    <row r="24" spans="1:12" s="864" customFormat="1" ht="13.15" customHeight="1">
      <c r="A24" s="859" t="s">
        <v>1</v>
      </c>
      <c r="B24" s="862"/>
      <c r="C24" s="862"/>
      <c r="D24" s="863"/>
      <c r="E24" s="863"/>
      <c r="F24" s="1185"/>
      <c r="G24" s="1185"/>
      <c r="H24" s="863"/>
      <c r="I24" s="863"/>
      <c r="J24" s="1185"/>
      <c r="K24" s="1185"/>
      <c r="L24" s="863"/>
    </row>
    <row r="25" spans="1:12" s="864" customFormat="1">
      <c r="A25" s="1407" t="s">
        <v>921</v>
      </c>
      <c r="B25" s="1405"/>
      <c r="C25" s="1405"/>
      <c r="D25" s="1405"/>
      <c r="E25" s="1405"/>
      <c r="F25" s="1405"/>
      <c r="G25" s="1405"/>
      <c r="H25" s="1405"/>
      <c r="I25" s="1405"/>
      <c r="J25" s="1405"/>
      <c r="K25" s="1405"/>
      <c r="L25" s="1405"/>
    </row>
    <row r="26" spans="1:12" s="864" customFormat="1" ht="13.15" customHeight="1">
      <c r="A26" s="865" t="s">
        <v>922</v>
      </c>
      <c r="B26" s="866"/>
      <c r="C26" s="866"/>
      <c r="D26" s="867"/>
      <c r="E26" s="867"/>
      <c r="F26" s="866"/>
      <c r="G26" s="866"/>
      <c r="H26" s="867"/>
      <c r="I26" s="867"/>
      <c r="J26" s="868"/>
      <c r="K26" s="868"/>
      <c r="L26" s="867"/>
    </row>
    <row r="27" spans="1:12" s="864" customFormat="1" ht="13.15" customHeight="1">
      <c r="A27" s="869" t="s">
        <v>53</v>
      </c>
      <c r="B27" s="866"/>
      <c r="C27" s="866"/>
      <c r="D27" s="867"/>
      <c r="E27" s="867"/>
      <c r="F27" s="866"/>
      <c r="G27" s="866"/>
      <c r="H27" s="867"/>
      <c r="I27" s="867"/>
      <c r="J27" s="866"/>
      <c r="K27" s="866"/>
      <c r="L27" s="867"/>
    </row>
    <row r="28" spans="1:12" s="864" customFormat="1" ht="13.15" customHeight="1">
      <c r="A28" s="869" t="s">
        <v>54</v>
      </c>
      <c r="B28" s="866"/>
      <c r="C28" s="866"/>
      <c r="D28" s="867"/>
      <c r="E28" s="867"/>
      <c r="F28" s="866"/>
      <c r="G28" s="866"/>
      <c r="H28" s="867"/>
      <c r="I28" s="867"/>
      <c r="J28" s="866"/>
      <c r="K28" s="866"/>
      <c r="L28" s="867"/>
    </row>
    <row r="29" spans="1:12" s="864" customFormat="1" ht="26.25" customHeight="1">
      <c r="A29" s="1408" t="s">
        <v>1170</v>
      </c>
      <c r="B29" s="1409"/>
      <c r="C29" s="1409"/>
      <c r="D29" s="1409"/>
      <c r="E29" s="1409"/>
      <c r="F29" s="1409"/>
      <c r="G29" s="1409"/>
      <c r="H29" s="1409"/>
      <c r="I29" s="1409"/>
      <c r="J29" s="1409"/>
      <c r="K29" s="1409"/>
      <c r="L29" s="1409"/>
    </row>
    <row r="30" spans="1:12" s="864" customFormat="1" ht="26.45" customHeight="1">
      <c r="A30" s="1406" t="s">
        <v>1169</v>
      </c>
      <c r="B30" s="1406"/>
      <c r="C30" s="1406"/>
      <c r="D30" s="1406"/>
      <c r="E30" s="1406"/>
      <c r="F30" s="1406"/>
      <c r="G30" s="1406"/>
      <c r="H30" s="1406"/>
      <c r="I30" s="1406"/>
      <c r="J30" s="1406"/>
      <c r="K30" s="1406"/>
      <c r="L30" s="1406"/>
    </row>
    <row r="31" spans="1:12" s="1068" customFormat="1" ht="12.75" customHeight="1">
      <c r="A31" s="1120" t="s">
        <v>1160</v>
      </c>
      <c r="B31" s="1072"/>
      <c r="C31" s="1072"/>
      <c r="D31" s="1072"/>
      <c r="E31" s="1073"/>
    </row>
  </sheetData>
  <customSheetViews>
    <customSheetView guid="{E6BBE5A7-0B25-4EE8-BA45-5EA5DBAF3AD4}" showPageBreaks="1" printArea="1">
      <selection activeCell="A33" sqref="A33"/>
      <pageMargins left="0.5" right="0.5" top="1" bottom="1" header="0.5" footer="0.5"/>
      <printOptions horizontalCentered="1"/>
      <pageSetup scale="94" firstPageNumber="25" orientation="landscape" useFirstPageNumber="1" r:id="rId1"/>
      <headerFooter alignWithMargins="0"/>
    </customSheetView>
  </customSheetViews>
  <mergeCells count="3">
    <mergeCell ref="A30:L30"/>
    <mergeCell ref="A25:L25"/>
    <mergeCell ref="A29:L29"/>
  </mergeCells>
  <phoneticPr fontId="11" type="noConversion"/>
  <hyperlinks>
    <hyperlink ref="M1" location="TOC!A1" display="Back"/>
  </hyperlinks>
  <pageMargins left="0.5" right="0.25" top="0.5" bottom="0.5" header="0.25" footer="0.25"/>
  <pageSetup firstPageNumber="25" orientation="landscape" r:id="rId2"/>
  <headerFooter scaleWithDoc="0">
    <oddHeader>&amp;R&amp;P</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pageSetUpPr fitToPage="1"/>
  </sheetPr>
  <dimension ref="A1:H53"/>
  <sheetViews>
    <sheetView zoomScaleNormal="100" workbookViewId="0"/>
  </sheetViews>
  <sheetFormatPr defaultRowHeight="12.75"/>
  <cols>
    <col min="1" max="1" width="25.7109375" style="107" customWidth="1"/>
    <col min="2" max="2" width="64.7109375" style="107" customWidth="1"/>
    <col min="3" max="3" width="24.7109375" style="107" customWidth="1"/>
    <col min="4" max="4" width="36.7109375" style="107" customWidth="1"/>
    <col min="5" max="5" width="10.42578125" bestFit="1" customWidth="1"/>
    <col min="6" max="6" width="11.7109375" style="107" customWidth="1"/>
    <col min="8" max="8" width="5.28515625" bestFit="1" customWidth="1"/>
  </cols>
  <sheetData>
    <row r="1" spans="1:8" ht="17.100000000000001" customHeight="1">
      <c r="A1" s="599" t="s">
        <v>55</v>
      </c>
      <c r="H1" s="1276" t="s">
        <v>1194</v>
      </c>
    </row>
    <row r="2" spans="1:8" ht="15" customHeight="1">
      <c r="A2" s="108" t="s">
        <v>1053</v>
      </c>
    </row>
    <row r="3" spans="1:8" ht="12.75" customHeight="1">
      <c r="A3" s="274" t="s">
        <v>1115</v>
      </c>
    </row>
    <row r="4" spans="1:8" ht="6" customHeight="1" thickBot="1">
      <c r="A4" s="109"/>
      <c r="B4" s="109"/>
      <c r="C4" s="109"/>
      <c r="D4" s="109"/>
      <c r="E4" s="110"/>
      <c r="F4" s="109"/>
    </row>
    <row r="5" spans="1:8" ht="26.1" customHeight="1" thickTop="1">
      <c r="A5" s="1184" t="s">
        <v>278</v>
      </c>
      <c r="B5" s="1184" t="s">
        <v>212</v>
      </c>
      <c r="C5" s="1184" t="s">
        <v>213</v>
      </c>
      <c r="D5" s="1184" t="s">
        <v>279</v>
      </c>
      <c r="E5" s="587" t="s">
        <v>280</v>
      </c>
      <c r="F5" s="587" t="s">
        <v>20</v>
      </c>
    </row>
    <row r="6" spans="1:8" ht="21" customHeight="1">
      <c r="A6" s="1327" t="s">
        <v>214</v>
      </c>
      <c r="B6" s="1281" t="s">
        <v>297</v>
      </c>
      <c r="C6" s="1282" t="s">
        <v>215</v>
      </c>
      <c r="D6" s="1281" t="s">
        <v>878</v>
      </c>
      <c r="E6" s="1283">
        <v>3707</v>
      </c>
      <c r="F6" s="1284">
        <v>13698497.25</v>
      </c>
    </row>
    <row r="7" spans="1:8" ht="12.75" customHeight="1">
      <c r="A7" s="1327" t="s">
        <v>216</v>
      </c>
      <c r="B7" s="1281" t="s">
        <v>217</v>
      </c>
      <c r="C7" s="1282" t="s">
        <v>218</v>
      </c>
      <c r="D7" s="1281" t="s">
        <v>878</v>
      </c>
      <c r="E7" s="1283">
        <v>0</v>
      </c>
      <c r="F7" s="1283">
        <v>0</v>
      </c>
    </row>
    <row r="8" spans="1:8" ht="12.75" customHeight="1">
      <c r="A8" s="1327" t="s">
        <v>219</v>
      </c>
      <c r="B8" s="1281" t="s">
        <v>220</v>
      </c>
      <c r="C8" s="1282" t="s">
        <v>221</v>
      </c>
      <c r="D8" s="1281" t="s">
        <v>281</v>
      </c>
      <c r="E8" s="1283">
        <v>137</v>
      </c>
      <c r="F8" s="1283">
        <v>294553.59999999998</v>
      </c>
    </row>
    <row r="9" spans="1:8" ht="12.75" hidden="1" customHeight="1">
      <c r="A9" s="1327" t="s">
        <v>222</v>
      </c>
      <c r="B9" s="1281" t="s">
        <v>223</v>
      </c>
      <c r="C9" s="1282" t="s">
        <v>224</v>
      </c>
      <c r="D9" s="1281" t="s">
        <v>878</v>
      </c>
      <c r="E9" s="1283">
        <v>0</v>
      </c>
      <c r="F9" s="1283">
        <v>0</v>
      </c>
    </row>
    <row r="10" spans="1:8" ht="12.75" customHeight="1">
      <c r="A10" s="1327" t="s">
        <v>225</v>
      </c>
      <c r="B10" s="1281" t="s">
        <v>1168</v>
      </c>
      <c r="C10" s="1282" t="s">
        <v>226</v>
      </c>
      <c r="D10" s="1281" t="s">
        <v>281</v>
      </c>
      <c r="E10" s="1285">
        <v>56</v>
      </c>
      <c r="F10" s="1286">
        <v>95982.1</v>
      </c>
    </row>
    <row r="11" spans="1:8" ht="25.5">
      <c r="A11" s="1328" t="s">
        <v>227</v>
      </c>
      <c r="B11" s="1288" t="s">
        <v>228</v>
      </c>
      <c r="C11" s="1289" t="s">
        <v>229</v>
      </c>
      <c r="D11" s="1288" t="s">
        <v>281</v>
      </c>
      <c r="E11" s="1290">
        <v>224</v>
      </c>
      <c r="F11" s="1290">
        <v>262020.2</v>
      </c>
    </row>
    <row r="12" spans="1:8" ht="21" customHeight="1">
      <c r="A12" s="1327" t="s">
        <v>230</v>
      </c>
      <c r="B12" s="1281" t="s">
        <v>231</v>
      </c>
      <c r="C12" s="1282" t="s">
        <v>232</v>
      </c>
      <c r="D12" s="1281" t="s">
        <v>878</v>
      </c>
      <c r="E12" s="1283">
        <v>24</v>
      </c>
      <c r="F12" s="1283">
        <v>2229682.8199999998</v>
      </c>
    </row>
    <row r="13" spans="1:8" ht="12.75" customHeight="1">
      <c r="A13" s="1327" t="s">
        <v>233</v>
      </c>
      <c r="B13" s="1281" t="s">
        <v>234</v>
      </c>
      <c r="C13" s="1282" t="s">
        <v>235</v>
      </c>
      <c r="D13" s="1281" t="s">
        <v>281</v>
      </c>
      <c r="E13" s="1283">
        <v>21</v>
      </c>
      <c r="F13" s="1283">
        <v>9307526</v>
      </c>
    </row>
    <row r="14" spans="1:8" ht="12.75" customHeight="1">
      <c r="A14" s="1327" t="s">
        <v>236</v>
      </c>
      <c r="B14" s="1281" t="s">
        <v>1167</v>
      </c>
      <c r="C14" s="1282" t="s">
        <v>235</v>
      </c>
      <c r="D14" s="1281" t="s">
        <v>281</v>
      </c>
      <c r="E14" s="1283">
        <v>0</v>
      </c>
      <c r="F14" s="1283">
        <v>0</v>
      </c>
    </row>
    <row r="15" spans="1:8" ht="12.75" customHeight="1">
      <c r="A15" s="1327" t="s">
        <v>237</v>
      </c>
      <c r="B15" s="1281" t="s">
        <v>238</v>
      </c>
      <c r="C15" s="1282" t="s">
        <v>239</v>
      </c>
      <c r="D15" s="1281" t="s">
        <v>281</v>
      </c>
      <c r="E15" s="1285">
        <v>0</v>
      </c>
      <c r="F15" s="1286">
        <v>0</v>
      </c>
    </row>
    <row r="16" spans="1:8">
      <c r="A16" s="1328" t="s">
        <v>240</v>
      </c>
      <c r="B16" s="1288" t="s">
        <v>298</v>
      </c>
      <c r="C16" s="1289" t="s">
        <v>241</v>
      </c>
      <c r="D16" s="1288" t="s">
        <v>878</v>
      </c>
      <c r="E16" s="1290">
        <v>648</v>
      </c>
      <c r="F16" s="1290">
        <v>92599007.159999996</v>
      </c>
    </row>
    <row r="17" spans="1:6" ht="21" customHeight="1">
      <c r="A17" s="1327" t="s">
        <v>242</v>
      </c>
      <c r="B17" s="1281" t="s">
        <v>243</v>
      </c>
      <c r="C17" s="1282" t="s">
        <v>244</v>
      </c>
      <c r="D17" s="1281" t="s">
        <v>281</v>
      </c>
      <c r="E17" s="1283">
        <v>277</v>
      </c>
      <c r="F17" s="1283">
        <v>601318.76</v>
      </c>
    </row>
    <row r="18" spans="1:6" ht="12.75" customHeight="1">
      <c r="A18" s="1327" t="s">
        <v>245</v>
      </c>
      <c r="B18" s="1281" t="s">
        <v>246</v>
      </c>
      <c r="C18" s="1282" t="s">
        <v>247</v>
      </c>
      <c r="D18" s="1281" t="s">
        <v>878</v>
      </c>
      <c r="E18" s="1283">
        <v>0</v>
      </c>
      <c r="F18" s="1283">
        <v>0</v>
      </c>
    </row>
    <row r="19" spans="1:6" ht="12.75" customHeight="1">
      <c r="A19" s="1327" t="s">
        <v>248</v>
      </c>
      <c r="B19" s="1281" t="s">
        <v>249</v>
      </c>
      <c r="C19" s="1282" t="s">
        <v>255</v>
      </c>
      <c r="D19" s="1281" t="s">
        <v>281</v>
      </c>
      <c r="E19" s="1285">
        <v>52</v>
      </c>
      <c r="F19" s="1286">
        <v>2200142.4</v>
      </c>
    </row>
    <row r="20" spans="1:6" ht="12.75" customHeight="1">
      <c r="A20" s="1327" t="s">
        <v>250</v>
      </c>
      <c r="B20" s="1281" t="s">
        <v>251</v>
      </c>
      <c r="C20" s="1282" t="s">
        <v>252</v>
      </c>
      <c r="D20" s="1281" t="s">
        <v>282</v>
      </c>
      <c r="E20" s="1283">
        <v>261</v>
      </c>
      <c r="F20" s="1283">
        <v>473285</v>
      </c>
    </row>
    <row r="21" spans="1:6">
      <c r="A21" s="1328" t="s">
        <v>253</v>
      </c>
      <c r="B21" s="1288" t="s">
        <v>254</v>
      </c>
      <c r="C21" s="1289" t="s">
        <v>255</v>
      </c>
      <c r="D21" s="1288" t="s">
        <v>282</v>
      </c>
      <c r="E21" s="1290">
        <v>394</v>
      </c>
      <c r="F21" s="1290">
        <v>4152754.41</v>
      </c>
    </row>
    <row r="22" spans="1:6" ht="21" customHeight="1">
      <c r="A22" s="1327" t="s">
        <v>256</v>
      </c>
      <c r="B22" s="1281" t="s">
        <v>257</v>
      </c>
      <c r="C22" s="1282" t="s">
        <v>255</v>
      </c>
      <c r="D22" s="1281" t="s">
        <v>281</v>
      </c>
      <c r="E22" s="1283">
        <v>54</v>
      </c>
      <c r="F22" s="1283">
        <v>114423.6</v>
      </c>
    </row>
    <row r="23" spans="1:6" ht="12.75" customHeight="1">
      <c r="A23" s="1327" t="s">
        <v>258</v>
      </c>
      <c r="B23" s="1281" t="s">
        <v>259</v>
      </c>
      <c r="C23" s="1282" t="s">
        <v>260</v>
      </c>
      <c r="D23" s="1281" t="s">
        <v>281</v>
      </c>
      <c r="E23" s="1286">
        <v>5156</v>
      </c>
      <c r="F23" s="1286">
        <v>69131015.640000001</v>
      </c>
    </row>
    <row r="24" spans="1:6" ht="12.75" customHeight="1">
      <c r="A24" s="1327" t="s">
        <v>261</v>
      </c>
      <c r="B24" s="1281" t="s">
        <v>262</v>
      </c>
      <c r="C24" s="1282" t="s">
        <v>260</v>
      </c>
      <c r="D24" s="1281" t="s">
        <v>282</v>
      </c>
      <c r="E24" s="1283">
        <v>51</v>
      </c>
      <c r="F24" s="1283">
        <v>1804</v>
      </c>
    </row>
    <row r="25" spans="1:6" ht="12.75" customHeight="1">
      <c r="A25" s="1327" t="s">
        <v>263</v>
      </c>
      <c r="B25" s="1281" t="s">
        <v>264</v>
      </c>
      <c r="C25" s="1282" t="s">
        <v>260</v>
      </c>
      <c r="D25" s="1281" t="s">
        <v>281</v>
      </c>
      <c r="E25" s="1283">
        <v>192</v>
      </c>
      <c r="F25" s="1283">
        <v>823411.6</v>
      </c>
    </row>
    <row r="26" spans="1:6">
      <c r="A26" s="1329" t="s">
        <v>265</v>
      </c>
      <c r="B26" s="1293" t="s">
        <v>862</v>
      </c>
      <c r="C26" s="1294" t="s">
        <v>266</v>
      </c>
      <c r="D26" s="1293" t="s">
        <v>283</v>
      </c>
      <c r="E26" s="1290" t="s">
        <v>1038</v>
      </c>
      <c r="F26" s="1290">
        <v>594862</v>
      </c>
    </row>
    <row r="27" spans="1:6" ht="21" customHeight="1">
      <c r="A27" s="1327" t="s">
        <v>267</v>
      </c>
      <c r="B27" s="1281" t="s">
        <v>268</v>
      </c>
      <c r="C27" s="1282" t="s">
        <v>269</v>
      </c>
      <c r="D27" s="1281" t="s">
        <v>282</v>
      </c>
      <c r="E27" s="1283">
        <v>379740</v>
      </c>
      <c r="F27" s="1283">
        <v>132286474.98999999</v>
      </c>
    </row>
    <row r="28" spans="1:6" ht="12.75" customHeight="1">
      <c r="A28" s="1327" t="s">
        <v>270</v>
      </c>
      <c r="B28" s="1281" t="s">
        <v>271</v>
      </c>
      <c r="C28" s="1282" t="s">
        <v>269</v>
      </c>
      <c r="D28" s="1281" t="s">
        <v>281</v>
      </c>
      <c r="E28" s="1285">
        <v>131</v>
      </c>
      <c r="F28" s="1286">
        <v>397528.81</v>
      </c>
    </row>
    <row r="29" spans="1:6" ht="12.75" customHeight="1">
      <c r="A29" s="1327" t="s">
        <v>272</v>
      </c>
      <c r="B29" s="1281" t="s">
        <v>273</v>
      </c>
      <c r="C29" s="1282" t="s">
        <v>274</v>
      </c>
      <c r="D29" s="1281" t="s">
        <v>282</v>
      </c>
      <c r="E29" s="1283">
        <v>90</v>
      </c>
      <c r="F29" s="1283">
        <v>198200</v>
      </c>
    </row>
    <row r="30" spans="1:6" ht="12.75" customHeight="1">
      <c r="A30" s="1327" t="s">
        <v>275</v>
      </c>
      <c r="B30" s="1281" t="s">
        <v>276</v>
      </c>
      <c r="C30" s="1282" t="s">
        <v>277</v>
      </c>
      <c r="D30" s="1281" t="s">
        <v>281</v>
      </c>
      <c r="E30" s="1283" t="s">
        <v>1038</v>
      </c>
      <c r="F30" s="1283">
        <v>475</v>
      </c>
    </row>
    <row r="31" spans="1:6">
      <c r="A31" s="1328" t="s">
        <v>810</v>
      </c>
      <c r="B31" s="1288" t="s">
        <v>811</v>
      </c>
      <c r="C31" s="1289" t="s">
        <v>812</v>
      </c>
      <c r="D31" s="1288" t="s">
        <v>281</v>
      </c>
      <c r="E31" s="1290">
        <v>10</v>
      </c>
      <c r="F31" s="1290">
        <v>37796</v>
      </c>
    </row>
    <row r="32" spans="1:6" ht="21" customHeight="1">
      <c r="A32" s="1327" t="s">
        <v>813</v>
      </c>
      <c r="B32" s="1281" t="s">
        <v>814</v>
      </c>
      <c r="C32" s="1282" t="s">
        <v>812</v>
      </c>
      <c r="D32" s="1281" t="s">
        <v>281</v>
      </c>
      <c r="E32" s="1285">
        <v>19</v>
      </c>
      <c r="F32" s="1286">
        <v>101974</v>
      </c>
    </row>
    <row r="33" spans="1:6" ht="12.75" customHeight="1">
      <c r="A33" s="1327" t="s">
        <v>820</v>
      </c>
      <c r="B33" s="1281" t="s">
        <v>821</v>
      </c>
      <c r="C33" s="1282" t="s">
        <v>900</v>
      </c>
      <c r="D33" s="1281" t="s">
        <v>281</v>
      </c>
      <c r="E33" s="1283" t="s">
        <v>1038</v>
      </c>
      <c r="F33" s="1283">
        <v>5788912</v>
      </c>
    </row>
    <row r="34" spans="1:6" ht="12.75" customHeight="1">
      <c r="A34" s="1327" t="s">
        <v>817</v>
      </c>
      <c r="B34" s="1281" t="s">
        <v>818</v>
      </c>
      <c r="C34" s="1282" t="s">
        <v>819</v>
      </c>
      <c r="D34" s="1281" t="s">
        <v>281</v>
      </c>
      <c r="E34" s="1283">
        <v>37</v>
      </c>
      <c r="F34" s="1283">
        <v>127804</v>
      </c>
    </row>
    <row r="35" spans="1:6" ht="12.75" customHeight="1">
      <c r="A35" s="1327" t="s">
        <v>822</v>
      </c>
      <c r="B35" s="1281" t="s">
        <v>823</v>
      </c>
      <c r="C35" s="1282" t="s">
        <v>819</v>
      </c>
      <c r="D35" s="1281" t="s">
        <v>281</v>
      </c>
      <c r="E35" s="1283">
        <v>15</v>
      </c>
      <c r="F35" s="1283">
        <v>86938</v>
      </c>
    </row>
    <row r="36" spans="1:6">
      <c r="A36" s="1328" t="s">
        <v>824</v>
      </c>
      <c r="B36" s="1288" t="s">
        <v>1054</v>
      </c>
      <c r="C36" s="1289" t="s">
        <v>819</v>
      </c>
      <c r="D36" s="1288" t="s">
        <v>281</v>
      </c>
      <c r="E36" s="1290">
        <v>300</v>
      </c>
      <c r="F36" s="1290">
        <v>2577023</v>
      </c>
    </row>
    <row r="37" spans="1:6" ht="21" customHeight="1">
      <c r="A37" s="1327" t="s">
        <v>825</v>
      </c>
      <c r="B37" s="1281" t="s">
        <v>826</v>
      </c>
      <c r="C37" s="1282" t="s">
        <v>819</v>
      </c>
      <c r="D37" s="1281" t="s">
        <v>878</v>
      </c>
      <c r="E37" s="1283">
        <v>13</v>
      </c>
      <c r="F37" s="1286">
        <v>16922.5</v>
      </c>
    </row>
    <row r="38" spans="1:6" ht="12.75" customHeight="1">
      <c r="A38" s="1327" t="s">
        <v>827</v>
      </c>
      <c r="B38" s="1281" t="s">
        <v>828</v>
      </c>
      <c r="C38" s="1282" t="s">
        <v>819</v>
      </c>
      <c r="D38" s="1281" t="s">
        <v>281</v>
      </c>
      <c r="E38" s="1283">
        <v>34</v>
      </c>
      <c r="F38" s="1283">
        <v>1835085</v>
      </c>
    </row>
    <row r="39" spans="1:6" ht="12.75" customHeight="1">
      <c r="A39" s="1327" t="s">
        <v>832</v>
      </c>
      <c r="B39" s="1281" t="s">
        <v>833</v>
      </c>
      <c r="C39" s="1282" t="s">
        <v>834</v>
      </c>
      <c r="D39" s="1281" t="s">
        <v>281</v>
      </c>
      <c r="E39" s="1283">
        <v>0</v>
      </c>
      <c r="F39" s="1283">
        <v>0</v>
      </c>
    </row>
    <row r="40" spans="1:6" ht="12.75" customHeight="1">
      <c r="A40" s="1327" t="s">
        <v>879</v>
      </c>
      <c r="B40" s="1277" t="s">
        <v>880</v>
      </c>
      <c r="C40" s="1282" t="s">
        <v>881</v>
      </c>
      <c r="D40" s="1281" t="s">
        <v>878</v>
      </c>
      <c r="E40" s="1283">
        <v>1448</v>
      </c>
      <c r="F40" s="1286">
        <v>9682665.0099999998</v>
      </c>
    </row>
    <row r="41" spans="1:6">
      <c r="A41" s="1328" t="s">
        <v>957</v>
      </c>
      <c r="B41" s="1291" t="s">
        <v>958</v>
      </c>
      <c r="C41" s="1289" t="s">
        <v>959</v>
      </c>
      <c r="D41" s="1288" t="s">
        <v>281</v>
      </c>
      <c r="E41" s="1290">
        <v>34</v>
      </c>
      <c r="F41" s="1290">
        <v>12015062.210000001</v>
      </c>
    </row>
    <row r="42" spans="1:6" ht="21" customHeight="1">
      <c r="A42" s="1327" t="s">
        <v>960</v>
      </c>
      <c r="B42" s="1281" t="s">
        <v>961</v>
      </c>
      <c r="C42" s="1282" t="s">
        <v>959</v>
      </c>
      <c r="D42" s="1281" t="s">
        <v>281</v>
      </c>
      <c r="E42" s="1285">
        <v>25</v>
      </c>
      <c r="F42" s="1286">
        <v>39018</v>
      </c>
    </row>
    <row r="43" spans="1:6" ht="12.75" customHeight="1">
      <c r="A43" s="1330" t="s">
        <v>1048</v>
      </c>
      <c r="B43" s="1287" t="s">
        <v>1049</v>
      </c>
      <c r="C43" s="1287" t="s">
        <v>1116</v>
      </c>
      <c r="D43" s="1287" t="s">
        <v>878</v>
      </c>
      <c r="E43" s="1283">
        <v>4</v>
      </c>
      <c r="F43" s="1286">
        <v>121285</v>
      </c>
    </row>
    <row r="44" spans="1:6" ht="6" customHeight="1">
      <c r="A44" s="697"/>
      <c r="B44" s="697"/>
      <c r="C44" s="697"/>
      <c r="D44" s="697"/>
      <c r="E44" s="1283"/>
      <c r="F44" s="1283"/>
    </row>
    <row r="45" spans="1:6" s="1064" customFormat="1" ht="12" customHeight="1">
      <c r="A45" s="1062" t="s">
        <v>1</v>
      </c>
      <c r="B45" s="1062"/>
      <c r="C45" s="1062"/>
      <c r="D45" s="1062"/>
      <c r="E45" s="1063"/>
      <c r="F45" s="1063"/>
    </row>
    <row r="46" spans="1:6" s="1064" customFormat="1" ht="12" customHeight="1">
      <c r="A46" s="1065" t="s">
        <v>1224</v>
      </c>
      <c r="B46" s="1065"/>
      <c r="C46" s="1065"/>
      <c r="D46" s="1065"/>
      <c r="E46" s="1065"/>
      <c r="F46" s="1065"/>
    </row>
    <row r="47" spans="1:6" s="1064" customFormat="1" ht="12" customHeight="1">
      <c r="A47" s="1062" t="s">
        <v>1225</v>
      </c>
      <c r="B47" s="1062"/>
      <c r="C47" s="1062"/>
      <c r="D47" s="1062"/>
      <c r="E47" s="1066"/>
      <c r="F47" s="1062"/>
    </row>
    <row r="48" spans="1:6" s="1064" customFormat="1" ht="12" customHeight="1">
      <c r="A48" s="1062" t="s">
        <v>1226</v>
      </c>
      <c r="B48" s="1062"/>
      <c r="C48" s="1062"/>
      <c r="D48" s="1062"/>
      <c r="E48" s="1066"/>
      <c r="F48" s="1062"/>
    </row>
    <row r="49" spans="1:6" s="1064" customFormat="1" ht="12" customHeight="1">
      <c r="A49" s="1062" t="s">
        <v>1227</v>
      </c>
      <c r="B49" s="1062"/>
      <c r="C49" s="1062"/>
      <c r="D49" s="1062"/>
      <c r="E49" s="1066"/>
      <c r="F49" s="1062"/>
    </row>
    <row r="50" spans="1:6" s="1064" customFormat="1" ht="12" customHeight="1">
      <c r="A50" s="1067" t="s">
        <v>1117</v>
      </c>
      <c r="B50" s="1067"/>
      <c r="C50" s="1067"/>
      <c r="D50" s="1067"/>
      <c r="E50" s="1067"/>
      <c r="F50" s="1067"/>
    </row>
    <row r="51" spans="1:6" s="1068" customFormat="1" ht="12.75" customHeight="1">
      <c r="A51" s="1120" t="s">
        <v>1161</v>
      </c>
      <c r="B51" s="1072"/>
      <c r="C51" s="1072"/>
      <c r="D51" s="1072"/>
      <c r="E51" s="1073"/>
    </row>
    <row r="52" spans="1:6" ht="12.75" customHeight="1"/>
    <row r="53" spans="1:6">
      <c r="A53" s="1410"/>
      <c r="B53" s="1411"/>
      <c r="C53" s="1411"/>
      <c r="D53" s="771"/>
      <c r="E53" s="790"/>
      <c r="F53" s="790"/>
    </row>
  </sheetData>
  <customSheetViews>
    <customSheetView guid="{E6BBE5A7-0B25-4EE8-BA45-5EA5DBAF3AD4}" showPageBreaks="1" fitToPage="1" printArea="1">
      <pageMargins left="0.6" right="0.64" top="0.75" bottom="0.75" header="0.5" footer="0.5"/>
      <printOptions horizontalCentered="1" verticalCentered="1"/>
      <pageSetup scale="63" orientation="landscape" r:id="rId1"/>
      <headerFooter alignWithMargins="0"/>
    </customSheetView>
  </customSheetViews>
  <mergeCells count="1">
    <mergeCell ref="A53:C53"/>
  </mergeCells>
  <phoneticPr fontId="11" type="noConversion"/>
  <hyperlinks>
    <hyperlink ref="H1" location="TOC!A1" display="Back"/>
  </hyperlinks>
  <pageMargins left="0.45" right="0.25" top="0.4" bottom="0" header="0.25" footer="0.25"/>
  <pageSetup scale="73" orientation="landscape" r:id="rId2"/>
  <headerFooter scaleWithDoc="0">
    <oddHeader>&amp;R&amp;P</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codeName="Sheet18">
    <pageSetUpPr fitToPage="1"/>
  </sheetPr>
  <dimension ref="A1:R62"/>
  <sheetViews>
    <sheetView defaultGridColor="0" colorId="22" zoomScale="90" zoomScaleNormal="90" workbookViewId="0"/>
  </sheetViews>
  <sheetFormatPr defaultColWidth="15.140625" defaultRowHeight="15"/>
  <cols>
    <col min="1" max="1" width="7.7109375" style="69" customWidth="1"/>
    <col min="2" max="2" width="15.5703125" style="69" bestFit="1" customWidth="1"/>
    <col min="3" max="3" width="15.7109375" style="69" customWidth="1"/>
    <col min="4" max="4" width="14.7109375" style="69" customWidth="1"/>
    <col min="5" max="5" width="17.7109375" style="69" customWidth="1"/>
    <col min="6" max="6" width="16.7109375" style="69" customWidth="1"/>
    <col min="7" max="7" width="14.7109375" style="69" customWidth="1"/>
    <col min="8" max="9" width="13.140625" style="69" bestFit="1" customWidth="1"/>
    <col min="10" max="12" width="12.7109375" style="69" customWidth="1"/>
    <col min="13" max="13" width="15.7109375" style="69" customWidth="1"/>
    <col min="14" max="14" width="14.7109375" style="69" bestFit="1" customWidth="1"/>
    <col min="15" max="15" width="17.7109375" style="69" customWidth="1"/>
    <col min="16" max="16" width="15.7109375" style="69" customWidth="1"/>
    <col min="17" max="17" width="1.7109375" style="69" customWidth="1"/>
    <col min="18" max="18" width="5.42578125" style="958" bestFit="1" customWidth="1"/>
    <col min="19" max="16384" width="15.140625" style="69"/>
  </cols>
  <sheetData>
    <row r="1" spans="1:18" ht="17.100000000000001" customHeight="1">
      <c r="A1" s="609" t="s">
        <v>190</v>
      </c>
      <c r="B1" s="1213"/>
      <c r="C1" s="1213"/>
      <c r="D1" s="1213"/>
      <c r="E1" s="1214"/>
      <c r="F1" s="1214"/>
      <c r="R1" s="1276" t="s">
        <v>1194</v>
      </c>
    </row>
    <row r="2" spans="1:18" ht="15" customHeight="1">
      <c r="A2" s="70" t="s">
        <v>56</v>
      </c>
      <c r="F2" s="1214"/>
    </row>
    <row r="3" spans="1:18" ht="6" customHeight="1" thickBot="1">
      <c r="A3" s="365"/>
      <c r="B3" s="71"/>
      <c r="C3" s="71"/>
      <c r="D3" s="71"/>
      <c r="E3" s="71"/>
      <c r="F3" s="71"/>
      <c r="G3" s="71"/>
      <c r="H3" s="71"/>
      <c r="I3" s="71"/>
      <c r="J3" s="71"/>
      <c r="K3" s="71"/>
      <c r="L3" s="71"/>
      <c r="M3" s="71"/>
      <c r="N3" s="71"/>
      <c r="O3" s="71"/>
      <c r="P3" s="71"/>
      <c r="Q3" s="72"/>
    </row>
    <row r="4" spans="1:18" ht="15" customHeight="1">
      <c r="A4" s="75"/>
      <c r="B4" s="1413" t="s">
        <v>57</v>
      </c>
      <c r="C4" s="1413"/>
      <c r="D4" s="1413"/>
      <c r="E4" s="1403"/>
      <c r="F4" s="1403"/>
      <c r="G4" s="1403"/>
      <c r="H4" s="1403"/>
      <c r="I4" s="1403"/>
      <c r="J4" s="1403"/>
      <c r="K4" s="1403"/>
      <c r="L4" s="1403"/>
      <c r="M4" s="75"/>
      <c r="N4" s="1412" t="s">
        <v>58</v>
      </c>
      <c r="O4" s="1412"/>
      <c r="P4" s="75"/>
      <c r="Q4" s="72"/>
    </row>
    <row r="5" spans="1:18" ht="39" customHeight="1" thickBot="1">
      <c r="A5" s="953" t="s">
        <v>1104</v>
      </c>
      <c r="B5" s="953" t="s">
        <v>1099</v>
      </c>
      <c r="C5" s="1304" t="s">
        <v>1215</v>
      </c>
      <c r="D5" s="1303" t="s">
        <v>1216</v>
      </c>
      <c r="E5" s="1303" t="s">
        <v>1217</v>
      </c>
      <c r="F5" s="1303" t="s">
        <v>1218</v>
      </c>
      <c r="G5" s="1303" t="s">
        <v>1219</v>
      </c>
      <c r="H5" s="952" t="s">
        <v>1097</v>
      </c>
      <c r="I5" s="952" t="s">
        <v>1098</v>
      </c>
      <c r="J5" s="952" t="s">
        <v>1096</v>
      </c>
      <c r="K5" s="952" t="s">
        <v>1095</v>
      </c>
      <c r="L5" s="1305" t="s">
        <v>1220</v>
      </c>
      <c r="M5" s="954" t="s">
        <v>1100</v>
      </c>
      <c r="N5" s="952" t="s">
        <v>1101</v>
      </c>
      <c r="O5" s="952" t="s">
        <v>1102</v>
      </c>
      <c r="P5" s="952" t="s">
        <v>1103</v>
      </c>
      <c r="Q5" s="72"/>
    </row>
    <row r="6" spans="1:18" hidden="1">
      <c r="A6" s="73">
        <v>2011</v>
      </c>
      <c r="B6" s="356">
        <v>3012379000</v>
      </c>
      <c r="C6" s="1308"/>
      <c r="D6" s="356">
        <v>477329000</v>
      </c>
      <c r="E6" s="589" t="s">
        <v>60</v>
      </c>
      <c r="F6" s="589" t="s">
        <v>60</v>
      </c>
      <c r="G6" s="589" t="s">
        <v>60</v>
      </c>
      <c r="H6" s="589" t="s">
        <v>60</v>
      </c>
      <c r="I6" s="589" t="s">
        <v>60</v>
      </c>
      <c r="J6" s="368"/>
      <c r="K6" s="368"/>
      <c r="L6" s="1309"/>
      <c r="M6" s="951">
        <f t="shared" ref="M6:M16" si="0">SUM(B6:L6)</f>
        <v>3489708000</v>
      </c>
      <c r="N6" s="356">
        <v>1010205000</v>
      </c>
      <c r="O6" s="368">
        <v>204027000</v>
      </c>
      <c r="P6" s="957">
        <v>4762261000</v>
      </c>
      <c r="Q6" s="74"/>
      <c r="R6" s="959"/>
    </row>
    <row r="7" spans="1:18" s="1335" customFormat="1" ht="21" customHeight="1">
      <c r="A7" s="1332">
        <v>2012</v>
      </c>
      <c r="B7" s="1298">
        <v>3121503000</v>
      </c>
      <c r="C7" s="1299"/>
      <c r="D7" s="1298">
        <v>503070000</v>
      </c>
      <c r="E7" s="1296" t="s">
        <v>60</v>
      </c>
      <c r="F7" s="1296" t="s">
        <v>60</v>
      </c>
      <c r="G7" s="1296" t="s">
        <v>60</v>
      </c>
      <c r="H7" s="1296" t="s">
        <v>60</v>
      </c>
      <c r="I7" s="1296" t="s">
        <v>60</v>
      </c>
      <c r="J7" s="1298"/>
      <c r="K7" s="1298"/>
      <c r="L7" s="1299"/>
      <c r="M7" s="1298">
        <f t="shared" si="0"/>
        <v>3624573000</v>
      </c>
      <c r="N7" s="1298">
        <v>1052522000</v>
      </c>
      <c r="O7" s="1298">
        <v>214098000</v>
      </c>
      <c r="P7" s="1298">
        <f t="shared" ref="P7:P13" si="1">SUM(M7:O7)</f>
        <v>4891193000</v>
      </c>
      <c r="Q7" s="1333"/>
      <c r="R7" s="1334"/>
    </row>
    <row r="8" spans="1:18" s="1335" customFormat="1" ht="15" customHeight="1">
      <c r="A8" s="1332">
        <v>2013</v>
      </c>
      <c r="B8" s="1298">
        <v>3219798000</v>
      </c>
      <c r="C8" s="1299"/>
      <c r="D8" s="1298">
        <v>521180000</v>
      </c>
      <c r="E8" s="1296" t="s">
        <v>60</v>
      </c>
      <c r="F8" s="1296" t="s">
        <v>60</v>
      </c>
      <c r="G8" s="1296" t="s">
        <v>60</v>
      </c>
      <c r="H8" s="1296" t="s">
        <v>60</v>
      </c>
      <c r="I8" s="1296" t="s">
        <v>60</v>
      </c>
      <c r="J8" s="1298"/>
      <c r="K8" s="1298"/>
      <c r="L8" s="1299"/>
      <c r="M8" s="1298">
        <f t="shared" si="0"/>
        <v>3740978000</v>
      </c>
      <c r="N8" s="1298">
        <v>1089743000</v>
      </c>
      <c r="O8" s="1298">
        <v>221396000</v>
      </c>
      <c r="P8" s="1298">
        <f t="shared" si="1"/>
        <v>5052117000</v>
      </c>
      <c r="Q8" s="1333"/>
      <c r="R8" s="1334"/>
    </row>
    <row r="9" spans="1:18" s="1335" customFormat="1" ht="15" customHeight="1">
      <c r="A9" s="1332">
        <v>2014</v>
      </c>
      <c r="B9" s="1299">
        <v>3066456000</v>
      </c>
      <c r="C9" s="1299"/>
      <c r="D9" s="1298">
        <f>ROUND(492018037.25,-3)</f>
        <v>492018000</v>
      </c>
      <c r="E9" s="1296">
        <f>ROUND(146680019.76+44537298.65,-3)</f>
        <v>191217000</v>
      </c>
      <c r="F9" s="1296">
        <v>41908000</v>
      </c>
      <c r="G9" s="1296">
        <v>62864000</v>
      </c>
      <c r="H9" s="1296">
        <v>203933000</v>
      </c>
      <c r="I9" s="1296">
        <v>107424000</v>
      </c>
      <c r="J9" s="1298"/>
      <c r="K9" s="1298"/>
      <c r="L9" s="1299"/>
      <c r="M9" s="1298">
        <f t="shared" si="0"/>
        <v>4165820000</v>
      </c>
      <c r="N9" s="1298">
        <v>1094794000</v>
      </c>
      <c r="O9" s="1299">
        <v>334030000</v>
      </c>
      <c r="P9" s="1298">
        <f t="shared" si="1"/>
        <v>5594644000</v>
      </c>
      <c r="Q9" s="1333"/>
      <c r="R9" s="1334"/>
    </row>
    <row r="10" spans="1:18" s="1335" customFormat="1" ht="15" customHeight="1">
      <c r="A10" s="1332">
        <v>2015</v>
      </c>
      <c r="B10" s="1298">
        <v>3235444000</v>
      </c>
      <c r="C10" s="1299"/>
      <c r="D10" s="1298">
        <v>590709000</v>
      </c>
      <c r="E10" s="1296">
        <f>ROUND(176785752.29+101094512.7,-3)</f>
        <v>277880000</v>
      </c>
      <c r="F10" s="1296">
        <v>50520000</v>
      </c>
      <c r="G10" s="1296">
        <v>75746000</v>
      </c>
      <c r="H10" s="1296">
        <v>246324000</v>
      </c>
      <c r="I10" s="1296">
        <v>129918000</v>
      </c>
      <c r="J10" s="1298"/>
      <c r="K10" s="1298"/>
      <c r="L10" s="1299"/>
      <c r="M10" s="1298">
        <f t="shared" si="0"/>
        <v>4606541000</v>
      </c>
      <c r="N10" s="1298">
        <v>1143330000</v>
      </c>
      <c r="O10" s="1298">
        <v>352406000</v>
      </c>
      <c r="P10" s="1298">
        <f t="shared" si="1"/>
        <v>6102277000</v>
      </c>
      <c r="Q10" s="1333"/>
      <c r="R10" s="1334"/>
    </row>
    <row r="11" spans="1:18" s="1335" customFormat="1" ht="15" customHeight="1">
      <c r="A11" s="1332">
        <v>2016</v>
      </c>
      <c r="B11" s="1298">
        <v>3295853000</v>
      </c>
      <c r="C11" s="1299"/>
      <c r="D11" s="1298">
        <v>599055000</v>
      </c>
      <c r="E11" s="1296">
        <f>ROUND(174535019.41+102314212,-3)</f>
        <v>276849000</v>
      </c>
      <c r="F11" s="1296">
        <v>49877000</v>
      </c>
      <c r="G11" s="1296">
        <v>74782000</v>
      </c>
      <c r="H11" s="1296">
        <v>237314000</v>
      </c>
      <c r="I11" s="1296">
        <v>126537000</v>
      </c>
      <c r="J11" s="1298"/>
      <c r="K11" s="1298"/>
      <c r="L11" s="1299"/>
      <c r="M11" s="1298">
        <f t="shared" si="0"/>
        <v>4660267000</v>
      </c>
      <c r="N11" s="1298">
        <v>1188704000</v>
      </c>
      <c r="O11" s="1298">
        <v>355547000</v>
      </c>
      <c r="P11" s="1298">
        <f t="shared" si="1"/>
        <v>6204518000</v>
      </c>
      <c r="Q11" s="1333"/>
      <c r="R11" s="1334"/>
    </row>
    <row r="12" spans="1:18" s="1335" customFormat="1" ht="15" customHeight="1">
      <c r="A12" s="1332">
        <v>2017</v>
      </c>
      <c r="B12" s="1298">
        <f>ROUND(3354561000,-3)+3357064365.72*0</f>
        <v>3354561000</v>
      </c>
      <c r="C12" s="1299"/>
      <c r="D12" s="1298">
        <f>ROUND(589823540.29+25748098.43,-3)</f>
        <v>615572000</v>
      </c>
      <c r="E12" s="1296">
        <f>ROUND(178769862.17+98290993.56,-3)</f>
        <v>277061000</v>
      </c>
      <c r="F12" s="1296">
        <v>51043000</v>
      </c>
      <c r="G12" s="1296">
        <v>76683000</v>
      </c>
      <c r="H12" s="1296">
        <v>251601000</v>
      </c>
      <c r="I12" s="1296">
        <v>131472000</v>
      </c>
      <c r="J12" s="1298"/>
      <c r="K12" s="1298"/>
      <c r="L12" s="1299"/>
      <c r="M12" s="1298">
        <f t="shared" si="0"/>
        <v>4757993000</v>
      </c>
      <c r="N12" s="1298">
        <v>1213929000</v>
      </c>
      <c r="O12" s="1298">
        <v>365878000</v>
      </c>
      <c r="P12" s="1298">
        <f t="shared" si="1"/>
        <v>6337800000</v>
      </c>
      <c r="Q12" s="1333"/>
      <c r="R12" s="960"/>
    </row>
    <row r="13" spans="1:18" s="1335" customFormat="1" ht="15" customHeight="1">
      <c r="A13" s="1332">
        <v>2018</v>
      </c>
      <c r="B13" s="1297">
        <f>ROUND(3458249000,-3)+3461771752.8*0</f>
        <v>3458249000</v>
      </c>
      <c r="C13" s="1301"/>
      <c r="D13" s="1297">
        <f>ROUND(592516174.16+25870695.34,-3)</f>
        <v>618387000</v>
      </c>
      <c r="E13" s="1296">
        <f>ROUND(186058734.59+106459499.7,-3)</f>
        <v>292518000</v>
      </c>
      <c r="F13" s="1296">
        <v>53159000</v>
      </c>
      <c r="G13" s="1296">
        <v>79742000</v>
      </c>
      <c r="H13" s="1296">
        <v>256443000</v>
      </c>
      <c r="I13" s="1296">
        <v>137059000</v>
      </c>
      <c r="J13" s="1297"/>
      <c r="K13" s="1297"/>
      <c r="L13" s="1301"/>
      <c r="M13" s="1298">
        <f t="shared" si="0"/>
        <v>4895557000</v>
      </c>
      <c r="N13" s="1298">
        <v>1243480000</v>
      </c>
      <c r="O13" s="1297">
        <v>376561000</v>
      </c>
      <c r="P13" s="1298">
        <f t="shared" si="1"/>
        <v>6515598000</v>
      </c>
      <c r="Q13" s="1333"/>
      <c r="R13" s="961"/>
    </row>
    <row r="14" spans="1:18" s="1335" customFormat="1" ht="15" customHeight="1">
      <c r="A14" s="1332">
        <v>2019</v>
      </c>
      <c r="B14" s="1297">
        <v>3580355000</v>
      </c>
      <c r="C14" s="1301"/>
      <c r="D14" s="1297">
        <f>ROUND(622280986.85+27169809.32,-3)</f>
        <v>649451000</v>
      </c>
      <c r="E14" s="1300">
        <f>ROUND(191758807.58+109669908.6,-3)</f>
        <v>301429000</v>
      </c>
      <c r="F14" s="1300">
        <v>54797000</v>
      </c>
      <c r="G14" s="1300">
        <v>82165000</v>
      </c>
      <c r="H14" s="1300">
        <v>263031000</v>
      </c>
      <c r="I14" s="1300">
        <v>139640000</v>
      </c>
      <c r="J14" s="1297">
        <v>20358000</v>
      </c>
      <c r="K14" s="1297"/>
      <c r="L14" s="1301"/>
      <c r="M14" s="1298">
        <f t="shared" si="0"/>
        <v>5091226000</v>
      </c>
      <c r="N14" s="1298">
        <v>1292804000</v>
      </c>
      <c r="O14" s="1297">
        <v>392605000</v>
      </c>
      <c r="P14" s="1298">
        <f>SUM(M14:O14)</f>
        <v>6776635000</v>
      </c>
      <c r="Q14" s="1333"/>
      <c r="R14" s="962"/>
    </row>
    <row r="15" spans="1:18" s="1335" customFormat="1" ht="15" customHeight="1">
      <c r="A15" s="1332">
        <v>2020</v>
      </c>
      <c r="B15" s="1297">
        <f>ROUND(2683258.31+208033441.59+53040341.29+3169525635.96+-34441737.4+2478935.49+173593188.29+-5477492.26+540921001.82+-406044118.99+132233.73+2033538.76+338923.1,-3)</f>
        <v>3706817000</v>
      </c>
      <c r="C15" s="1301">
        <f>ROUND(33555422.32+14033366.21,-3)-ROUND(33555422.32+14033366.21,-3)</f>
        <v>0</v>
      </c>
      <c r="D15" s="1301">
        <f>ROUND(26831467.7+508394214.76+93910136.99+15332267.26+4677788.52+28877633.8,-3)</f>
        <v>678024000</v>
      </c>
      <c r="E15" s="1302">
        <f>ROUND(188570036.5+108118849.5+8186129.91,-3)</f>
        <v>304875000</v>
      </c>
      <c r="F15" s="1302">
        <f>ROUND(53877017.19+2338894.73,-3)</f>
        <v>56216000</v>
      </c>
      <c r="G15" s="1302">
        <f>ROUND(80816271.36+3508341.57,-3)</f>
        <v>84325000</v>
      </c>
      <c r="H15" s="1300">
        <f>ROUND(268747998.96,-3)</f>
        <v>268748000</v>
      </c>
      <c r="I15" s="1300">
        <f>ROUND(142864493.59,-3)</f>
        <v>142864000</v>
      </c>
      <c r="J15" s="1297">
        <f>ROUND(11366680.58+11364295.82,-3)</f>
        <v>22731000</v>
      </c>
      <c r="K15" s="1297"/>
      <c r="L15" s="1301"/>
      <c r="M15" s="1298">
        <f t="shared" si="0"/>
        <v>5264600000</v>
      </c>
      <c r="N15" s="1298">
        <f>ROUND(1358988340.78,-3)</f>
        <v>1358988000</v>
      </c>
      <c r="O15" s="1297">
        <f>ROUND(406044118.99,-3)</f>
        <v>406044000</v>
      </c>
      <c r="P15" s="1298">
        <f>SUM(M15:O15)</f>
        <v>7029632000</v>
      </c>
      <c r="Q15" s="1333"/>
      <c r="R15" s="962"/>
    </row>
    <row r="16" spans="1:18" s="1335" customFormat="1" ht="15" customHeight="1">
      <c r="A16" s="1332">
        <v>2021</v>
      </c>
      <c r="B16" s="1297">
        <f>ROUND(4166181778.91,-3)</f>
        <v>4166182000</v>
      </c>
      <c r="C16" s="1301">
        <f>ROUND(883351323.76+381740948.12-415199.89-627216.85,-3)</f>
        <v>1264050000</v>
      </c>
      <c r="D16" s="1302">
        <v>0</v>
      </c>
      <c r="E16" s="1302">
        <v>0</v>
      </c>
      <c r="F16" s="1302">
        <f>ROUND(-415199.89,-3)+ROUND(415199.89,-3)</f>
        <v>0</v>
      </c>
      <c r="G16" s="1302">
        <f>ROUND(-627216.85,-3)+ROUND(627216.85,-3)</f>
        <v>0</v>
      </c>
      <c r="H16" s="1300">
        <f>ROUND(286169787.36,-3)</f>
        <v>286170000</v>
      </c>
      <c r="I16" s="1300">
        <f>ROUND(168804319.76,-3)</f>
        <v>168804000</v>
      </c>
      <c r="J16" s="1297">
        <f>ROUND(11485184.74+11483982.06,-3)</f>
        <v>22969000</v>
      </c>
      <c r="K16" s="1297">
        <f>ROUND(89337245.13,-3)</f>
        <v>89337000</v>
      </c>
      <c r="L16" s="1301">
        <f>ROUND(2371114.51+318246.64,-3)</f>
        <v>2689000</v>
      </c>
      <c r="M16" s="1298">
        <f t="shared" si="0"/>
        <v>6000201000</v>
      </c>
      <c r="N16" s="1298">
        <f>ROUND(1477201024.21,-3)</f>
        <v>1477201000</v>
      </c>
      <c r="O16" s="1297">
        <f>ROUND(458362738.92,-3)</f>
        <v>458363000</v>
      </c>
      <c r="P16" s="1298">
        <f>SUM(M16:O16)</f>
        <v>7935765000</v>
      </c>
      <c r="Q16" s="1333"/>
      <c r="R16" s="962"/>
    </row>
    <row r="17" spans="1:18" s="789" customFormat="1" ht="6" customHeight="1">
      <c r="A17" s="787"/>
      <c r="B17" s="788">
        <f>B16/B14-1</f>
        <v>0.16362260166938758</v>
      </c>
      <c r="C17" s="788"/>
      <c r="D17" s="788">
        <f t="shared" ref="D17:P17" si="2">D16/D14-1</f>
        <v>-1</v>
      </c>
      <c r="E17" s="788">
        <f t="shared" si="2"/>
        <v>-1</v>
      </c>
      <c r="F17" s="788">
        <f t="shared" si="2"/>
        <v>-1</v>
      </c>
      <c r="G17" s="788">
        <f t="shared" si="2"/>
        <v>-1</v>
      </c>
      <c r="H17" s="788">
        <f t="shared" si="2"/>
        <v>8.7970619432690356E-2</v>
      </c>
      <c r="I17" s="788">
        <f t="shared" si="2"/>
        <v>0.20885133199656258</v>
      </c>
      <c r="J17" s="788">
        <f t="shared" ref="J17:K17" si="3">J16/J14-1</f>
        <v>0.12825424894390403</v>
      </c>
      <c r="K17" s="788" t="e">
        <f t="shared" si="3"/>
        <v>#DIV/0!</v>
      </c>
      <c r="L17" s="788" t="e">
        <f t="shared" si="2"/>
        <v>#DIV/0!</v>
      </c>
      <c r="M17" s="788">
        <f t="shared" si="2"/>
        <v>0.17853754675200051</v>
      </c>
      <c r="N17" s="788">
        <f t="shared" si="2"/>
        <v>0.14263337675316601</v>
      </c>
      <c r="O17" s="788">
        <f t="shared" si="2"/>
        <v>0.16749149908941563</v>
      </c>
      <c r="P17" s="788">
        <f t="shared" si="2"/>
        <v>0.17104802014569187</v>
      </c>
      <c r="R17" s="959"/>
    </row>
    <row r="18" spans="1:18" s="1205" customFormat="1" ht="12.6" customHeight="1">
      <c r="A18" s="1202" t="s">
        <v>1094</v>
      </c>
      <c r="B18" s="1203"/>
      <c r="C18" s="1203"/>
      <c r="D18" s="1203"/>
      <c r="E18" s="1203"/>
      <c r="F18" s="1203"/>
      <c r="G18" s="1203"/>
      <c r="H18" s="1203"/>
      <c r="I18" s="1204"/>
      <c r="J18" s="1204"/>
      <c r="K18" s="1204"/>
      <c r="L18" s="1204"/>
      <c r="M18" s="1203"/>
      <c r="N18" s="1203"/>
      <c r="O18" s="1203"/>
      <c r="P18" s="1203"/>
      <c r="R18" s="1206"/>
    </row>
    <row r="19" spans="1:18" s="1205" customFormat="1" ht="12.6" customHeight="1">
      <c r="A19" s="1205" t="s">
        <v>1177</v>
      </c>
      <c r="R19" s="1206"/>
    </row>
    <row r="20" spans="1:18" s="1205" customFormat="1" ht="12.6" customHeight="1">
      <c r="A20" s="1205" t="s">
        <v>1178</v>
      </c>
      <c r="N20" s="1207"/>
      <c r="O20" s="1207"/>
      <c r="R20" s="1206"/>
    </row>
    <row r="21" spans="1:18" s="1205" customFormat="1" ht="12.6" customHeight="1">
      <c r="A21" s="1208" t="s">
        <v>1179</v>
      </c>
      <c r="B21" s="1208"/>
      <c r="C21" s="1208"/>
      <c r="D21" s="1208"/>
      <c r="E21" s="1208"/>
      <c r="F21" s="1208"/>
      <c r="G21" s="1208"/>
      <c r="H21" s="1208"/>
      <c r="I21" s="1208"/>
      <c r="J21" s="1208"/>
      <c r="K21" s="1208"/>
      <c r="L21" s="1208"/>
      <c r="M21" s="1208"/>
      <c r="N21" s="1208"/>
      <c r="O21" s="1208"/>
      <c r="P21" s="1208"/>
      <c r="R21" s="1206"/>
    </row>
    <row r="22" spans="1:18" s="1205" customFormat="1" ht="12.6" customHeight="1">
      <c r="A22" s="1208" t="s">
        <v>1204</v>
      </c>
      <c r="B22" s="1208"/>
      <c r="C22" s="1208"/>
      <c r="D22" s="1208"/>
      <c r="E22" s="1208"/>
      <c r="F22" s="1208"/>
      <c r="G22" s="1208"/>
      <c r="H22" s="1208"/>
      <c r="I22" s="1208"/>
      <c r="J22" s="1208"/>
      <c r="K22" s="1208"/>
      <c r="L22" s="1208"/>
      <c r="M22" s="1208"/>
      <c r="N22" s="1208"/>
      <c r="O22" s="1208"/>
      <c r="P22" s="1208"/>
      <c r="R22" s="1206"/>
    </row>
    <row r="23" spans="1:18" s="1205" customFormat="1" ht="12.6" customHeight="1">
      <c r="A23" s="1208" t="s">
        <v>1205</v>
      </c>
      <c r="B23" s="1208"/>
      <c r="C23" s="1208"/>
      <c r="D23" s="1208"/>
      <c r="E23" s="1208"/>
      <c r="F23" s="1208"/>
      <c r="G23" s="1208"/>
      <c r="H23" s="1208"/>
      <c r="I23" s="1208"/>
      <c r="J23" s="1208"/>
      <c r="K23" s="1208"/>
      <c r="L23" s="1208"/>
      <c r="M23" s="1208"/>
      <c r="N23" s="1208"/>
      <c r="O23" s="1208"/>
      <c r="P23" s="1208"/>
      <c r="R23" s="1206"/>
    </row>
    <row r="24" spans="1:18" s="1205" customFormat="1" ht="12.6" customHeight="1">
      <c r="A24" s="1208" t="s">
        <v>1206</v>
      </c>
      <c r="B24" s="1208"/>
      <c r="C24" s="1208"/>
      <c r="D24" s="1208"/>
      <c r="E24" s="1208"/>
      <c r="F24" s="1208"/>
      <c r="G24" s="1208"/>
      <c r="H24" s="1208"/>
      <c r="I24" s="1208"/>
      <c r="J24" s="1208"/>
      <c r="K24" s="1208"/>
      <c r="L24" s="1208"/>
      <c r="M24" s="1208"/>
      <c r="N24" s="1208"/>
      <c r="O24" s="1208"/>
      <c r="P24" s="1208"/>
      <c r="R24" s="1206"/>
    </row>
    <row r="25" spans="1:18" s="1205" customFormat="1" ht="12.6" customHeight="1">
      <c r="A25" s="1208" t="s">
        <v>1207</v>
      </c>
      <c r="B25" s="1209"/>
      <c r="C25" s="1209"/>
      <c r="D25" s="1209"/>
      <c r="E25" s="1209"/>
      <c r="F25" s="1209"/>
      <c r="G25" s="1209"/>
      <c r="H25" s="1209"/>
      <c r="I25" s="1209"/>
      <c r="J25" s="1209"/>
      <c r="K25" s="1209"/>
      <c r="L25" s="1209"/>
      <c r="M25" s="1209"/>
      <c r="N25" s="1209"/>
      <c r="O25" s="1209"/>
      <c r="P25" s="1209"/>
      <c r="R25" s="1206"/>
    </row>
    <row r="26" spans="1:18" s="1205" customFormat="1" ht="12.6" customHeight="1">
      <c r="A26" s="1208" t="s">
        <v>1208</v>
      </c>
      <c r="B26" s="1208"/>
      <c r="C26" s="1208"/>
      <c r="D26" s="1208"/>
      <c r="E26" s="1208"/>
      <c r="F26" s="1208"/>
      <c r="G26" s="1208"/>
      <c r="H26" s="1208"/>
      <c r="I26" s="1208"/>
      <c r="J26" s="1208"/>
      <c r="K26" s="1208"/>
      <c r="L26" s="1208"/>
      <c r="M26" s="1208"/>
      <c r="N26" s="1208"/>
      <c r="O26" s="1208"/>
      <c r="P26" s="1208"/>
      <c r="R26" s="1206"/>
    </row>
    <row r="27" spans="1:18" s="1205" customFormat="1" ht="12.6" customHeight="1">
      <c r="A27" s="1208" t="s">
        <v>1209</v>
      </c>
      <c r="B27" s="1208"/>
      <c r="C27" s="1208"/>
      <c r="D27" s="1208"/>
      <c r="E27" s="1208"/>
      <c r="F27" s="1208"/>
      <c r="G27" s="1208"/>
      <c r="H27" s="1208"/>
      <c r="I27" s="1208"/>
      <c r="J27" s="1208"/>
      <c r="K27" s="1208"/>
      <c r="L27" s="1208"/>
      <c r="M27" s="1208"/>
      <c r="N27" s="1208"/>
      <c r="O27" s="1208"/>
      <c r="P27" s="1208"/>
      <c r="R27" s="1206"/>
    </row>
    <row r="28" spans="1:18" s="1205" customFormat="1" ht="12.6" customHeight="1">
      <c r="A28" s="1210" t="s">
        <v>1210</v>
      </c>
      <c r="B28" s="1210"/>
      <c r="C28" s="1210"/>
      <c r="D28" s="1210"/>
      <c r="E28" s="1210"/>
      <c r="F28" s="1210"/>
      <c r="G28" s="1210"/>
      <c r="H28" s="1210"/>
      <c r="I28" s="1210"/>
      <c r="J28" s="1210"/>
      <c r="K28" s="1210"/>
      <c r="L28" s="1210"/>
      <c r="M28" s="1210"/>
      <c r="N28" s="1210"/>
      <c r="O28" s="1210"/>
      <c r="P28" s="1210"/>
      <c r="R28" s="1206"/>
    </row>
    <row r="29" spans="1:18" s="1205" customFormat="1" ht="12.6" customHeight="1">
      <c r="A29" s="1208" t="s">
        <v>1211</v>
      </c>
      <c r="B29" s="1211"/>
      <c r="C29" s="1211"/>
      <c r="D29" s="1211"/>
      <c r="E29" s="1211"/>
      <c r="F29" s="1211"/>
      <c r="G29" s="1211"/>
      <c r="H29" s="1211"/>
      <c r="I29" s="1211"/>
      <c r="J29" s="1211"/>
      <c r="K29" s="1211"/>
      <c r="L29" s="1211"/>
      <c r="M29" s="1211"/>
      <c r="N29" s="1211"/>
      <c r="O29" s="1211"/>
      <c r="P29" s="1211"/>
      <c r="R29" s="1206"/>
    </row>
    <row r="30" spans="1:18" s="1205" customFormat="1" ht="12.6" customHeight="1">
      <c r="A30" s="1212" t="s">
        <v>1212</v>
      </c>
      <c r="B30" s="1212"/>
      <c r="C30" s="1212"/>
      <c r="D30" s="1212"/>
      <c r="E30" s="1212"/>
      <c r="F30" s="1212"/>
      <c r="G30" s="1212"/>
      <c r="H30" s="1212"/>
      <c r="I30" s="1212"/>
      <c r="J30" s="1212"/>
      <c r="K30" s="1212"/>
      <c r="L30" s="1212"/>
      <c r="M30" s="1212"/>
      <c r="N30" s="1212"/>
      <c r="R30" s="1206"/>
    </row>
    <row r="31" spans="1:18" s="1205" customFormat="1" ht="12.6" customHeight="1">
      <c r="A31" s="1212" t="s">
        <v>1221</v>
      </c>
      <c r="B31" s="1212"/>
      <c r="C31" s="1212"/>
      <c r="D31" s="1212"/>
      <c r="E31" s="1212"/>
      <c r="F31" s="1212"/>
      <c r="G31" s="1212"/>
      <c r="H31" s="1212"/>
      <c r="I31" s="1212"/>
      <c r="J31" s="1212"/>
      <c r="K31" s="1212"/>
      <c r="L31" s="1212"/>
      <c r="M31" s="1212"/>
      <c r="N31" s="1212"/>
      <c r="R31" s="1336"/>
    </row>
    <row r="32" spans="1:18" s="1205" customFormat="1" ht="12.6" customHeight="1">
      <c r="A32" s="928" t="s">
        <v>1213</v>
      </c>
      <c r="B32" s="1212"/>
      <c r="C32" s="1212"/>
      <c r="D32" s="1212"/>
      <c r="E32" s="1212"/>
      <c r="F32" s="1212"/>
      <c r="G32" s="1212"/>
      <c r="H32" s="1212"/>
      <c r="I32" s="1212"/>
      <c r="J32" s="1212"/>
      <c r="K32" s="1212"/>
      <c r="L32" s="1212"/>
      <c r="M32" s="1212"/>
      <c r="N32" s="1212"/>
      <c r="R32" s="1206"/>
    </row>
    <row r="33" spans="1:18" s="1205" customFormat="1" ht="12.6" customHeight="1">
      <c r="A33" s="1310" t="s">
        <v>1214</v>
      </c>
      <c r="B33" s="1212"/>
      <c r="C33" s="1212"/>
      <c r="D33" s="1212"/>
      <c r="E33" s="1212"/>
      <c r="F33" s="1212"/>
      <c r="G33" s="1212"/>
      <c r="H33" s="1212"/>
      <c r="I33" s="1212"/>
      <c r="J33" s="1212"/>
      <c r="K33" s="1212"/>
      <c r="L33" s="1212"/>
      <c r="M33" s="1212"/>
      <c r="N33" s="1212"/>
      <c r="R33" s="1206"/>
    </row>
    <row r="34" spans="1:18" s="1068" customFormat="1" ht="12.75" customHeight="1">
      <c r="A34" s="1120"/>
      <c r="B34" s="1072"/>
      <c r="C34" s="1072"/>
      <c r="D34" s="1072"/>
      <c r="E34" s="1072"/>
      <c r="F34" s="1073"/>
    </row>
    <row r="35" spans="1:18" s="1068" customFormat="1" ht="12.75" customHeight="1">
      <c r="A35" s="1120"/>
      <c r="B35" s="1072"/>
      <c r="C35" s="1072"/>
      <c r="D35" s="1072"/>
      <c r="E35" s="1072"/>
      <c r="F35" s="1280"/>
    </row>
    <row r="36" spans="1:18" s="1068" customFormat="1" ht="12.75" customHeight="1">
      <c r="A36" s="1120"/>
      <c r="B36" s="1072"/>
      <c r="C36" s="1072"/>
      <c r="D36" s="1072"/>
      <c r="E36" s="1072"/>
      <c r="F36" s="1280"/>
    </row>
    <row r="37" spans="1:18" s="1068" customFormat="1" ht="12.75" customHeight="1">
      <c r="A37" s="1120"/>
      <c r="B37" s="1072"/>
      <c r="C37" s="1072"/>
      <c r="D37" s="1072"/>
      <c r="E37" s="1072"/>
      <c r="F37" s="1280"/>
    </row>
    <row r="38" spans="1:18" s="1068" customFormat="1" ht="12.75" customHeight="1">
      <c r="A38" s="1120"/>
      <c r="B38" s="1072"/>
      <c r="C38" s="1072"/>
      <c r="D38" s="1072"/>
      <c r="E38" s="1072"/>
      <c r="F38" s="1280"/>
    </row>
    <row r="48" spans="1:18">
      <c r="M48" s="69" t="s">
        <v>1105</v>
      </c>
    </row>
    <row r="59" spans="1:16" ht="15.75">
      <c r="A59" s="76"/>
      <c r="B59" s="76"/>
      <c r="C59" s="76"/>
      <c r="D59" s="76"/>
      <c r="E59" s="76"/>
      <c r="F59" s="76"/>
      <c r="G59" s="76"/>
      <c r="H59" s="76"/>
      <c r="I59" s="76"/>
      <c r="J59" s="76"/>
      <c r="K59" s="76"/>
      <c r="L59" s="76"/>
      <c r="M59" s="76"/>
      <c r="N59" s="76"/>
      <c r="O59" s="76"/>
      <c r="P59" s="76"/>
    </row>
    <row r="62" spans="1:16">
      <c r="A62" s="1120" t="s">
        <v>1155</v>
      </c>
    </row>
  </sheetData>
  <customSheetViews>
    <customSheetView guid="{E6BBE5A7-0B25-4EE8-BA45-5EA5DBAF3AD4}" colorId="22" showPageBreaks="1" fitToPage="1" printArea="1">
      <selection activeCell="C18" sqref="C18"/>
      <rowBreaks count="1" manualBreakCount="1">
        <brk id="51" max="16383" man="1"/>
      </rowBreaks>
      <pageMargins left="0.5" right="0.5" top="1" bottom="1" header="0.5" footer="0.5"/>
      <printOptions horizontalCentered="1"/>
      <pageSetup scale="72" orientation="landscape" r:id="rId1"/>
      <headerFooter alignWithMargins="0"/>
    </customSheetView>
  </customSheetViews>
  <mergeCells count="2">
    <mergeCell ref="N4:O4"/>
    <mergeCell ref="B4:L4"/>
  </mergeCells>
  <phoneticPr fontId="3" type="noConversion"/>
  <hyperlinks>
    <hyperlink ref="R1" location="TOC!A1" display="Back"/>
  </hyperlinks>
  <pageMargins left="0.4" right="0.25" top="0.6" bottom="0.25" header="0.25" footer="0.25"/>
  <pageSetup scale="58" orientation="landscape" cellComments="asDisplayed" r:id="rId2"/>
  <headerFooter scaleWithDoc="0">
    <oddHeader>&amp;R&amp;P</oddHeader>
  </headerFooter>
  <rowBreaks count="1" manualBreakCount="1">
    <brk id="60" max="16383" man="1"/>
  </rowBreaks>
  <drawing r:id="rId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K40"/>
  <sheetViews>
    <sheetView zoomScaleNormal="100" workbookViewId="0"/>
  </sheetViews>
  <sheetFormatPr defaultColWidth="9.28515625" defaultRowHeight="12.75"/>
  <cols>
    <col min="1" max="1" width="63.7109375" style="555" customWidth="1"/>
    <col min="2" max="2" width="16.7109375" style="555" hidden="1" customWidth="1"/>
    <col min="3" max="7" width="16.7109375" style="555" customWidth="1"/>
    <col min="8" max="8" width="1.7109375" style="555" customWidth="1"/>
    <col min="9" max="9" width="5.28515625" style="555" bestFit="1" customWidth="1"/>
    <col min="10" max="10" width="14.85546875" style="555" bestFit="1" customWidth="1"/>
    <col min="11" max="16384" width="9.28515625" style="555"/>
  </cols>
  <sheetData>
    <row r="1" spans="1:11" ht="15.75">
      <c r="A1" s="554" t="s">
        <v>753</v>
      </c>
      <c r="I1" s="1276" t="s">
        <v>1194</v>
      </c>
    </row>
    <row r="2" spans="1:11" ht="15.75">
      <c r="A2" s="554" t="s">
        <v>754</v>
      </c>
    </row>
    <row r="3" spans="1:11" ht="13.5" thickBot="1"/>
    <row r="4" spans="1:11">
      <c r="A4" s="556" t="s">
        <v>755</v>
      </c>
      <c r="B4" s="557">
        <v>2015</v>
      </c>
      <c r="C4" s="557">
        <v>2016</v>
      </c>
      <c r="D4" s="557">
        <v>2017</v>
      </c>
      <c r="E4" s="557">
        <v>2018</v>
      </c>
      <c r="F4" s="557">
        <v>2019</v>
      </c>
      <c r="G4" s="557">
        <v>2020</v>
      </c>
    </row>
    <row r="5" spans="1:11" ht="12" customHeight="1">
      <c r="A5" s="558"/>
      <c r="B5" s="559"/>
      <c r="C5" s="559"/>
    </row>
    <row r="6" spans="1:11">
      <c r="A6" s="560" t="s">
        <v>756</v>
      </c>
      <c r="B6" s="561">
        <v>224112526</v>
      </c>
      <c r="C6" s="561">
        <v>236428402</v>
      </c>
      <c r="D6" s="561">
        <v>248072607</v>
      </c>
      <c r="E6" s="561">
        <v>258214491</v>
      </c>
      <c r="F6" s="561">
        <v>273542329</v>
      </c>
      <c r="G6" s="561">
        <v>297824816</v>
      </c>
      <c r="H6" s="562"/>
      <c r="I6" s="892"/>
      <c r="J6" s="292"/>
      <c r="K6"/>
    </row>
    <row r="7" spans="1:11">
      <c r="A7" s="560" t="s">
        <v>757</v>
      </c>
      <c r="B7" s="222">
        <v>741902421</v>
      </c>
      <c r="C7" s="222">
        <v>716489992</v>
      </c>
      <c r="D7" s="222">
        <v>786200361</v>
      </c>
      <c r="E7" s="222">
        <v>733503953</v>
      </c>
      <c r="F7" s="222">
        <v>782912377</v>
      </c>
      <c r="G7" s="222">
        <v>798224472</v>
      </c>
      <c r="H7" s="562"/>
      <c r="I7" s="892"/>
      <c r="J7" s="292"/>
      <c r="K7"/>
    </row>
    <row r="8" spans="1:11">
      <c r="A8" s="560" t="s">
        <v>758</v>
      </c>
      <c r="B8" s="222">
        <v>1494043122</v>
      </c>
      <c r="C8" s="222">
        <v>3090199390</v>
      </c>
      <c r="D8" s="222">
        <v>3179148036</v>
      </c>
      <c r="E8" s="222">
        <v>1528641552</v>
      </c>
      <c r="F8" s="222">
        <v>1575312559</v>
      </c>
      <c r="G8" s="222">
        <v>1490906809</v>
      </c>
      <c r="H8" s="562"/>
      <c r="I8" s="892"/>
      <c r="J8" s="292"/>
      <c r="K8"/>
    </row>
    <row r="9" spans="1:11">
      <c r="A9" s="560" t="s">
        <v>759</v>
      </c>
      <c r="B9" s="222">
        <v>3860487544</v>
      </c>
      <c r="C9" s="222">
        <v>4270364566</v>
      </c>
      <c r="D9" s="222">
        <v>4644849072</v>
      </c>
      <c r="E9" s="222">
        <v>4664340240</v>
      </c>
      <c r="F9" s="222">
        <v>4823802281</v>
      </c>
      <c r="G9" s="222">
        <v>4337055737</v>
      </c>
      <c r="H9" s="562"/>
      <c r="I9" s="892"/>
      <c r="J9" s="292"/>
      <c r="K9"/>
    </row>
    <row r="10" spans="1:11">
      <c r="A10" s="560" t="s">
        <v>760</v>
      </c>
      <c r="B10" s="222">
        <v>6109462004</v>
      </c>
      <c r="C10" s="222">
        <v>6447657391</v>
      </c>
      <c r="D10" s="222">
        <v>6980772632</v>
      </c>
      <c r="E10" s="222">
        <v>7491164691</v>
      </c>
      <c r="F10" s="222">
        <v>7677482671</v>
      </c>
      <c r="G10" s="222">
        <v>7865485373</v>
      </c>
      <c r="H10" s="562"/>
      <c r="I10" s="892"/>
      <c r="J10" s="292"/>
      <c r="K10"/>
    </row>
    <row r="11" spans="1:11">
      <c r="A11" s="560" t="s">
        <v>761</v>
      </c>
      <c r="B11" s="222">
        <v>61970141616.18</v>
      </c>
      <c r="C11" s="222">
        <v>60885515373.729996</v>
      </c>
      <c r="D11" s="222">
        <v>60933912762.050003</v>
      </c>
      <c r="E11" s="222">
        <v>63650484514.720001</v>
      </c>
      <c r="F11" s="222">
        <v>63653520267</v>
      </c>
      <c r="G11" s="222">
        <v>66155588673.520004</v>
      </c>
      <c r="H11" s="562"/>
      <c r="I11" s="892"/>
      <c r="J11" s="292"/>
      <c r="K11"/>
    </row>
    <row r="12" spans="1:11">
      <c r="A12" s="563" t="s">
        <v>762</v>
      </c>
      <c r="B12" s="222">
        <v>2190603196</v>
      </c>
      <c r="C12" s="222">
        <v>2216264489</v>
      </c>
      <c r="D12" s="222">
        <v>2236965490</v>
      </c>
      <c r="E12" s="222">
        <v>2130068742</v>
      </c>
      <c r="F12" s="222">
        <v>2168336133</v>
      </c>
      <c r="G12" s="222">
        <v>2015670231</v>
      </c>
      <c r="H12" s="562"/>
      <c r="I12" s="893"/>
      <c r="J12" s="894"/>
      <c r="K12"/>
    </row>
    <row r="13" spans="1:11">
      <c r="A13" s="563" t="s">
        <v>763</v>
      </c>
      <c r="B13" s="222">
        <v>5949039176</v>
      </c>
      <c r="C13" s="222">
        <v>4552185948</v>
      </c>
      <c r="D13" s="222">
        <v>4668220968</v>
      </c>
      <c r="E13" s="222">
        <v>6541106925</v>
      </c>
      <c r="F13" s="222">
        <v>6736742934</v>
      </c>
      <c r="G13" s="222">
        <v>7963067603</v>
      </c>
      <c r="H13" s="562"/>
      <c r="I13" s="893"/>
      <c r="J13" s="894"/>
      <c r="K13"/>
    </row>
    <row r="14" spans="1:11">
      <c r="A14" s="563" t="s">
        <v>764</v>
      </c>
      <c r="B14" s="222">
        <v>17345526543.18</v>
      </c>
      <c r="C14" s="222">
        <v>17610607150.73</v>
      </c>
      <c r="D14" s="222">
        <v>17802669235.049999</v>
      </c>
      <c r="E14" s="222">
        <v>18260313944.720001</v>
      </c>
      <c r="F14" s="222">
        <v>18109540317</v>
      </c>
      <c r="G14" s="222">
        <v>20749265267.52</v>
      </c>
      <c r="H14" s="562"/>
      <c r="I14" s="893"/>
      <c r="J14" s="894"/>
      <c r="K14"/>
    </row>
    <row r="15" spans="1:11">
      <c r="A15" s="563" t="s">
        <v>765</v>
      </c>
      <c r="B15" s="222">
        <v>4965141779</v>
      </c>
      <c r="C15" s="222">
        <v>5017295547</v>
      </c>
      <c r="D15" s="222">
        <v>4960521827</v>
      </c>
      <c r="E15" s="222">
        <v>5037699750</v>
      </c>
      <c r="F15" s="222">
        <v>4974648367</v>
      </c>
      <c r="G15" s="222">
        <v>3639826980</v>
      </c>
      <c r="H15" s="562"/>
      <c r="I15" s="893"/>
      <c r="J15" s="894"/>
      <c r="K15"/>
    </row>
    <row r="16" spans="1:11">
      <c r="A16" s="563" t="s">
        <v>766</v>
      </c>
      <c r="B16" s="222">
        <v>17463362939</v>
      </c>
      <c r="C16" s="222">
        <v>17163435010</v>
      </c>
      <c r="D16" s="222">
        <v>17057160048</v>
      </c>
      <c r="E16" s="222">
        <v>17184985659</v>
      </c>
      <c r="F16" s="222">
        <v>17146456723</v>
      </c>
      <c r="G16" s="222">
        <v>17526539796</v>
      </c>
      <c r="H16" s="562"/>
      <c r="I16" s="893"/>
      <c r="J16" s="894"/>
      <c r="K16"/>
    </row>
    <row r="17" spans="1:11">
      <c r="A17" s="560" t="s">
        <v>767</v>
      </c>
      <c r="B17" s="222">
        <v>221805862</v>
      </c>
      <c r="C17" s="222">
        <v>217522848</v>
      </c>
      <c r="D17" s="222">
        <v>227218174</v>
      </c>
      <c r="E17" s="222">
        <v>233258397</v>
      </c>
      <c r="F17" s="222">
        <v>226048609</v>
      </c>
      <c r="G17" s="222">
        <v>181618866</v>
      </c>
      <c r="H17" s="562"/>
      <c r="I17" s="892"/>
      <c r="J17" s="292"/>
      <c r="K17"/>
    </row>
    <row r="18" spans="1:11">
      <c r="A18" s="560" t="s">
        <v>768</v>
      </c>
      <c r="B18" s="222">
        <v>1556586008</v>
      </c>
      <c r="C18" s="222">
        <v>1066385652</v>
      </c>
      <c r="D18" s="222">
        <v>1122804878</v>
      </c>
      <c r="E18" s="222">
        <v>1220788292</v>
      </c>
      <c r="F18" s="393">
        <v>1142018521</v>
      </c>
      <c r="G18" s="393">
        <v>928058380</v>
      </c>
      <c r="H18" s="562"/>
      <c r="I18" s="892"/>
      <c r="J18" s="292"/>
      <c r="K18"/>
    </row>
    <row r="19" spans="1:11">
      <c r="A19" s="560" t="s">
        <v>769</v>
      </c>
      <c r="B19" s="222">
        <v>113853808</v>
      </c>
      <c r="C19" s="222">
        <v>125527340</v>
      </c>
      <c r="D19" s="222">
        <v>136553035</v>
      </c>
      <c r="E19" s="222">
        <v>154414967</v>
      </c>
      <c r="F19" s="222">
        <v>175805119</v>
      </c>
      <c r="G19" s="222">
        <v>309129674</v>
      </c>
      <c r="H19" s="562"/>
      <c r="I19" s="892"/>
      <c r="J19" s="292"/>
      <c r="K19"/>
    </row>
    <row r="20" spans="1:11">
      <c r="A20" s="560" t="s">
        <v>770</v>
      </c>
      <c r="B20" s="222">
        <v>1487050977</v>
      </c>
      <c r="C20" s="222">
        <v>1542849074</v>
      </c>
      <c r="D20" s="222">
        <v>1578113758</v>
      </c>
      <c r="E20" s="222">
        <v>1528238084</v>
      </c>
      <c r="F20" s="222">
        <v>1671730849</v>
      </c>
      <c r="G20" s="222">
        <v>1394555102</v>
      </c>
      <c r="H20" s="562"/>
      <c r="I20" s="892"/>
      <c r="J20" s="292"/>
      <c r="K20"/>
    </row>
    <row r="21" spans="1:11">
      <c r="A21" s="560" t="s">
        <v>771</v>
      </c>
      <c r="B21" s="222">
        <v>1150882544</v>
      </c>
      <c r="C21" s="222">
        <v>1110720704</v>
      </c>
      <c r="D21" s="222">
        <v>1080516636</v>
      </c>
      <c r="E21" s="222">
        <v>1098467483</v>
      </c>
      <c r="F21" s="222">
        <v>1076660664</v>
      </c>
      <c r="G21" s="222">
        <v>974841350</v>
      </c>
      <c r="H21" s="562"/>
      <c r="I21" s="892"/>
      <c r="J21" s="292"/>
      <c r="K21"/>
    </row>
    <row r="22" spans="1:11">
      <c r="A22" s="560" t="s">
        <v>772</v>
      </c>
      <c r="B22" s="222">
        <v>134318380</v>
      </c>
      <c r="C22" s="222">
        <v>107488543</v>
      </c>
      <c r="D22" s="222">
        <v>128612736</v>
      </c>
      <c r="E22" s="222">
        <v>132268769</v>
      </c>
      <c r="F22" s="222">
        <v>175358145</v>
      </c>
      <c r="G22" s="222">
        <v>162627657</v>
      </c>
      <c r="H22" s="562"/>
      <c r="I22" s="892"/>
      <c r="J22" s="292"/>
      <c r="K22"/>
    </row>
    <row r="23" spans="1:11">
      <c r="A23" s="560" t="s">
        <v>773</v>
      </c>
      <c r="B23" s="222">
        <v>317225570</v>
      </c>
      <c r="C23" s="222">
        <v>313510223</v>
      </c>
      <c r="D23" s="222">
        <v>318631326</v>
      </c>
      <c r="E23" s="222">
        <v>326602085</v>
      </c>
      <c r="F23" s="222">
        <v>345429360</v>
      </c>
      <c r="G23" s="222">
        <v>321491679</v>
      </c>
      <c r="H23" s="562"/>
      <c r="I23" s="892"/>
      <c r="J23" s="292"/>
      <c r="K23" s="891"/>
    </row>
    <row r="24" spans="1:11">
      <c r="A24" s="560" t="s">
        <v>774</v>
      </c>
      <c r="B24" s="222">
        <v>119147258</v>
      </c>
      <c r="C24" s="222">
        <v>121809793</v>
      </c>
      <c r="D24" s="222">
        <v>114432109</v>
      </c>
      <c r="E24" s="222">
        <v>93635761</v>
      </c>
      <c r="F24" s="222">
        <v>75544873</v>
      </c>
      <c r="G24" s="222">
        <v>46319582</v>
      </c>
      <c r="H24" s="562"/>
      <c r="I24" s="892"/>
      <c r="J24" s="292"/>
      <c r="K24" s="891"/>
    </row>
    <row r="25" spans="1:11">
      <c r="A25" s="560" t="s">
        <v>775</v>
      </c>
      <c r="B25" s="222">
        <v>352818312</v>
      </c>
      <c r="C25" s="222">
        <v>346898800</v>
      </c>
      <c r="D25" s="222">
        <v>340921008</v>
      </c>
      <c r="E25" s="222">
        <v>347932775</v>
      </c>
      <c r="F25" s="222">
        <v>316098309</v>
      </c>
      <c r="G25" s="222">
        <v>327389507</v>
      </c>
      <c r="H25" s="562"/>
      <c r="I25" s="892"/>
      <c r="J25" s="292"/>
      <c r="K25" s="891"/>
    </row>
    <row r="26" spans="1:11">
      <c r="A26" s="560" t="s">
        <v>776</v>
      </c>
      <c r="B26" s="222">
        <v>608180662</v>
      </c>
      <c r="C26" s="222">
        <v>577465570</v>
      </c>
      <c r="D26" s="222">
        <v>615427279</v>
      </c>
      <c r="E26" s="222">
        <v>625631010</v>
      </c>
      <c r="F26" s="222">
        <v>699339072</v>
      </c>
      <c r="G26" s="222">
        <v>448061930</v>
      </c>
      <c r="H26" s="562"/>
      <c r="I26" s="892"/>
      <c r="J26" s="292"/>
      <c r="K26" s="891"/>
    </row>
    <row r="27" spans="1:11">
      <c r="A27" s="560" t="s">
        <v>777</v>
      </c>
      <c r="B27" s="222">
        <v>16934725968</v>
      </c>
      <c r="C27" s="222">
        <v>17601356777</v>
      </c>
      <c r="D27" s="222">
        <v>17987523834</v>
      </c>
      <c r="E27" s="222">
        <v>18613515472</v>
      </c>
      <c r="F27" s="222">
        <v>19470592932</v>
      </c>
      <c r="G27" s="222">
        <v>15095152204</v>
      </c>
      <c r="H27" s="562"/>
      <c r="I27" s="892"/>
      <c r="J27" s="292"/>
    </row>
    <row r="28" spans="1:11">
      <c r="A28" s="563" t="s">
        <v>778</v>
      </c>
      <c r="B28" s="222">
        <v>13486627199</v>
      </c>
      <c r="C28" s="222">
        <v>14015309950</v>
      </c>
      <c r="D28" s="222">
        <v>14249840628</v>
      </c>
      <c r="E28" s="222">
        <v>14760752957</v>
      </c>
      <c r="F28" s="222">
        <v>15486302505</v>
      </c>
      <c r="G28" s="222">
        <v>12971669114</v>
      </c>
      <c r="H28" s="562"/>
      <c r="I28" s="893"/>
      <c r="J28" s="894"/>
    </row>
    <row r="29" spans="1:11">
      <c r="A29" s="560" t="s">
        <v>779</v>
      </c>
      <c r="B29" s="222">
        <v>2296889468</v>
      </c>
      <c r="C29" s="222">
        <v>2375808522</v>
      </c>
      <c r="D29" s="222">
        <v>2453829305</v>
      </c>
      <c r="E29" s="222">
        <v>2556759876</v>
      </c>
      <c r="F29" s="222">
        <v>2600028077</v>
      </c>
      <c r="G29" s="222">
        <v>2356797691</v>
      </c>
      <c r="H29" s="562"/>
      <c r="I29" s="892"/>
      <c r="J29" s="292"/>
    </row>
    <row r="30" spans="1:11">
      <c r="A30" s="560" t="s">
        <v>780</v>
      </c>
      <c r="B30" s="222">
        <v>19148564</v>
      </c>
      <c r="C30" s="222">
        <v>18787903</v>
      </c>
      <c r="D30" s="222">
        <v>21157757</v>
      </c>
      <c r="E30" s="222">
        <v>21356590</v>
      </c>
      <c r="F30" s="222">
        <v>22167798</v>
      </c>
      <c r="G30" s="222">
        <v>13337609</v>
      </c>
      <c r="H30" s="562"/>
      <c r="I30" s="892"/>
      <c r="J30" s="292"/>
    </row>
    <row r="31" spans="1:11">
      <c r="A31" s="560" t="s">
        <v>781</v>
      </c>
      <c r="B31" s="222">
        <v>507174089</v>
      </c>
      <c r="C31" s="222">
        <v>567981977</v>
      </c>
      <c r="D31" s="222">
        <v>842409724</v>
      </c>
      <c r="E31" s="222">
        <v>795927505</v>
      </c>
      <c r="F31" s="393">
        <v>996283232</v>
      </c>
      <c r="G31" s="393">
        <v>853837721</v>
      </c>
      <c r="H31" s="562"/>
      <c r="I31" s="892"/>
      <c r="J31" s="292"/>
    </row>
    <row r="32" spans="1:11" ht="12" customHeight="1">
      <c r="B32" s="222"/>
      <c r="C32" s="222"/>
      <c r="D32" s="222"/>
    </row>
    <row r="33" spans="1:10">
      <c r="A33" s="564" t="s">
        <v>17</v>
      </c>
      <c r="B33" s="565">
        <f t="shared" ref="B33:G33" si="0">SUM(B6:B11,B17:B27,B29:B31)</f>
        <v>100219956703.17999</v>
      </c>
      <c r="C33" s="565">
        <f t="shared" si="0"/>
        <v>101740768840.73</v>
      </c>
      <c r="D33" s="565">
        <f t="shared" si="0"/>
        <v>103741107029.05</v>
      </c>
      <c r="E33" s="565">
        <f t="shared" si="0"/>
        <v>106075146507.72</v>
      </c>
      <c r="F33" s="565">
        <f t="shared" si="0"/>
        <v>107779678044</v>
      </c>
      <c r="G33" s="565">
        <f t="shared" si="0"/>
        <v>104358304832.52</v>
      </c>
      <c r="I33" s="892"/>
      <c r="J33" s="292"/>
    </row>
    <row r="34" spans="1:10">
      <c r="B34" s="222"/>
      <c r="C34" s="222"/>
      <c r="D34" s="222"/>
      <c r="E34" s="222"/>
      <c r="F34" s="457"/>
      <c r="G34" s="457"/>
    </row>
    <row r="35" spans="1:10" s="1114" customFormat="1">
      <c r="A35" s="1114" t="s">
        <v>1</v>
      </c>
    </row>
    <row r="36" spans="1:10" s="1114" customFormat="1">
      <c r="A36" s="1116" t="s">
        <v>919</v>
      </c>
      <c r="B36" s="1116"/>
      <c r="C36" s="1116"/>
      <c r="D36" s="1117"/>
      <c r="E36" s="1117"/>
      <c r="F36" s="1117"/>
      <c r="G36" s="1117"/>
    </row>
    <row r="37" spans="1:10" s="1114" customFormat="1">
      <c r="A37" s="1115" t="s">
        <v>782</v>
      </c>
      <c r="B37" s="1115"/>
      <c r="C37" s="1115"/>
    </row>
    <row r="38" spans="1:10" s="1114" customFormat="1" ht="25.5" customHeight="1">
      <c r="A38" s="1414" t="s">
        <v>1147</v>
      </c>
      <c r="B38" s="1414"/>
      <c r="C38" s="1414"/>
      <c r="D38" s="1415"/>
      <c r="E38" s="1415"/>
      <c r="F38" s="1415"/>
      <c r="G38" s="1415"/>
    </row>
    <row r="39" spans="1:10" s="1114" customFormat="1" ht="13.15" customHeight="1">
      <c r="A39" s="1115" t="s">
        <v>951</v>
      </c>
      <c r="B39" s="1115"/>
      <c r="C39" s="1115"/>
    </row>
    <row r="40" spans="1:10" s="1114" customFormat="1" ht="13.15" customHeight="1">
      <c r="A40" s="1119" t="s">
        <v>1149</v>
      </c>
      <c r="B40" s="1115"/>
      <c r="C40" s="1115"/>
    </row>
  </sheetData>
  <customSheetViews>
    <customSheetView guid="{E6BBE5A7-0B25-4EE8-BA45-5EA5DBAF3AD4}" showPageBreaks="1" printArea="1">
      <selection activeCell="G20" sqref="G20"/>
      <pageMargins left="0.5" right="0.5" top="0.75" bottom="0.75" header="0.5" footer="0.5"/>
      <printOptions horizontalCentered="1"/>
      <pageSetup scale="85" orientation="landscape" r:id="rId1"/>
      <headerFooter alignWithMargins="0"/>
    </customSheetView>
  </customSheetViews>
  <mergeCells count="1">
    <mergeCell ref="A38:G38"/>
  </mergeCells>
  <hyperlinks>
    <hyperlink ref="I1" location="TOC!A1" display="Back"/>
  </hyperlinks>
  <printOptions horizontalCentered="1"/>
  <pageMargins left="0.5" right="0.25" top="0.5" bottom="0.25" header="0.25" footer="0.75"/>
  <pageSetup scale="89" orientation="landscape" r:id="rId2"/>
  <headerFooter scaleWithDoc="0">
    <oddHeader>&amp;R&amp;P</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P139"/>
  <sheetViews>
    <sheetView zoomScaleNormal="100" zoomScaleSheetLayoutView="90" workbookViewId="0"/>
  </sheetViews>
  <sheetFormatPr defaultColWidth="13.140625" defaultRowHeight="15"/>
  <cols>
    <col min="1" max="1" width="12.28515625" style="712" customWidth="1"/>
    <col min="2" max="3" width="12.7109375" style="711" customWidth="1"/>
    <col min="4" max="4" width="11.7109375" style="711" customWidth="1"/>
    <col min="5" max="5" width="6.7109375" style="712" customWidth="1"/>
    <col min="6" max="6" width="12.7109375" style="712" customWidth="1"/>
    <col min="7" max="9" width="11.7109375" style="711" customWidth="1"/>
    <col min="10" max="10" width="6.7109375" style="711" customWidth="1"/>
    <col min="11" max="13" width="12.7109375" style="711" customWidth="1"/>
    <col min="14" max="14" width="12.7109375" style="712" customWidth="1"/>
    <col min="15" max="15" width="1.7109375" style="712" customWidth="1"/>
    <col min="16" max="16" width="7.85546875" style="969" bestFit="1" customWidth="1"/>
    <col min="17" max="16384" width="13.140625" style="712"/>
  </cols>
  <sheetData>
    <row r="1" spans="1:16" ht="18.75">
      <c r="A1" s="709" t="s">
        <v>296</v>
      </c>
      <c r="B1" s="710"/>
      <c r="C1" s="710"/>
      <c r="G1" s="852"/>
      <c r="H1" s="713"/>
      <c r="I1" s="713"/>
      <c r="J1" s="713"/>
      <c r="K1" s="713"/>
      <c r="L1" s="713"/>
      <c r="M1" s="713"/>
      <c r="P1" s="1276" t="s">
        <v>1194</v>
      </c>
    </row>
    <row r="2" spans="1:16">
      <c r="A2" s="714" t="s">
        <v>1083</v>
      </c>
      <c r="B2" s="710"/>
      <c r="C2" s="710"/>
      <c r="G2" s="713"/>
      <c r="H2" s="713"/>
      <c r="I2" s="713"/>
      <c r="J2" s="713"/>
      <c r="K2" s="713"/>
      <c r="L2" s="713"/>
      <c r="M2" s="713"/>
    </row>
    <row r="3" spans="1:16" ht="10.9" customHeight="1" thickBot="1">
      <c r="A3" s="715"/>
      <c r="B3" s="710"/>
      <c r="C3" s="710"/>
      <c r="G3" s="713"/>
      <c r="H3" s="713"/>
      <c r="I3" s="713"/>
      <c r="J3" s="713"/>
      <c r="K3" s="713"/>
      <c r="L3" s="713"/>
      <c r="M3" s="713"/>
    </row>
    <row r="4" spans="1:16">
      <c r="A4" s="716"/>
      <c r="B4" s="717" t="s">
        <v>62</v>
      </c>
      <c r="C4" s="718" t="s">
        <v>58</v>
      </c>
      <c r="D4" s="718" t="s">
        <v>17</v>
      </c>
      <c r="E4" s="719"/>
      <c r="F4" s="720"/>
      <c r="G4" s="718" t="s">
        <v>62</v>
      </c>
      <c r="H4" s="718" t="s">
        <v>58</v>
      </c>
      <c r="I4" s="718" t="s">
        <v>17</v>
      </c>
      <c r="J4" s="879"/>
      <c r="K4" s="740"/>
      <c r="L4" s="718" t="s">
        <v>62</v>
      </c>
      <c r="M4" s="718" t="s">
        <v>58</v>
      </c>
      <c r="N4" s="718" t="s">
        <v>17</v>
      </c>
    </row>
    <row r="5" spans="1:16">
      <c r="A5" s="721" t="s">
        <v>23</v>
      </c>
      <c r="B5" s="722" t="s">
        <v>63</v>
      </c>
      <c r="C5" s="723" t="s">
        <v>59</v>
      </c>
      <c r="D5" s="723" t="s">
        <v>20</v>
      </c>
      <c r="E5" s="719"/>
      <c r="F5" s="724" t="s">
        <v>23</v>
      </c>
      <c r="G5" s="723" t="s">
        <v>63</v>
      </c>
      <c r="H5" s="723" t="s">
        <v>59</v>
      </c>
      <c r="I5" s="723" t="s">
        <v>20</v>
      </c>
      <c r="J5" s="879"/>
      <c r="K5" s="721" t="s">
        <v>23</v>
      </c>
      <c r="L5" s="723" t="s">
        <v>63</v>
      </c>
      <c r="M5" s="723" t="s">
        <v>59</v>
      </c>
      <c r="N5" s="723" t="s">
        <v>20</v>
      </c>
      <c r="P5" s="1342"/>
    </row>
    <row r="6" spans="1:16" ht="15.95" customHeight="1">
      <c r="A6" s="725" t="s">
        <v>64</v>
      </c>
      <c r="B6" s="1337">
        <v>5267392.78</v>
      </c>
      <c r="C6" s="1337">
        <v>5725168.7300000004</v>
      </c>
      <c r="D6" s="725">
        <f t="shared" ref="D6:D40" si="0">SUM(B6:C6)</f>
        <v>10992561.510000002</v>
      </c>
      <c r="E6" s="727"/>
      <c r="F6" s="728" t="s">
        <v>65</v>
      </c>
      <c r="G6" s="1337">
        <v>6124507.3600000003</v>
      </c>
      <c r="H6" s="1337">
        <v>6202050.0099999998</v>
      </c>
      <c r="I6" s="725">
        <f t="shared" ref="I6:I40" si="1">SUM(G6:H6)</f>
        <v>12326557.370000001</v>
      </c>
      <c r="J6" s="725"/>
      <c r="K6" s="725" t="s">
        <v>132</v>
      </c>
      <c r="L6" s="1339">
        <v>2991990.78</v>
      </c>
      <c r="M6" s="1339">
        <v>3838598.28</v>
      </c>
      <c r="N6" s="725">
        <f t="shared" ref="N6:N31" si="2">SUM(L6:M6)</f>
        <v>6830589.0599999996</v>
      </c>
      <c r="P6" s="1342"/>
    </row>
    <row r="7" spans="1:16" ht="15.95" customHeight="1">
      <c r="A7" s="725" t="s">
        <v>66</v>
      </c>
      <c r="B7" s="730">
        <v>17315390.420000002</v>
      </c>
      <c r="C7" s="730">
        <v>19226732.460000001</v>
      </c>
      <c r="D7" s="731">
        <f t="shared" si="0"/>
        <v>36542122.880000003</v>
      </c>
      <c r="E7" s="727"/>
      <c r="F7" s="728" t="s">
        <v>67</v>
      </c>
      <c r="G7" s="730">
        <v>3615516.04</v>
      </c>
      <c r="H7" s="730">
        <v>4013942.52</v>
      </c>
      <c r="I7" s="731">
        <f t="shared" si="1"/>
        <v>7629458.5600000005</v>
      </c>
      <c r="J7" s="731"/>
      <c r="K7" s="725" t="s">
        <v>134</v>
      </c>
      <c r="L7" s="730">
        <v>6439992.5599999996</v>
      </c>
      <c r="M7" s="730">
        <v>4163154.9</v>
      </c>
      <c r="N7" s="731">
        <f t="shared" si="2"/>
        <v>10603147.459999999</v>
      </c>
      <c r="P7" s="1342"/>
    </row>
    <row r="8" spans="1:16" ht="15.95" customHeight="1">
      <c r="A8" s="725" t="s">
        <v>68</v>
      </c>
      <c r="B8" s="730">
        <v>2433609.96</v>
      </c>
      <c r="C8" s="730">
        <v>1164911.1000000001</v>
      </c>
      <c r="D8" s="731">
        <f t="shared" si="0"/>
        <v>3598521.06</v>
      </c>
      <c r="E8" s="727"/>
      <c r="F8" s="728" t="s">
        <v>69</v>
      </c>
      <c r="G8" s="730">
        <v>2135806.7799999998</v>
      </c>
      <c r="H8" s="730">
        <v>655978.43999999994</v>
      </c>
      <c r="I8" s="731">
        <f t="shared" si="1"/>
        <v>2791785.2199999997</v>
      </c>
      <c r="J8" s="731"/>
      <c r="K8" s="725" t="s">
        <v>136</v>
      </c>
      <c r="L8" s="730">
        <v>98286198.689999998</v>
      </c>
      <c r="M8" s="730">
        <v>79076029.989999995</v>
      </c>
      <c r="N8" s="731">
        <f t="shared" si="2"/>
        <v>177362228.68000001</v>
      </c>
      <c r="P8" s="1342"/>
    </row>
    <row r="9" spans="1:16" ht="15.95" customHeight="1">
      <c r="A9" s="725" t="s">
        <v>70</v>
      </c>
      <c r="B9" s="730">
        <v>2219563.92</v>
      </c>
      <c r="C9" s="730">
        <v>1130602.99</v>
      </c>
      <c r="D9" s="731">
        <f t="shared" si="0"/>
        <v>3350166.91</v>
      </c>
      <c r="E9" s="727"/>
      <c r="F9" s="728" t="s">
        <v>71</v>
      </c>
      <c r="G9" s="730">
        <v>3828631.42</v>
      </c>
      <c r="H9" s="730">
        <v>2905512.94</v>
      </c>
      <c r="I9" s="731">
        <f t="shared" si="1"/>
        <v>6734144.3599999994</v>
      </c>
      <c r="J9" s="731"/>
      <c r="K9" s="725" t="s">
        <v>138</v>
      </c>
      <c r="L9" s="730">
        <v>4883971.26</v>
      </c>
      <c r="M9" s="730">
        <v>5125359.53</v>
      </c>
      <c r="N9" s="731">
        <f t="shared" si="2"/>
        <v>10009330.789999999</v>
      </c>
      <c r="P9" s="1342"/>
    </row>
    <row r="10" spans="1:16" ht="15.95" customHeight="1">
      <c r="A10" s="725" t="s">
        <v>72</v>
      </c>
      <c r="B10" s="730">
        <v>5066375.6399999997</v>
      </c>
      <c r="C10" s="730">
        <v>3824929.45</v>
      </c>
      <c r="D10" s="731">
        <f t="shared" si="0"/>
        <v>8891305.0899999999</v>
      </c>
      <c r="E10" s="727"/>
      <c r="F10" s="728" t="s">
        <v>73</v>
      </c>
      <c r="G10" s="730">
        <v>1534616.72</v>
      </c>
      <c r="H10" s="730">
        <v>857477.4</v>
      </c>
      <c r="I10" s="731">
        <f t="shared" si="1"/>
        <v>2392094.12</v>
      </c>
      <c r="J10" s="731"/>
      <c r="K10" s="725" t="s">
        <v>140</v>
      </c>
      <c r="L10" s="730">
        <v>1050686.6399999999</v>
      </c>
      <c r="M10" s="730">
        <v>853903.34</v>
      </c>
      <c r="N10" s="731">
        <f t="shared" si="2"/>
        <v>1904589.98</v>
      </c>
      <c r="P10" s="1342"/>
    </row>
    <row r="11" spans="1:16" ht="24.95" customHeight="1">
      <c r="A11" s="725" t="s">
        <v>74</v>
      </c>
      <c r="B11" s="730">
        <v>2656031.64</v>
      </c>
      <c r="C11" s="730">
        <v>1750329.64</v>
      </c>
      <c r="D11" s="731">
        <f t="shared" si="0"/>
        <v>4406361.28</v>
      </c>
      <c r="E11" s="727"/>
      <c r="F11" s="728" t="s">
        <v>75</v>
      </c>
      <c r="G11" s="730">
        <v>5768074.2999999998</v>
      </c>
      <c r="H11" s="730">
        <v>4406596.68</v>
      </c>
      <c r="I11" s="731">
        <f t="shared" si="1"/>
        <v>10174670.98</v>
      </c>
      <c r="J11" s="731"/>
      <c r="K11" s="725" t="s">
        <v>142</v>
      </c>
      <c r="L11" s="730">
        <v>1274038.98</v>
      </c>
      <c r="M11" s="730">
        <v>1802618.65</v>
      </c>
      <c r="N11" s="731">
        <f t="shared" si="2"/>
        <v>3076657.63</v>
      </c>
      <c r="P11" s="1342"/>
    </row>
    <row r="12" spans="1:16" ht="15.95" customHeight="1">
      <c r="A12" s="725" t="s">
        <v>76</v>
      </c>
      <c r="B12" s="730">
        <v>30808663.879999999</v>
      </c>
      <c r="C12" s="730">
        <v>38272893.689999998</v>
      </c>
      <c r="D12" s="731">
        <f t="shared" si="0"/>
        <v>69081557.569999993</v>
      </c>
      <c r="E12" s="727"/>
      <c r="F12" s="728" t="s">
        <v>77</v>
      </c>
      <c r="G12" s="730">
        <v>20097988.32</v>
      </c>
      <c r="H12" s="730">
        <v>27680860.989999998</v>
      </c>
      <c r="I12" s="731">
        <f t="shared" si="1"/>
        <v>47778849.310000002</v>
      </c>
      <c r="J12" s="731"/>
      <c r="K12" s="725" t="s">
        <v>27</v>
      </c>
      <c r="L12" s="730">
        <v>15871975.9</v>
      </c>
      <c r="M12" s="730">
        <v>14174891.82</v>
      </c>
      <c r="N12" s="731">
        <f t="shared" si="2"/>
        <v>30046867.719999999</v>
      </c>
      <c r="P12" s="1342"/>
    </row>
    <row r="13" spans="1:16" ht="15.95" customHeight="1">
      <c r="A13" s="725" t="s">
        <v>78</v>
      </c>
      <c r="B13" s="730">
        <v>11849772.439999999</v>
      </c>
      <c r="C13" s="730">
        <v>7735742.9000000004</v>
      </c>
      <c r="D13" s="731">
        <f t="shared" si="0"/>
        <v>19585515.34</v>
      </c>
      <c r="E13" s="727"/>
      <c r="F13" s="728" t="s">
        <v>79</v>
      </c>
      <c r="G13" s="730">
        <v>59080417.369999997</v>
      </c>
      <c r="H13" s="730">
        <v>74114236.980000004</v>
      </c>
      <c r="I13" s="731">
        <f t="shared" si="1"/>
        <v>133194654.34999999</v>
      </c>
      <c r="J13" s="731"/>
      <c r="K13" s="725" t="s">
        <v>144</v>
      </c>
      <c r="L13" s="730">
        <v>3270250.54</v>
      </c>
      <c r="M13" s="730">
        <v>3399490.21</v>
      </c>
      <c r="N13" s="731">
        <f t="shared" si="2"/>
        <v>6669740.75</v>
      </c>
      <c r="P13" s="1342"/>
    </row>
    <row r="14" spans="1:16" ht="15.95" customHeight="1">
      <c r="A14" s="725" t="s">
        <v>80</v>
      </c>
      <c r="B14" s="730">
        <v>543490.68000000005</v>
      </c>
      <c r="C14" s="730">
        <v>604106.18999999994</v>
      </c>
      <c r="D14" s="731">
        <f t="shared" si="0"/>
        <v>1147596.8700000001</v>
      </c>
      <c r="E14" s="727"/>
      <c r="F14" s="728" t="s">
        <v>81</v>
      </c>
      <c r="G14" s="730">
        <v>8330111.7800000003</v>
      </c>
      <c r="H14" s="730">
        <v>5566462.9699999997</v>
      </c>
      <c r="I14" s="731">
        <f t="shared" si="1"/>
        <v>13896574.75</v>
      </c>
      <c r="J14" s="731"/>
      <c r="K14" s="725" t="s">
        <v>145</v>
      </c>
      <c r="L14" s="730">
        <v>14501150.9</v>
      </c>
      <c r="M14" s="730">
        <v>10142936.619999999</v>
      </c>
      <c r="N14" s="731">
        <f t="shared" si="2"/>
        <v>24644087.52</v>
      </c>
      <c r="P14" s="1342"/>
    </row>
    <row r="15" spans="1:16" ht="15.95" customHeight="1">
      <c r="A15" s="726" t="s">
        <v>434</v>
      </c>
      <c r="B15" s="730">
        <v>13127533.98</v>
      </c>
      <c r="C15" s="730">
        <v>8663416.0700000003</v>
      </c>
      <c r="D15" s="731">
        <f t="shared" si="0"/>
        <v>21790950.050000001</v>
      </c>
      <c r="E15" s="727"/>
      <c r="F15" s="728" t="s">
        <v>82</v>
      </c>
      <c r="G15" s="730">
        <v>238242.5</v>
      </c>
      <c r="H15" s="730">
        <v>171279.89</v>
      </c>
      <c r="I15" s="731">
        <f t="shared" si="1"/>
        <v>409522.39</v>
      </c>
      <c r="J15" s="731"/>
      <c r="K15" s="725" t="s">
        <v>147</v>
      </c>
      <c r="L15" s="730">
        <v>4246486.4400000004</v>
      </c>
      <c r="M15" s="730">
        <v>2277214.9700000002</v>
      </c>
      <c r="N15" s="731">
        <f t="shared" si="2"/>
        <v>6523701.4100000001</v>
      </c>
      <c r="P15" s="1342"/>
    </row>
    <row r="16" spans="1:16" ht="24.95" customHeight="1">
      <c r="A16" s="725" t="s">
        <v>83</v>
      </c>
      <c r="B16" s="730">
        <v>798484.64</v>
      </c>
      <c r="C16" s="730">
        <v>444015.23</v>
      </c>
      <c r="D16" s="731">
        <f t="shared" si="0"/>
        <v>1242499.8700000001</v>
      </c>
      <c r="E16" s="727"/>
      <c r="F16" s="728" t="s">
        <v>84</v>
      </c>
      <c r="G16" s="730">
        <v>6378570.7000000002</v>
      </c>
      <c r="H16" s="730">
        <v>3970655.99</v>
      </c>
      <c r="I16" s="731">
        <f t="shared" si="1"/>
        <v>10349226.690000001</v>
      </c>
      <c r="J16" s="731"/>
      <c r="K16" s="725" t="s">
        <v>149</v>
      </c>
      <c r="L16" s="730">
        <v>3362383.42</v>
      </c>
      <c r="M16" s="730">
        <v>1975495.57</v>
      </c>
      <c r="N16" s="731">
        <f t="shared" si="2"/>
        <v>5337878.99</v>
      </c>
      <c r="P16" s="1342"/>
    </row>
    <row r="17" spans="1:16" ht="15.95" customHeight="1">
      <c r="A17" s="725" t="s">
        <v>85</v>
      </c>
      <c r="B17" s="730">
        <v>5416294.3200000003</v>
      </c>
      <c r="C17" s="730">
        <v>3466109.49</v>
      </c>
      <c r="D17" s="731">
        <f t="shared" si="0"/>
        <v>8882403.8100000005</v>
      </c>
      <c r="E17" s="727"/>
      <c r="F17" s="728" t="s">
        <v>86</v>
      </c>
      <c r="G17" s="730">
        <v>12718985.32</v>
      </c>
      <c r="H17" s="730">
        <v>11026784.49</v>
      </c>
      <c r="I17" s="731">
        <f t="shared" si="1"/>
        <v>23745769.810000002</v>
      </c>
      <c r="J17" s="731"/>
      <c r="K17" s="725" t="s">
        <v>151</v>
      </c>
      <c r="L17" s="730">
        <v>7289662.1200000001</v>
      </c>
      <c r="M17" s="730">
        <v>5656522.6200000001</v>
      </c>
      <c r="N17" s="731">
        <f t="shared" si="2"/>
        <v>12946184.74</v>
      </c>
      <c r="P17" s="1342"/>
    </row>
    <row r="18" spans="1:16" ht="15.95" customHeight="1">
      <c r="A18" s="725" t="s">
        <v>87</v>
      </c>
      <c r="B18" s="730">
        <v>2185130.42</v>
      </c>
      <c r="C18" s="730">
        <v>1187827.05</v>
      </c>
      <c r="D18" s="731">
        <f t="shared" si="0"/>
        <v>3372957.4699999997</v>
      </c>
      <c r="E18" s="727"/>
      <c r="F18" s="728" t="s">
        <v>88</v>
      </c>
      <c r="G18" s="730">
        <v>1006016.2</v>
      </c>
      <c r="H18" s="730">
        <v>325108.26</v>
      </c>
      <c r="I18" s="731">
        <f t="shared" si="1"/>
        <v>1331124.46</v>
      </c>
      <c r="J18" s="731"/>
      <c r="K18" s="725" t="s">
        <v>153</v>
      </c>
      <c r="L18" s="730">
        <v>4905375.8600000003</v>
      </c>
      <c r="M18" s="730">
        <v>2913059.27</v>
      </c>
      <c r="N18" s="731">
        <f t="shared" si="2"/>
        <v>7818435.1300000008</v>
      </c>
      <c r="P18" s="1342"/>
    </row>
    <row r="19" spans="1:16" ht="15.95" customHeight="1">
      <c r="A19" s="725" t="s">
        <v>89</v>
      </c>
      <c r="B19" s="730">
        <v>3134377.9</v>
      </c>
      <c r="C19" s="730">
        <v>1835022.85</v>
      </c>
      <c r="D19" s="731">
        <f t="shared" si="0"/>
        <v>4969400.75</v>
      </c>
      <c r="E19" s="727"/>
      <c r="F19" s="728" t="s">
        <v>90</v>
      </c>
      <c r="G19" s="730">
        <v>5326953.38</v>
      </c>
      <c r="H19" s="730">
        <v>3693436.82</v>
      </c>
      <c r="I19" s="731">
        <f t="shared" si="1"/>
        <v>9020390.1999999993</v>
      </c>
      <c r="J19" s="731"/>
      <c r="K19" s="725" t="s">
        <v>155</v>
      </c>
      <c r="L19" s="730">
        <v>2830060.34</v>
      </c>
      <c r="M19" s="730">
        <v>974398.67</v>
      </c>
      <c r="N19" s="731">
        <f t="shared" si="2"/>
        <v>3804459.01</v>
      </c>
      <c r="P19" s="1342"/>
    </row>
    <row r="20" spans="1:16" ht="15.95" customHeight="1">
      <c r="A20" s="725" t="s">
        <v>91</v>
      </c>
      <c r="B20" s="730">
        <v>2509921.96</v>
      </c>
      <c r="C20" s="730">
        <v>997693.92</v>
      </c>
      <c r="D20" s="731">
        <f t="shared" si="0"/>
        <v>3507615.88</v>
      </c>
      <c r="E20" s="727"/>
      <c r="F20" s="728" t="s">
        <v>92</v>
      </c>
      <c r="G20" s="730">
        <v>3133447.28</v>
      </c>
      <c r="H20" s="730">
        <v>1746268.65</v>
      </c>
      <c r="I20" s="731">
        <f t="shared" si="1"/>
        <v>4879715.93</v>
      </c>
      <c r="J20" s="731"/>
      <c r="K20" s="725" t="s">
        <v>157</v>
      </c>
      <c r="L20" s="730">
        <v>27093569.879999999</v>
      </c>
      <c r="M20" s="730">
        <v>23880634.370000001</v>
      </c>
      <c r="N20" s="731">
        <f t="shared" si="2"/>
        <v>50974204.25</v>
      </c>
      <c r="P20" s="1342"/>
    </row>
    <row r="21" spans="1:16" ht="24.95" customHeight="1">
      <c r="A21" s="725" t="s">
        <v>93</v>
      </c>
      <c r="B21" s="730">
        <v>8955498.3200000003</v>
      </c>
      <c r="C21" s="730">
        <v>6979449.8300000001</v>
      </c>
      <c r="D21" s="731">
        <f t="shared" si="0"/>
        <v>15934948.15</v>
      </c>
      <c r="E21" s="727"/>
      <c r="F21" s="728" t="s">
        <v>94</v>
      </c>
      <c r="G21" s="730">
        <v>1367102.44</v>
      </c>
      <c r="H21" s="730">
        <v>2424432.15</v>
      </c>
      <c r="I21" s="731">
        <f t="shared" si="1"/>
        <v>3791534.59</v>
      </c>
      <c r="J21" s="731"/>
      <c r="K21" s="725" t="s">
        <v>159</v>
      </c>
      <c r="L21" s="730">
        <v>32007321.440000001</v>
      </c>
      <c r="M21" s="730">
        <v>19998406.460000001</v>
      </c>
      <c r="N21" s="731">
        <f t="shared" si="2"/>
        <v>52005727.900000006</v>
      </c>
      <c r="P21" s="1342"/>
    </row>
    <row r="22" spans="1:16" ht="15.95" customHeight="1">
      <c r="A22" s="725" t="s">
        <v>95</v>
      </c>
      <c r="B22" s="730">
        <v>5356733.7</v>
      </c>
      <c r="C22" s="730">
        <v>3221950.56</v>
      </c>
      <c r="D22" s="731">
        <f t="shared" si="0"/>
        <v>8578684.2599999998</v>
      </c>
      <c r="E22" s="727"/>
      <c r="F22" s="728" t="s">
        <v>96</v>
      </c>
      <c r="G22" s="730">
        <v>3718816.52</v>
      </c>
      <c r="H22" s="730">
        <v>1868604.34</v>
      </c>
      <c r="I22" s="731">
        <f t="shared" si="1"/>
        <v>5587420.8600000003</v>
      </c>
      <c r="J22" s="731"/>
      <c r="K22" s="725" t="s">
        <v>161</v>
      </c>
      <c r="L22" s="730">
        <v>921328.42</v>
      </c>
      <c r="M22" s="730">
        <v>661191.47</v>
      </c>
      <c r="N22" s="731">
        <f t="shared" si="2"/>
        <v>1582519.8900000001</v>
      </c>
      <c r="P22" s="1342"/>
    </row>
    <row r="23" spans="1:16" ht="15.95" customHeight="1">
      <c r="A23" s="725" t="s">
        <v>97</v>
      </c>
      <c r="B23" s="730">
        <v>4467046.88</v>
      </c>
      <c r="C23" s="730">
        <v>2672693.84</v>
      </c>
      <c r="D23" s="731">
        <f t="shared" si="0"/>
        <v>7139740.7199999997</v>
      </c>
      <c r="E23" s="727"/>
      <c r="F23" s="728" t="s">
        <v>98</v>
      </c>
      <c r="G23" s="730">
        <v>91787576.129999995</v>
      </c>
      <c r="H23" s="730">
        <v>96266699.579999998</v>
      </c>
      <c r="I23" s="770">
        <f t="shared" si="1"/>
        <v>188054275.70999998</v>
      </c>
      <c r="J23" s="770"/>
      <c r="K23" s="725" t="s">
        <v>163</v>
      </c>
      <c r="L23" s="730">
        <v>1396882.8</v>
      </c>
      <c r="M23" s="730">
        <v>1163418.24</v>
      </c>
      <c r="N23" s="731">
        <f t="shared" si="2"/>
        <v>2560301.04</v>
      </c>
      <c r="P23" s="1342"/>
    </row>
    <row r="24" spans="1:16" ht="15.95" customHeight="1">
      <c r="A24" s="725" t="s">
        <v>99</v>
      </c>
      <c r="B24" s="730">
        <v>883172.4</v>
      </c>
      <c r="C24" s="730">
        <v>1333673.3799999999</v>
      </c>
      <c r="D24" s="731">
        <f t="shared" si="0"/>
        <v>2216845.7799999998</v>
      </c>
      <c r="E24" s="727"/>
      <c r="F24" s="728" t="s">
        <v>100</v>
      </c>
      <c r="G24" s="730">
        <v>5715958.7000000002</v>
      </c>
      <c r="H24" s="730">
        <v>5555533.1600000001</v>
      </c>
      <c r="I24" s="731">
        <f t="shared" si="1"/>
        <v>11271491.859999999</v>
      </c>
      <c r="J24" s="731"/>
      <c r="K24" s="725" t="s">
        <v>165</v>
      </c>
      <c r="L24" s="730">
        <v>6562836.3399999999</v>
      </c>
      <c r="M24" s="730">
        <v>6986423.8399999999</v>
      </c>
      <c r="N24" s="731">
        <f t="shared" si="2"/>
        <v>13549260.18</v>
      </c>
      <c r="P24" s="1342"/>
    </row>
    <row r="25" spans="1:16" ht="15.95" customHeight="1">
      <c r="A25" s="725" t="s">
        <v>101</v>
      </c>
      <c r="B25" s="730">
        <v>2040882.04</v>
      </c>
      <c r="C25" s="730">
        <v>874018.81</v>
      </c>
      <c r="D25" s="731">
        <f t="shared" si="0"/>
        <v>2914900.85</v>
      </c>
      <c r="E25" s="727"/>
      <c r="F25" s="728" t="s">
        <v>102</v>
      </c>
      <c r="G25" s="730">
        <v>1797055.72</v>
      </c>
      <c r="H25" s="730">
        <v>654821</v>
      </c>
      <c r="I25" s="731">
        <f t="shared" si="1"/>
        <v>2451876.7199999997</v>
      </c>
      <c r="J25" s="731"/>
      <c r="K25" s="725" t="s">
        <v>167</v>
      </c>
      <c r="L25" s="730">
        <v>6907171.2199999997</v>
      </c>
      <c r="M25" s="730">
        <v>6410133.46</v>
      </c>
      <c r="N25" s="731">
        <f t="shared" si="2"/>
        <v>13317304.68</v>
      </c>
      <c r="P25" s="1342"/>
    </row>
    <row r="26" spans="1:16" ht="24.95" customHeight="1">
      <c r="A26" s="725" t="s">
        <v>103</v>
      </c>
      <c r="B26" s="730">
        <v>67373303.719999999</v>
      </c>
      <c r="C26" s="730">
        <v>62047867.43</v>
      </c>
      <c r="D26" s="731">
        <f t="shared" si="0"/>
        <v>129421171.15000001</v>
      </c>
      <c r="E26" s="727"/>
      <c r="F26" s="728" t="s">
        <v>104</v>
      </c>
      <c r="G26" s="730">
        <v>2241899.16</v>
      </c>
      <c r="H26" s="730">
        <v>1436813.81</v>
      </c>
      <c r="I26" s="731">
        <f t="shared" si="1"/>
        <v>3678712.97</v>
      </c>
      <c r="J26" s="731"/>
      <c r="K26" s="725" t="s">
        <v>169</v>
      </c>
      <c r="L26" s="730">
        <v>8138401.0199999996</v>
      </c>
      <c r="M26" s="730">
        <v>9096081.1600000001</v>
      </c>
      <c r="N26" s="731">
        <f t="shared" si="2"/>
        <v>17234482.18</v>
      </c>
      <c r="P26" s="1342"/>
    </row>
    <row r="27" spans="1:16" ht="15.95" customHeight="1">
      <c r="A27" s="725" t="s">
        <v>105</v>
      </c>
      <c r="B27" s="730">
        <v>2473627.2000000002</v>
      </c>
      <c r="C27" s="730">
        <v>1780092.17</v>
      </c>
      <c r="D27" s="731">
        <f t="shared" si="0"/>
        <v>4253719.37</v>
      </c>
      <c r="E27" s="727"/>
      <c r="F27" s="728" t="s">
        <v>106</v>
      </c>
      <c r="G27" s="730">
        <v>1184698.06</v>
      </c>
      <c r="H27" s="730">
        <v>761717.67</v>
      </c>
      <c r="I27" s="731">
        <f t="shared" si="1"/>
        <v>1946415.73</v>
      </c>
      <c r="J27" s="731"/>
      <c r="K27" s="725" t="s">
        <v>171</v>
      </c>
      <c r="L27" s="730">
        <v>2615083.7000000002</v>
      </c>
      <c r="M27" s="730">
        <v>1601171.69</v>
      </c>
      <c r="N27" s="731">
        <f t="shared" si="2"/>
        <v>4216255.3900000006</v>
      </c>
      <c r="P27" s="1342"/>
    </row>
    <row r="28" spans="1:16" ht="15.95" customHeight="1">
      <c r="A28" s="725" t="s">
        <v>107</v>
      </c>
      <c r="B28" s="730">
        <v>786386.36</v>
      </c>
      <c r="C28" s="730">
        <v>264552.95</v>
      </c>
      <c r="D28" s="731">
        <f t="shared" si="0"/>
        <v>1050939.31</v>
      </c>
      <c r="E28" s="727"/>
      <c r="F28" s="728" t="s">
        <v>108</v>
      </c>
      <c r="G28" s="730">
        <v>4647590.0199999996</v>
      </c>
      <c r="H28" s="730">
        <v>6685892.9199999999</v>
      </c>
      <c r="I28" s="731">
        <f t="shared" si="1"/>
        <v>11333482.939999999</v>
      </c>
      <c r="J28" s="731"/>
      <c r="K28" s="725" t="s">
        <v>173</v>
      </c>
      <c r="L28" s="730">
        <v>6094727.0800000001</v>
      </c>
      <c r="M28" s="730">
        <v>3769724.37</v>
      </c>
      <c r="N28" s="731">
        <f t="shared" si="2"/>
        <v>9864451.4499999993</v>
      </c>
      <c r="P28" s="1342"/>
    </row>
    <row r="29" spans="1:16" ht="15.95" customHeight="1">
      <c r="A29" s="725" t="s">
        <v>109</v>
      </c>
      <c r="B29" s="730">
        <v>10146710.800000001</v>
      </c>
      <c r="C29" s="730">
        <v>9756384.2799999993</v>
      </c>
      <c r="D29" s="731">
        <f t="shared" si="0"/>
        <v>19903095.079999998</v>
      </c>
      <c r="E29" s="727"/>
      <c r="F29" s="1123" t="s">
        <v>467</v>
      </c>
      <c r="G29" s="730">
        <v>1394090.86</v>
      </c>
      <c r="H29" s="730">
        <v>1463626.96</v>
      </c>
      <c r="I29" s="731">
        <f t="shared" si="1"/>
        <v>2857717.8200000003</v>
      </c>
      <c r="J29" s="731"/>
      <c r="K29" s="725" t="s">
        <v>175</v>
      </c>
      <c r="L29" s="730">
        <v>4685746</v>
      </c>
      <c r="M29" s="730">
        <v>5200254.5</v>
      </c>
      <c r="N29" s="731">
        <f t="shared" si="2"/>
        <v>9886000.5</v>
      </c>
      <c r="P29" s="1342"/>
    </row>
    <row r="30" spans="1:16" ht="15.95" customHeight="1">
      <c r="A30" s="725" t="s">
        <v>111</v>
      </c>
      <c r="B30" s="730">
        <v>1559743.88</v>
      </c>
      <c r="C30" s="730">
        <v>735339.16</v>
      </c>
      <c r="D30" s="731">
        <f t="shared" si="0"/>
        <v>2295083.04</v>
      </c>
      <c r="E30" s="727"/>
      <c r="F30" s="728" t="s">
        <v>112</v>
      </c>
      <c r="G30" s="730">
        <v>12273211.24</v>
      </c>
      <c r="H30" s="730">
        <v>14669451.300000001</v>
      </c>
      <c r="I30" s="731">
        <f t="shared" si="1"/>
        <v>26942662.539999999</v>
      </c>
      <c r="J30" s="731"/>
      <c r="K30" s="725" t="s">
        <v>177</v>
      </c>
      <c r="L30" s="730">
        <v>13636591.18</v>
      </c>
      <c r="M30" s="730">
        <v>11911656.16</v>
      </c>
      <c r="N30" s="731">
        <f t="shared" si="2"/>
        <v>25548247.34</v>
      </c>
      <c r="P30" s="1342"/>
    </row>
    <row r="31" spans="1:16" ht="24.95" customHeight="1">
      <c r="A31" s="725" t="s">
        <v>113</v>
      </c>
      <c r="B31" s="730">
        <v>2360089.7999999998</v>
      </c>
      <c r="C31" s="730">
        <v>945224.59</v>
      </c>
      <c r="D31" s="731">
        <f t="shared" si="0"/>
        <v>3305314.3899999997</v>
      </c>
      <c r="E31" s="727"/>
      <c r="F31" s="728" t="s">
        <v>114</v>
      </c>
      <c r="G31" s="730">
        <v>2216771.98</v>
      </c>
      <c r="H31" s="730">
        <v>1834401.93</v>
      </c>
      <c r="I31" s="731">
        <f t="shared" si="1"/>
        <v>4051173.91</v>
      </c>
      <c r="J31" s="731"/>
      <c r="K31" s="742" t="s">
        <v>24</v>
      </c>
      <c r="L31" s="742">
        <f>SUM(B6:B40,G6:G40,L6:L30)</f>
        <v>1064720620.6900003</v>
      </c>
      <c r="M31" s="742">
        <f>SUM(C6:C40,H6:H40,M6:M30)</f>
        <v>968693896.38999999</v>
      </c>
      <c r="N31" s="742">
        <f t="shared" si="2"/>
        <v>2033414517.0800004</v>
      </c>
      <c r="P31" s="1342"/>
    </row>
    <row r="32" spans="1:16" ht="15.95" customHeight="1">
      <c r="A32" s="725" t="s">
        <v>115</v>
      </c>
      <c r="B32" s="730">
        <v>4706220</v>
      </c>
      <c r="C32" s="730">
        <v>2496517.31</v>
      </c>
      <c r="D32" s="731">
        <f t="shared" si="0"/>
        <v>7202737.3100000005</v>
      </c>
      <c r="E32" s="727"/>
      <c r="F32" s="728" t="s">
        <v>116</v>
      </c>
      <c r="G32" s="730">
        <v>3701134.42</v>
      </c>
      <c r="H32" s="730">
        <v>2548628.1</v>
      </c>
      <c r="I32" s="731">
        <f t="shared" si="1"/>
        <v>6249762.5199999996</v>
      </c>
      <c r="J32" s="731"/>
      <c r="K32" s="731"/>
      <c r="L32" s="731"/>
      <c r="M32" s="731"/>
      <c r="N32" s="729"/>
      <c r="P32" s="1342"/>
    </row>
    <row r="33" spans="1:16" ht="15.95" customHeight="1">
      <c r="A33" s="725" t="s">
        <v>117</v>
      </c>
      <c r="B33" s="730">
        <v>1641639.76</v>
      </c>
      <c r="C33" s="730">
        <v>2467031.2200000002</v>
      </c>
      <c r="D33" s="731">
        <f t="shared" si="0"/>
        <v>4108670.9800000004</v>
      </c>
      <c r="E33" s="727"/>
      <c r="F33" s="728" t="s">
        <v>118</v>
      </c>
      <c r="G33" s="730">
        <v>1893841.7</v>
      </c>
      <c r="H33" s="730">
        <v>2083416.61</v>
      </c>
      <c r="I33" s="731">
        <f t="shared" si="1"/>
        <v>3977258.31</v>
      </c>
      <c r="J33" s="731"/>
      <c r="K33" s="731"/>
      <c r="L33" s="731"/>
      <c r="M33" s="731"/>
      <c r="N33" s="729"/>
      <c r="P33" s="1342"/>
    </row>
    <row r="34" spans="1:16" ht="15.95" customHeight="1">
      <c r="A34" s="725" t="s">
        <v>119</v>
      </c>
      <c r="B34" s="730">
        <v>212985072.06</v>
      </c>
      <c r="C34" s="730">
        <v>200399118.61000001</v>
      </c>
      <c r="D34" s="731">
        <f t="shared" si="0"/>
        <v>413384190.67000002</v>
      </c>
      <c r="E34" s="727"/>
      <c r="F34" s="728" t="s">
        <v>120</v>
      </c>
      <c r="G34" s="730">
        <v>1460165.94</v>
      </c>
      <c r="H34" s="730">
        <v>1089094.0900000001</v>
      </c>
      <c r="I34" s="731">
        <f t="shared" si="1"/>
        <v>2549260.0300000003</v>
      </c>
      <c r="J34" s="731"/>
      <c r="K34" s="731"/>
      <c r="L34" s="731"/>
      <c r="M34" s="731"/>
      <c r="N34" s="729"/>
      <c r="P34" s="1342"/>
    </row>
    <row r="35" spans="1:16" ht="15.95" customHeight="1">
      <c r="A35" s="725" t="s">
        <v>121</v>
      </c>
      <c r="B35" s="730">
        <v>13475591.359999999</v>
      </c>
      <c r="C35" s="730">
        <v>13220702.07</v>
      </c>
      <c r="D35" s="731">
        <f t="shared" si="0"/>
        <v>26696293.43</v>
      </c>
      <c r="E35" s="727"/>
      <c r="F35" s="728" t="s">
        <v>122</v>
      </c>
      <c r="G35" s="730">
        <v>2410344.04</v>
      </c>
      <c r="H35" s="730">
        <v>1833133.29</v>
      </c>
      <c r="I35" s="731">
        <f t="shared" si="1"/>
        <v>4243477.33</v>
      </c>
      <c r="J35" s="731"/>
      <c r="K35" s="731"/>
      <c r="L35" s="731"/>
      <c r="M35" s="731"/>
      <c r="N35" s="729"/>
      <c r="P35" s="1342"/>
    </row>
    <row r="36" spans="1:16" ht="24.95" customHeight="1">
      <c r="A36" s="725" t="s">
        <v>123</v>
      </c>
      <c r="B36" s="730">
        <v>2552731.16</v>
      </c>
      <c r="C36" s="730">
        <v>1290078.8500000001</v>
      </c>
      <c r="D36" s="731">
        <f t="shared" si="0"/>
        <v>3842810.0100000002</v>
      </c>
      <c r="E36" s="727"/>
      <c r="F36" s="728" t="s">
        <v>124</v>
      </c>
      <c r="G36" s="730">
        <v>6016553.7400000002</v>
      </c>
      <c r="H36" s="730">
        <v>4882041.42</v>
      </c>
      <c r="I36" s="731">
        <f t="shared" si="1"/>
        <v>10898595.16</v>
      </c>
      <c r="J36" s="731"/>
      <c r="K36" s="731"/>
      <c r="L36" s="731"/>
      <c r="M36" s="731"/>
      <c r="N36" s="729"/>
      <c r="P36" s="1342"/>
    </row>
    <row r="37" spans="1:16" ht="15.95" customHeight="1">
      <c r="A37" s="725" t="s">
        <v>125</v>
      </c>
      <c r="B37" s="730">
        <v>4337688.66</v>
      </c>
      <c r="C37" s="730">
        <v>2340970.35</v>
      </c>
      <c r="D37" s="731">
        <f t="shared" si="0"/>
        <v>6678659.0099999998</v>
      </c>
      <c r="E37" s="727"/>
      <c r="F37" s="728" t="s">
        <v>126</v>
      </c>
      <c r="G37" s="730">
        <v>3824908.86</v>
      </c>
      <c r="H37" s="730">
        <v>2707641.13</v>
      </c>
      <c r="I37" s="731">
        <f t="shared" si="1"/>
        <v>6532549.9900000002</v>
      </c>
      <c r="J37" s="731"/>
      <c r="K37" s="731"/>
      <c r="L37" s="731"/>
      <c r="M37" s="731"/>
      <c r="N37" s="729"/>
      <c r="P37" s="1342"/>
    </row>
    <row r="38" spans="1:16" ht="15.95" customHeight="1">
      <c r="A38" s="725" t="s">
        <v>26</v>
      </c>
      <c r="B38" s="730">
        <v>8856851.0600000005</v>
      </c>
      <c r="C38" s="730">
        <v>6743669.1600000001</v>
      </c>
      <c r="D38" s="731">
        <f t="shared" si="0"/>
        <v>15600520.220000001</v>
      </c>
      <c r="E38" s="727"/>
      <c r="F38" s="728" t="s">
        <v>127</v>
      </c>
      <c r="G38" s="730">
        <v>2594609.7000000002</v>
      </c>
      <c r="H38" s="730">
        <v>1588399.53</v>
      </c>
      <c r="I38" s="731">
        <f t="shared" si="1"/>
        <v>4183009.2300000004</v>
      </c>
      <c r="J38" s="731"/>
      <c r="K38" s="731"/>
      <c r="L38" s="731"/>
      <c r="M38" s="731"/>
      <c r="N38" s="729"/>
      <c r="P38" s="1342"/>
    </row>
    <row r="39" spans="1:16" ht="15.95" customHeight="1">
      <c r="A39" s="725" t="s">
        <v>128</v>
      </c>
      <c r="B39" s="730">
        <v>16145582.52</v>
      </c>
      <c r="C39" s="730">
        <v>18270685.350000001</v>
      </c>
      <c r="D39" s="731">
        <f t="shared" si="0"/>
        <v>34416267.870000005</v>
      </c>
      <c r="E39" s="727"/>
      <c r="F39" s="728" t="s">
        <v>129</v>
      </c>
      <c r="G39" s="730">
        <v>10004323.66</v>
      </c>
      <c r="H39" s="730">
        <v>3599000.55</v>
      </c>
      <c r="I39" s="731">
        <f t="shared" si="1"/>
        <v>13603324.210000001</v>
      </c>
      <c r="J39" s="731"/>
      <c r="K39" s="731"/>
      <c r="L39" s="731"/>
      <c r="M39" s="731"/>
      <c r="N39" s="729"/>
      <c r="P39" s="1342"/>
    </row>
    <row r="40" spans="1:16" ht="15.95" customHeight="1">
      <c r="A40" s="732" t="s">
        <v>130</v>
      </c>
      <c r="B40" s="1338">
        <v>2850534.3</v>
      </c>
      <c r="C40" s="1338">
        <v>2115111.64</v>
      </c>
      <c r="D40" s="733">
        <f t="shared" si="0"/>
        <v>4965645.9399999995</v>
      </c>
      <c r="E40" s="727"/>
      <c r="F40" s="734" t="s">
        <v>131</v>
      </c>
      <c r="G40" s="1338">
        <v>4601058.26</v>
      </c>
      <c r="H40" s="1338">
        <v>4366490.34</v>
      </c>
      <c r="I40" s="733">
        <f t="shared" si="1"/>
        <v>8967548.5999999996</v>
      </c>
      <c r="J40" s="731"/>
      <c r="K40" s="731"/>
      <c r="L40" s="731"/>
      <c r="M40" s="731"/>
      <c r="N40" s="729"/>
      <c r="P40" s="1342"/>
    </row>
    <row r="41" spans="1:16" ht="18.75">
      <c r="A41" s="709" t="s">
        <v>61</v>
      </c>
      <c r="B41" s="735"/>
      <c r="C41" s="736"/>
      <c r="D41" s="736"/>
      <c r="E41" s="737"/>
      <c r="F41" s="737"/>
      <c r="G41" s="736"/>
      <c r="H41" s="736"/>
      <c r="I41" s="736"/>
      <c r="J41" s="736"/>
      <c r="K41" s="736"/>
      <c r="L41" s="736"/>
      <c r="M41" s="736"/>
      <c r="P41" s="1342"/>
    </row>
    <row r="42" spans="1:16">
      <c r="A42" s="714" t="str">
        <f>A2</f>
        <v>Local Sales Tax Distribution - Fiscal Year 2021</v>
      </c>
      <c r="B42" s="735"/>
      <c r="C42" s="738"/>
      <c r="D42" s="738"/>
      <c r="E42" s="739"/>
      <c r="F42" s="739"/>
      <c r="G42" s="738"/>
      <c r="H42" s="738"/>
      <c r="I42" s="738"/>
      <c r="J42" s="738"/>
      <c r="K42" s="738"/>
      <c r="L42" s="738"/>
      <c r="M42" s="738"/>
      <c r="P42" s="1342"/>
    </row>
    <row r="43" spans="1:16" ht="15.75" thickBot="1">
      <c r="A43" s="714"/>
      <c r="B43" s="738"/>
      <c r="C43" s="738"/>
      <c r="D43" s="738"/>
      <c r="E43" s="739"/>
      <c r="F43" s="739"/>
      <c r="G43" s="738"/>
      <c r="H43" s="738"/>
      <c r="I43" s="738"/>
      <c r="J43" s="738"/>
      <c r="K43" s="738"/>
      <c r="L43" s="738"/>
      <c r="M43" s="738"/>
      <c r="P43" s="1342"/>
    </row>
    <row r="44" spans="1:16">
      <c r="A44" s="740"/>
      <c r="B44" s="718" t="s">
        <v>62</v>
      </c>
      <c r="C44" s="718" t="s">
        <v>58</v>
      </c>
      <c r="D44" s="718" t="s">
        <v>17</v>
      </c>
      <c r="E44" s="728"/>
      <c r="F44" s="741"/>
      <c r="G44" s="718" t="s">
        <v>62</v>
      </c>
      <c r="H44" s="718" t="s">
        <v>58</v>
      </c>
      <c r="I44" s="718" t="s">
        <v>17</v>
      </c>
      <c r="J44" s="879"/>
      <c r="K44" s="741"/>
      <c r="L44" s="718" t="s">
        <v>62</v>
      </c>
      <c r="M44" s="718" t="s">
        <v>58</v>
      </c>
      <c r="N44" s="718" t="s">
        <v>17</v>
      </c>
      <c r="P44" s="1342"/>
    </row>
    <row r="45" spans="1:16">
      <c r="A45" s="721" t="s">
        <v>25</v>
      </c>
      <c r="B45" s="723" t="s">
        <v>63</v>
      </c>
      <c r="C45" s="723" t="s">
        <v>59</v>
      </c>
      <c r="D45" s="723" t="s">
        <v>20</v>
      </c>
      <c r="E45" s="728"/>
      <c r="F45" s="721" t="s">
        <v>25</v>
      </c>
      <c r="G45" s="723" t="s">
        <v>63</v>
      </c>
      <c r="H45" s="723" t="s">
        <v>59</v>
      </c>
      <c r="I45" s="723" t="s">
        <v>20</v>
      </c>
      <c r="J45" s="879"/>
      <c r="K45" s="721" t="s">
        <v>25</v>
      </c>
      <c r="L45" s="723" t="s">
        <v>63</v>
      </c>
      <c r="M45" s="723" t="s">
        <v>59</v>
      </c>
      <c r="N45" s="723" t="s">
        <v>20</v>
      </c>
      <c r="P45" s="1342"/>
    </row>
    <row r="46" spans="1:16" ht="15.95" customHeight="1">
      <c r="A46" s="725" t="s">
        <v>182</v>
      </c>
      <c r="B46" s="1339">
        <v>19538676.859999999</v>
      </c>
      <c r="C46" s="1339">
        <v>31472127.23</v>
      </c>
      <c r="D46" s="725">
        <f t="shared" ref="D46:D60" si="3">SUM(B46:C46)</f>
        <v>51010804.090000004</v>
      </c>
      <c r="E46" s="727"/>
      <c r="F46" s="728" t="s">
        <v>152</v>
      </c>
      <c r="G46" s="730">
        <v>6693125.2000000002</v>
      </c>
      <c r="H46" s="730">
        <v>15127656.91</v>
      </c>
      <c r="I46" s="731">
        <f t="shared" ref="I46:I60" si="4">SUM(G46:H46)</f>
        <v>21820782.109999999</v>
      </c>
      <c r="J46" s="725"/>
      <c r="K46" s="728" t="s">
        <v>27</v>
      </c>
      <c r="L46" s="730">
        <v>16558784.32</v>
      </c>
      <c r="M46" s="730">
        <v>23532683.41</v>
      </c>
      <c r="N46" s="731">
        <f t="shared" ref="N46:N53" si="5">SUM(L46:M46)</f>
        <v>40091467.730000004</v>
      </c>
      <c r="P46" s="1342"/>
    </row>
    <row r="47" spans="1:16" ht="15.95" customHeight="1">
      <c r="A47" s="725" t="s">
        <v>184</v>
      </c>
      <c r="B47" s="730">
        <v>2771430.3</v>
      </c>
      <c r="C47" s="730">
        <v>4662772.78</v>
      </c>
      <c r="D47" s="731">
        <f t="shared" si="3"/>
        <v>7434203.0800000001</v>
      </c>
      <c r="E47" s="727"/>
      <c r="F47" s="728" t="s">
        <v>154</v>
      </c>
      <c r="G47" s="730">
        <v>4441919.7</v>
      </c>
      <c r="H47" s="730">
        <v>2355957.5</v>
      </c>
      <c r="I47" s="731">
        <f t="shared" si="4"/>
        <v>6797877.2000000002</v>
      </c>
      <c r="J47" s="731"/>
      <c r="K47" s="728" t="s">
        <v>179</v>
      </c>
      <c r="L47" s="730">
        <v>4121781.38</v>
      </c>
      <c r="M47" s="730">
        <v>7749615.3499999996</v>
      </c>
      <c r="N47" s="731">
        <f t="shared" si="5"/>
        <v>11871396.73</v>
      </c>
      <c r="P47" s="1342"/>
    </row>
    <row r="48" spans="1:16" ht="15.95" customHeight="1">
      <c r="A48" s="725" t="s">
        <v>186</v>
      </c>
      <c r="B48" s="730">
        <v>1052547.92</v>
      </c>
      <c r="C48" s="730">
        <v>480324.5</v>
      </c>
      <c r="D48" s="731">
        <f t="shared" si="3"/>
        <v>1532872.42</v>
      </c>
      <c r="E48" s="727"/>
      <c r="F48" s="728" t="s">
        <v>156</v>
      </c>
      <c r="G48" s="730">
        <v>651444.31999999995</v>
      </c>
      <c r="H48" s="730">
        <v>1209804.8899999999</v>
      </c>
      <c r="I48" s="731">
        <f t="shared" si="4"/>
        <v>1861249.21</v>
      </c>
      <c r="J48" s="731"/>
      <c r="K48" s="728" t="s">
        <v>180</v>
      </c>
      <c r="L48" s="730">
        <v>3541995.92</v>
      </c>
      <c r="M48" s="730">
        <v>5028135.55</v>
      </c>
      <c r="N48" s="731">
        <f t="shared" si="5"/>
        <v>8570131.4699999988</v>
      </c>
      <c r="P48" s="1342"/>
    </row>
    <row r="49" spans="1:16" ht="15.95" customHeight="1">
      <c r="A49" s="725" t="s">
        <v>188</v>
      </c>
      <c r="B49" s="730">
        <v>5471201.7800000003</v>
      </c>
      <c r="C49" s="730">
        <v>11754705.34</v>
      </c>
      <c r="D49" s="731">
        <f t="shared" si="3"/>
        <v>17225907.120000001</v>
      </c>
      <c r="E49" s="727"/>
      <c r="F49" s="728" t="s">
        <v>158</v>
      </c>
      <c r="G49" s="730">
        <v>11787419.939999999</v>
      </c>
      <c r="H49" s="730">
        <v>18219862.789999999</v>
      </c>
      <c r="I49" s="731">
        <f t="shared" si="4"/>
        <v>30007282.729999997</v>
      </c>
      <c r="J49" s="731"/>
      <c r="K49" s="728" t="s">
        <v>181</v>
      </c>
      <c r="L49" s="730">
        <v>17587135.760000002</v>
      </c>
      <c r="M49" s="730">
        <v>15612908.49</v>
      </c>
      <c r="N49" s="731">
        <f t="shared" si="5"/>
        <v>33200044.25</v>
      </c>
      <c r="P49" s="1342"/>
    </row>
    <row r="50" spans="1:16" ht="15.95" customHeight="1">
      <c r="A50" s="725" t="s">
        <v>133</v>
      </c>
      <c r="B50" s="730">
        <v>47210170.939999998</v>
      </c>
      <c r="C50" s="730">
        <v>50425393.490000002</v>
      </c>
      <c r="D50" s="731">
        <f t="shared" si="3"/>
        <v>97635564.430000007</v>
      </c>
      <c r="E50" s="727"/>
      <c r="F50" s="728" t="s">
        <v>160</v>
      </c>
      <c r="G50" s="730">
        <v>8336626.2199999997</v>
      </c>
      <c r="H50" s="1341">
        <v>11004721.24</v>
      </c>
      <c r="I50" s="772">
        <f t="shared" si="4"/>
        <v>19341347.460000001</v>
      </c>
      <c r="J50" s="731"/>
      <c r="K50" s="728" t="s">
        <v>28</v>
      </c>
      <c r="L50" s="730">
        <v>77904366.719999999</v>
      </c>
      <c r="M50" s="730">
        <v>77907865.629999995</v>
      </c>
      <c r="N50" s="731">
        <f t="shared" si="5"/>
        <v>155812232.34999999</v>
      </c>
      <c r="P50" s="1342"/>
    </row>
    <row r="51" spans="1:16" ht="24.95" customHeight="1">
      <c r="A51" s="725" t="s">
        <v>135</v>
      </c>
      <c r="B51" s="1340">
        <v>3250707.22</v>
      </c>
      <c r="C51" s="1340">
        <v>8486848.6600000001</v>
      </c>
      <c r="D51" s="725">
        <f t="shared" si="3"/>
        <v>11737555.880000001</v>
      </c>
      <c r="E51" s="727"/>
      <c r="F51" s="728" t="s">
        <v>162</v>
      </c>
      <c r="G51" s="730">
        <v>3382857.34</v>
      </c>
      <c r="H51" s="730">
        <v>2544514.23</v>
      </c>
      <c r="I51" s="731">
        <f t="shared" si="4"/>
        <v>5927371.5700000003</v>
      </c>
      <c r="J51" s="731"/>
      <c r="K51" s="728" t="s">
        <v>183</v>
      </c>
      <c r="L51" s="730">
        <v>3879816.28</v>
      </c>
      <c r="M51" s="730">
        <v>6320312.6399999997</v>
      </c>
      <c r="N51" s="731">
        <f t="shared" si="5"/>
        <v>10200128.92</v>
      </c>
      <c r="P51" s="1342"/>
    </row>
    <row r="52" spans="1:16" ht="15.95" customHeight="1">
      <c r="A52" s="725" t="s">
        <v>137</v>
      </c>
      <c r="B52" s="730">
        <v>981819.66</v>
      </c>
      <c r="C52" s="730">
        <v>1621741.24</v>
      </c>
      <c r="D52" s="731">
        <f t="shared" si="3"/>
        <v>2603560.9</v>
      </c>
      <c r="E52" s="727"/>
      <c r="F52" s="728" t="s">
        <v>164</v>
      </c>
      <c r="G52" s="730">
        <v>2424303.54</v>
      </c>
      <c r="H52" s="730">
        <v>2317100.04</v>
      </c>
      <c r="I52" s="731">
        <f t="shared" si="4"/>
        <v>4741403.58</v>
      </c>
      <c r="J52" s="731"/>
      <c r="K52" s="728" t="s">
        <v>185</v>
      </c>
      <c r="L52" s="730">
        <v>1414564.84</v>
      </c>
      <c r="M52" s="730">
        <v>4162570.89</v>
      </c>
      <c r="N52" s="731">
        <f t="shared" si="5"/>
        <v>5577135.7300000004</v>
      </c>
      <c r="P52" s="1342"/>
    </row>
    <row r="53" spans="1:16" ht="15.95" customHeight="1">
      <c r="A53" s="725" t="s">
        <v>139</v>
      </c>
      <c r="B53" s="730">
        <v>7005818.5199999996</v>
      </c>
      <c r="C53" s="730">
        <v>10176835.619999999</v>
      </c>
      <c r="D53" s="731">
        <f t="shared" si="3"/>
        <v>17182654.140000001</v>
      </c>
      <c r="E53" s="727"/>
      <c r="F53" s="728" t="s">
        <v>166</v>
      </c>
      <c r="G53" s="730">
        <v>30870085.699999999</v>
      </c>
      <c r="H53" s="730">
        <v>30197855.550000001</v>
      </c>
      <c r="I53" s="731">
        <f t="shared" si="4"/>
        <v>61067941.25</v>
      </c>
      <c r="J53" s="731"/>
      <c r="K53" s="728" t="s">
        <v>187</v>
      </c>
      <c r="L53" s="730">
        <v>4815104.28</v>
      </c>
      <c r="M53" s="730">
        <v>10537056.810000001</v>
      </c>
      <c r="N53" s="731">
        <f t="shared" si="5"/>
        <v>15352161.09</v>
      </c>
      <c r="P53" s="1342"/>
    </row>
    <row r="54" spans="1:16" ht="15.95" customHeight="1">
      <c r="A54" s="728" t="s">
        <v>141</v>
      </c>
      <c r="B54" s="730">
        <v>1088842.6599999999</v>
      </c>
      <c r="C54" s="730">
        <v>1829034.11</v>
      </c>
      <c r="D54" s="731">
        <f t="shared" si="3"/>
        <v>2917876.77</v>
      </c>
      <c r="E54" s="727"/>
      <c r="F54" s="728" t="s">
        <v>168</v>
      </c>
      <c r="G54" s="730">
        <v>34133821.880000003</v>
      </c>
      <c r="H54" s="730">
        <v>38749186.93</v>
      </c>
      <c r="I54" s="731">
        <f t="shared" si="4"/>
        <v>72883008.810000002</v>
      </c>
      <c r="J54" s="731"/>
      <c r="K54" s="728"/>
      <c r="L54" s="730"/>
      <c r="M54" s="730"/>
      <c r="N54" s="731"/>
      <c r="P54" s="1342"/>
    </row>
    <row r="55" spans="1:16" ht="15.95" customHeight="1">
      <c r="A55" s="728" t="s">
        <v>119</v>
      </c>
      <c r="B55" s="730">
        <v>3817463.82</v>
      </c>
      <c r="C55" s="730">
        <v>12457458.439999999</v>
      </c>
      <c r="D55" s="731">
        <f t="shared" si="3"/>
        <v>16274922.26</v>
      </c>
      <c r="E55" s="727"/>
      <c r="F55" s="728" t="s">
        <v>170</v>
      </c>
      <c r="G55" s="730">
        <v>732409.58</v>
      </c>
      <c r="H55" s="730">
        <v>1727928.99</v>
      </c>
      <c r="I55" s="731">
        <f t="shared" si="4"/>
        <v>2460338.5699999998</v>
      </c>
      <c r="J55" s="731"/>
      <c r="K55" s="712"/>
      <c r="L55" s="712"/>
      <c r="M55" s="712"/>
      <c r="P55" s="1342"/>
    </row>
    <row r="56" spans="1:16" ht="24.95" customHeight="1">
      <c r="A56" s="728" t="s">
        <v>143</v>
      </c>
      <c r="B56" s="730">
        <v>2986406.94</v>
      </c>
      <c r="C56" s="730">
        <v>6503320.4000000004</v>
      </c>
      <c r="D56" s="731">
        <f t="shared" si="3"/>
        <v>9489727.3399999999</v>
      </c>
      <c r="E56" s="727"/>
      <c r="F56" s="728" t="s">
        <v>172</v>
      </c>
      <c r="G56" s="730">
        <v>4758335.5199999996</v>
      </c>
      <c r="H56" s="730">
        <v>4361383.46</v>
      </c>
      <c r="I56" s="731">
        <f t="shared" si="4"/>
        <v>9119718.9800000004</v>
      </c>
      <c r="J56" s="731"/>
      <c r="K56" s="743" t="s">
        <v>29</v>
      </c>
      <c r="L56" s="742">
        <f>SUM(B46:B60,G46:G60,L46:L53)</f>
        <v>410963658.37999982</v>
      </c>
      <c r="M56" s="742">
        <f>SUM(C46:C60,H46:H60,M46:M53)</f>
        <v>508507127.81999999</v>
      </c>
      <c r="N56" s="742">
        <f>SUM(L56:M56)</f>
        <v>919470786.19999981</v>
      </c>
      <c r="P56" s="1342"/>
    </row>
    <row r="57" spans="1:16" ht="15.95" customHeight="1">
      <c r="A57" s="728" t="s">
        <v>26</v>
      </c>
      <c r="B57" s="730">
        <v>1585801.66</v>
      </c>
      <c r="C57" s="730">
        <v>2124555.34</v>
      </c>
      <c r="D57" s="731">
        <f t="shared" si="3"/>
        <v>3710357</v>
      </c>
      <c r="E57" s="727"/>
      <c r="F57" s="728" t="s">
        <v>174</v>
      </c>
      <c r="G57" s="730">
        <v>2384286.2599999998</v>
      </c>
      <c r="H57" s="730">
        <v>942669.28</v>
      </c>
      <c r="I57" s="731">
        <f t="shared" si="4"/>
        <v>3326955.54</v>
      </c>
      <c r="J57" s="731"/>
      <c r="K57" s="724" t="s">
        <v>24</v>
      </c>
      <c r="L57" s="724">
        <f>L31</f>
        <v>1064720620.6900003</v>
      </c>
      <c r="M57" s="724">
        <f>M31</f>
        <v>968693896.38999999</v>
      </c>
      <c r="N57" s="724">
        <f>SUM(L57:M57)</f>
        <v>2033414517.0800004</v>
      </c>
      <c r="P57" s="1342"/>
    </row>
    <row r="58" spans="1:16" ht="15.95" customHeight="1">
      <c r="A58" s="728" t="s">
        <v>146</v>
      </c>
      <c r="B58" s="730">
        <v>4246486.4400000004</v>
      </c>
      <c r="C58" s="730">
        <v>13731350.689999999</v>
      </c>
      <c r="D58" s="731">
        <f t="shared" si="3"/>
        <v>17977837.129999999</v>
      </c>
      <c r="E58" s="727"/>
      <c r="F58" s="728" t="s">
        <v>176</v>
      </c>
      <c r="G58" s="730">
        <v>16157680.779999999</v>
      </c>
      <c r="H58" s="730">
        <v>10134668.26</v>
      </c>
      <c r="I58" s="731">
        <f t="shared" si="4"/>
        <v>26292349.039999999</v>
      </c>
      <c r="J58" s="731"/>
      <c r="K58" s="712"/>
      <c r="L58" s="712"/>
      <c r="M58" s="712"/>
      <c r="P58" s="1342"/>
    </row>
    <row r="59" spans="1:16" ht="15.95" customHeight="1">
      <c r="A59" s="728" t="s">
        <v>148</v>
      </c>
      <c r="B59" s="730">
        <v>1256356.92</v>
      </c>
      <c r="C59" s="730">
        <v>2748018.71</v>
      </c>
      <c r="D59" s="731">
        <f t="shared" si="3"/>
        <v>4004375.63</v>
      </c>
      <c r="E59" s="727"/>
      <c r="F59" s="728" t="s">
        <v>178</v>
      </c>
      <c r="G59" s="730">
        <v>1762622.26</v>
      </c>
      <c r="H59" s="730">
        <v>1306148.1599999999</v>
      </c>
      <c r="I59" s="731">
        <f t="shared" si="4"/>
        <v>3068770.42</v>
      </c>
      <c r="J59" s="731"/>
      <c r="K59" s="743" t="s">
        <v>30</v>
      </c>
      <c r="L59" s="742">
        <f>SUM(L56:L57)</f>
        <v>1475684279.0700002</v>
      </c>
      <c r="M59" s="742">
        <f>SUM(M56:M57)</f>
        <v>1477201024.21</v>
      </c>
      <c r="N59" s="742">
        <f>SUM(N56:N57)</f>
        <v>2952885303.2800002</v>
      </c>
      <c r="P59" s="1342"/>
    </row>
    <row r="60" spans="1:16" ht="15.95" customHeight="1">
      <c r="A60" s="728" t="s">
        <v>150</v>
      </c>
      <c r="B60" s="730">
        <v>22150038.059999999</v>
      </c>
      <c r="C60" s="730">
        <v>19526627.68</v>
      </c>
      <c r="D60" s="731">
        <f t="shared" si="3"/>
        <v>41676665.739999995</v>
      </c>
      <c r="E60" s="727"/>
      <c r="F60" s="728" t="s">
        <v>142</v>
      </c>
      <c r="G60" s="730">
        <v>28209400.940000001</v>
      </c>
      <c r="H60" s="730">
        <v>39455406.590000004</v>
      </c>
      <c r="I60" s="731">
        <f t="shared" si="4"/>
        <v>67664807.530000001</v>
      </c>
      <c r="J60" s="772"/>
      <c r="K60" s="772"/>
      <c r="L60" s="772"/>
      <c r="M60" s="772"/>
      <c r="N60" s="729"/>
      <c r="P60" s="1342"/>
    </row>
    <row r="61" spans="1:16" ht="11.1" customHeight="1">
      <c r="A61" s="744"/>
      <c r="B61" s="738"/>
      <c r="C61" s="738"/>
      <c r="D61" s="738"/>
      <c r="E61" s="739"/>
      <c r="J61" s="712"/>
      <c r="K61" s="712"/>
      <c r="L61" s="712"/>
      <c r="M61" s="712"/>
      <c r="P61" s="1342"/>
    </row>
    <row r="62" spans="1:16">
      <c r="A62" s="746" t="s">
        <v>19</v>
      </c>
      <c r="B62" s="747"/>
      <c r="C62" s="747"/>
      <c r="D62" s="738"/>
      <c r="E62" s="739"/>
      <c r="F62" s="745"/>
      <c r="G62" s="747"/>
      <c r="H62" s="747"/>
      <c r="I62" s="738"/>
      <c r="J62" s="738"/>
      <c r="K62" s="738"/>
      <c r="L62" s="738"/>
      <c r="M62" s="738"/>
      <c r="P62" s="1342"/>
    </row>
    <row r="63" spans="1:16">
      <c r="A63" s="748" t="s">
        <v>918</v>
      </c>
      <c r="B63" s="749"/>
      <c r="C63" s="749"/>
      <c r="D63" s="749"/>
      <c r="E63" s="739"/>
      <c r="F63" s="750"/>
      <c r="G63" s="749"/>
      <c r="H63" s="1416"/>
      <c r="I63" s="1417"/>
      <c r="J63" s="878"/>
      <c r="K63" s="878"/>
      <c r="L63" s="878"/>
      <c r="M63" s="878"/>
      <c r="P63" s="1342"/>
    </row>
    <row r="64" spans="1:16" s="1068" customFormat="1" ht="12.75" customHeight="1">
      <c r="A64" s="1120" t="s">
        <v>1156</v>
      </c>
      <c r="B64" s="1072"/>
      <c r="C64" s="1072"/>
      <c r="D64" s="1072"/>
      <c r="E64" s="1073"/>
      <c r="P64" s="1342"/>
    </row>
    <row r="65" spans="1:16">
      <c r="A65" s="739"/>
      <c r="B65" s="738"/>
      <c r="C65" s="738"/>
      <c r="D65" s="738"/>
      <c r="E65" s="739"/>
      <c r="F65" s="739"/>
      <c r="G65" s="738"/>
      <c r="H65" s="738"/>
      <c r="I65" s="738"/>
      <c r="J65" s="738"/>
      <c r="K65" s="738"/>
      <c r="L65" s="738"/>
      <c r="M65" s="738"/>
      <c r="P65" s="1342"/>
    </row>
    <row r="66" spans="1:16">
      <c r="A66" s="739"/>
      <c r="B66" s="738"/>
      <c r="C66" s="738"/>
      <c r="D66" s="738"/>
      <c r="E66" s="739"/>
      <c r="F66" s="739"/>
      <c r="G66" s="738"/>
      <c r="H66" s="738"/>
      <c r="I66" s="738"/>
      <c r="J66" s="738"/>
      <c r="K66" s="738"/>
      <c r="L66" s="738"/>
      <c r="M66" s="738"/>
      <c r="P66" s="1342"/>
    </row>
    <row r="67" spans="1:16">
      <c r="A67" s="739"/>
      <c r="B67" s="738"/>
      <c r="C67" s="738"/>
      <c r="D67" s="738"/>
      <c r="E67" s="739"/>
      <c r="F67" s="739"/>
      <c r="G67" s="738"/>
      <c r="H67" s="738"/>
      <c r="I67" s="738"/>
      <c r="J67" s="738"/>
      <c r="K67" s="738"/>
      <c r="L67" s="738"/>
      <c r="M67" s="738"/>
      <c r="P67" s="1342"/>
    </row>
    <row r="68" spans="1:16">
      <c r="A68" s="739"/>
      <c r="B68" s="738"/>
      <c r="C68" s="738"/>
      <c r="D68" s="738"/>
      <c r="E68" s="739"/>
      <c r="F68" s="739"/>
      <c r="G68" s="738"/>
      <c r="H68" s="738"/>
      <c r="I68" s="738"/>
      <c r="J68" s="738"/>
      <c r="K68" s="738"/>
      <c r="L68" s="738"/>
      <c r="M68" s="738"/>
      <c r="P68" s="1342"/>
    </row>
    <row r="69" spans="1:16">
      <c r="A69" s="739"/>
      <c r="B69" s="738"/>
      <c r="C69" s="738"/>
      <c r="D69" s="738"/>
      <c r="E69" s="739"/>
      <c r="F69" s="739"/>
      <c r="G69" s="738"/>
      <c r="H69" s="738"/>
      <c r="I69" s="738"/>
      <c r="J69" s="738"/>
      <c r="K69" s="738"/>
      <c r="L69" s="738"/>
      <c r="M69" s="738"/>
      <c r="P69" s="1342"/>
    </row>
    <row r="70" spans="1:16">
      <c r="A70" s="739"/>
      <c r="B70" s="738"/>
      <c r="C70" s="738"/>
      <c r="D70" s="738"/>
      <c r="E70" s="739"/>
      <c r="F70" s="739"/>
      <c r="G70" s="738"/>
      <c r="H70" s="738"/>
      <c r="I70" s="738"/>
      <c r="J70" s="738"/>
      <c r="K70" s="738"/>
      <c r="L70" s="738"/>
      <c r="M70" s="738"/>
      <c r="P70" s="1342"/>
    </row>
    <row r="71" spans="1:16">
      <c r="A71" s="739"/>
      <c r="B71" s="738"/>
      <c r="C71" s="738"/>
      <c r="D71" s="738"/>
      <c r="E71" s="739"/>
      <c r="F71" s="739"/>
      <c r="G71" s="738"/>
      <c r="H71" s="738"/>
      <c r="I71" s="738"/>
      <c r="J71" s="738"/>
      <c r="K71" s="738"/>
      <c r="L71" s="738"/>
      <c r="M71" s="738"/>
      <c r="P71" s="1342"/>
    </row>
    <row r="72" spans="1:16">
      <c r="F72" s="739"/>
      <c r="G72" s="738"/>
      <c r="H72" s="738"/>
      <c r="I72" s="738"/>
      <c r="J72" s="738"/>
      <c r="K72" s="738"/>
      <c r="L72" s="738"/>
      <c r="M72" s="738"/>
      <c r="P72" s="1342"/>
    </row>
    <row r="73" spans="1:16">
      <c r="F73" s="739"/>
      <c r="G73" s="738"/>
      <c r="H73" s="738"/>
      <c r="I73" s="738"/>
      <c r="J73" s="738"/>
      <c r="K73" s="738"/>
      <c r="L73" s="738"/>
      <c r="M73" s="738"/>
      <c r="P73" s="1342"/>
    </row>
    <row r="74" spans="1:16">
      <c r="P74" s="1342"/>
    </row>
    <row r="75" spans="1:16">
      <c r="P75" s="1342"/>
    </row>
    <row r="76" spans="1:16">
      <c r="P76" s="1342"/>
    </row>
    <row r="77" spans="1:16">
      <c r="P77" s="1342"/>
    </row>
    <row r="78" spans="1:16">
      <c r="P78" s="1342"/>
    </row>
    <row r="79" spans="1:16">
      <c r="P79" s="1342"/>
    </row>
    <row r="80" spans="1:16">
      <c r="P80" s="1342"/>
    </row>
    <row r="81" spans="16:16">
      <c r="P81" s="1342"/>
    </row>
    <row r="82" spans="16:16">
      <c r="P82" s="1342"/>
    </row>
    <row r="83" spans="16:16">
      <c r="P83" s="1342"/>
    </row>
    <row r="84" spans="16:16">
      <c r="P84" s="1342"/>
    </row>
    <row r="85" spans="16:16">
      <c r="P85" s="1342"/>
    </row>
    <row r="86" spans="16:16">
      <c r="P86" s="1342"/>
    </row>
    <row r="87" spans="16:16">
      <c r="P87" s="1342"/>
    </row>
    <row r="88" spans="16:16">
      <c r="P88" s="1342"/>
    </row>
    <row r="89" spans="16:16">
      <c r="P89" s="1342"/>
    </row>
    <row r="90" spans="16:16">
      <c r="P90" s="1342"/>
    </row>
    <row r="91" spans="16:16">
      <c r="P91" s="1342"/>
    </row>
    <row r="92" spans="16:16">
      <c r="P92" s="1342"/>
    </row>
    <row r="93" spans="16:16">
      <c r="P93" s="1342"/>
    </row>
    <row r="94" spans="16:16">
      <c r="P94" s="1342"/>
    </row>
    <row r="95" spans="16:16">
      <c r="P95" s="1342"/>
    </row>
    <row r="96" spans="16:16">
      <c r="P96" s="1342"/>
    </row>
    <row r="97" spans="16:16">
      <c r="P97" s="1342"/>
    </row>
    <row r="98" spans="16:16">
      <c r="P98" s="1342"/>
    </row>
    <row r="99" spans="16:16">
      <c r="P99" s="1342"/>
    </row>
    <row r="100" spans="16:16">
      <c r="P100" s="1342"/>
    </row>
    <row r="101" spans="16:16">
      <c r="P101" s="1342"/>
    </row>
    <row r="102" spans="16:16">
      <c r="P102" s="1342"/>
    </row>
    <row r="103" spans="16:16">
      <c r="P103" s="1342"/>
    </row>
    <row r="104" spans="16:16">
      <c r="P104" s="1342"/>
    </row>
    <row r="105" spans="16:16">
      <c r="P105" s="1342"/>
    </row>
    <row r="106" spans="16:16">
      <c r="P106" s="1342"/>
    </row>
    <row r="107" spans="16:16">
      <c r="P107" s="1342"/>
    </row>
    <row r="108" spans="16:16">
      <c r="P108" s="1342"/>
    </row>
    <row r="109" spans="16:16">
      <c r="P109" s="1342"/>
    </row>
    <row r="110" spans="16:16">
      <c r="P110" s="1342"/>
    </row>
    <row r="111" spans="16:16">
      <c r="P111" s="1342"/>
    </row>
    <row r="112" spans="16:16">
      <c r="P112" s="1342"/>
    </row>
    <row r="113" spans="16:16">
      <c r="P113" s="1342"/>
    </row>
    <row r="114" spans="16:16">
      <c r="P114" s="1342"/>
    </row>
    <row r="115" spans="16:16">
      <c r="P115" s="1342"/>
    </row>
    <row r="116" spans="16:16">
      <c r="P116" s="1342"/>
    </row>
    <row r="117" spans="16:16">
      <c r="P117" s="1342"/>
    </row>
    <row r="118" spans="16:16">
      <c r="P118" s="1342"/>
    </row>
    <row r="119" spans="16:16">
      <c r="P119" s="1342"/>
    </row>
    <row r="120" spans="16:16">
      <c r="P120" s="1342"/>
    </row>
    <row r="121" spans="16:16">
      <c r="P121" s="1342"/>
    </row>
    <row r="122" spans="16:16">
      <c r="P122" s="1342"/>
    </row>
    <row r="123" spans="16:16">
      <c r="P123" s="1342"/>
    </row>
    <row r="124" spans="16:16">
      <c r="P124" s="1342"/>
    </row>
    <row r="125" spans="16:16">
      <c r="P125" s="1342"/>
    </row>
    <row r="126" spans="16:16">
      <c r="P126" s="1342"/>
    </row>
    <row r="127" spans="16:16">
      <c r="P127" s="1342"/>
    </row>
    <row r="128" spans="16:16">
      <c r="P128" s="1342"/>
    </row>
    <row r="129" spans="16:16">
      <c r="P129" s="1342"/>
    </row>
    <row r="130" spans="16:16">
      <c r="P130" s="1342"/>
    </row>
    <row r="131" spans="16:16">
      <c r="P131" s="1342"/>
    </row>
    <row r="132" spans="16:16">
      <c r="P132" s="1342"/>
    </row>
    <row r="133" spans="16:16">
      <c r="P133" s="1342"/>
    </row>
    <row r="134" spans="16:16">
      <c r="P134" s="1342"/>
    </row>
    <row r="135" spans="16:16">
      <c r="P135" s="1342"/>
    </row>
    <row r="136" spans="16:16">
      <c r="P136" s="1342"/>
    </row>
    <row r="137" spans="16:16">
      <c r="P137" s="1342"/>
    </row>
    <row r="138" spans="16:16">
      <c r="P138" s="1342"/>
    </row>
    <row r="139" spans="16:16">
      <c r="P139" s="1342"/>
    </row>
  </sheetData>
  <customSheetViews>
    <customSheetView guid="{E6BBE5A7-0B25-4EE8-BA45-5EA5DBAF3AD4}" showPageBreaks="1" printArea="1">
      <selection activeCell="C50" sqref="C50"/>
      <rowBreaks count="1" manualBreakCount="1">
        <brk id="46" max="16383" man="1"/>
      </rowBreaks>
      <pageMargins left="0.25" right="0.25" top="0.25" bottom="0.5" header="0.5" footer="0.2"/>
      <printOptions horizontalCentered="1" verticalCentered="1"/>
      <pageSetup scale="71" orientation="landscape" r:id="rId1"/>
      <headerFooter alignWithMargins="0"/>
    </customSheetView>
  </customSheetViews>
  <mergeCells count="1">
    <mergeCell ref="H63:I63"/>
  </mergeCells>
  <conditionalFormatting sqref="N60 N32:N43 E6:E60">
    <cfRule type="cellIs" dxfId="0" priority="2" stopIfTrue="1" operator="notBetween">
      <formula>-0.1</formula>
      <formula>0.1</formula>
    </cfRule>
  </conditionalFormatting>
  <hyperlinks>
    <hyperlink ref="P1" location="TOC!A1" display="Back"/>
  </hyperlinks>
  <pageMargins left="0.5" right="0.25" top="0.4" bottom="0" header="0.25" footer="0.25"/>
  <pageSetup scale="81" fitToHeight="2" orientation="landscape" r:id="rId2"/>
  <headerFooter scaleWithDoc="0">
    <oddHeader>&amp;R&amp;P</oddHeader>
  </headerFooter>
  <rowBreaks count="1" manualBreakCount="1">
    <brk id="40" max="1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F50"/>
  <sheetViews>
    <sheetView zoomScaleNormal="100" workbookViewId="0"/>
  </sheetViews>
  <sheetFormatPr defaultColWidth="9.140625" defaultRowHeight="12"/>
  <cols>
    <col min="1" max="1" width="5.7109375" style="224" customWidth="1"/>
    <col min="2" max="2" width="88.85546875" style="224" customWidth="1"/>
    <col min="3" max="3" width="12.5703125" style="224" customWidth="1"/>
    <col min="4" max="4" width="15.28515625" style="224" customWidth="1"/>
    <col min="5" max="5" width="5.28515625" style="224" customWidth="1"/>
    <col min="6" max="16384" width="9.140625" style="224"/>
  </cols>
  <sheetData>
    <row r="1" spans="1:5" s="223" customFormat="1" ht="15.75">
      <c r="A1" s="14" t="s">
        <v>784</v>
      </c>
    </row>
    <row r="2" spans="1:5" ht="6.95" customHeight="1"/>
    <row r="3" spans="1:5" ht="12.75">
      <c r="A3" s="615" t="s">
        <v>785</v>
      </c>
    </row>
    <row r="4" spans="1:5" ht="12.75">
      <c r="B4" s="224" t="s">
        <v>901</v>
      </c>
      <c r="E4" s="396">
        <v>3</v>
      </c>
    </row>
    <row r="5" spans="1:5" ht="12.75">
      <c r="B5" s="224" t="s">
        <v>902</v>
      </c>
      <c r="E5" s="396">
        <v>4</v>
      </c>
    </row>
    <row r="6" spans="1:5" ht="5.0999999999999996" customHeight="1"/>
    <row r="7" spans="1:5" ht="12.75">
      <c r="A7" s="225" t="s">
        <v>3</v>
      </c>
    </row>
    <row r="8" spans="1:5" ht="12.75">
      <c r="A8" s="224">
        <v>1.1000000000000001</v>
      </c>
      <c r="B8" s="224" t="s">
        <v>786</v>
      </c>
      <c r="E8" s="396">
        <v>5</v>
      </c>
    </row>
    <row r="9" spans="1:5" ht="12.75">
      <c r="A9" s="224">
        <v>1.2</v>
      </c>
      <c r="B9" s="224" t="s">
        <v>954</v>
      </c>
      <c r="E9" s="396">
        <v>6</v>
      </c>
    </row>
    <row r="10" spans="1:5" ht="12.75">
      <c r="A10" s="224">
        <v>1.3</v>
      </c>
      <c r="B10" s="224" t="s">
        <v>787</v>
      </c>
      <c r="E10" s="396">
        <v>7</v>
      </c>
    </row>
    <row r="11" spans="1:5" ht="12.75">
      <c r="A11" s="224">
        <v>1.4</v>
      </c>
      <c r="B11" s="224" t="s">
        <v>788</v>
      </c>
      <c r="E11" s="396">
        <v>8</v>
      </c>
    </row>
    <row r="12" spans="1:5" ht="12.75">
      <c r="A12" s="224">
        <v>1.5</v>
      </c>
      <c r="B12" s="224" t="s">
        <v>789</v>
      </c>
      <c r="E12" s="396">
        <v>9</v>
      </c>
    </row>
    <row r="13" spans="1:5" ht="12.75">
      <c r="A13" s="224">
        <v>1.6</v>
      </c>
      <c r="B13" s="224" t="s">
        <v>948</v>
      </c>
      <c r="E13" s="396">
        <v>13</v>
      </c>
    </row>
    <row r="14" spans="1:5" ht="12.75">
      <c r="A14" s="226">
        <v>1.7</v>
      </c>
      <c r="B14" s="224" t="s">
        <v>790</v>
      </c>
      <c r="E14" s="396">
        <v>17</v>
      </c>
    </row>
    <row r="15" spans="1:5" ht="12.75">
      <c r="A15" s="226">
        <v>1.8</v>
      </c>
      <c r="B15" s="224" t="s">
        <v>944</v>
      </c>
      <c r="E15" s="396">
        <v>21</v>
      </c>
    </row>
    <row r="16" spans="1:5" ht="12.75">
      <c r="A16" s="227">
        <v>1.9</v>
      </c>
      <c r="B16" s="224" t="s">
        <v>791</v>
      </c>
      <c r="E16" s="396">
        <v>21</v>
      </c>
    </row>
    <row r="17" spans="1:6" ht="12.75">
      <c r="A17" s="226" t="s">
        <v>792</v>
      </c>
      <c r="B17" s="224" t="s">
        <v>793</v>
      </c>
      <c r="E17" s="396">
        <v>22</v>
      </c>
    </row>
    <row r="18" spans="1:6" ht="5.0999999999999996" customHeight="1"/>
    <row r="19" spans="1:6" ht="12.75">
      <c r="A19" s="225" t="s">
        <v>794</v>
      </c>
    </row>
    <row r="20" spans="1:6" ht="12.75">
      <c r="A20" s="224">
        <v>2.1</v>
      </c>
      <c r="B20" s="224" t="s">
        <v>795</v>
      </c>
      <c r="E20" s="396">
        <v>23</v>
      </c>
    </row>
    <row r="21" spans="1:6" ht="12.75">
      <c r="A21" s="224">
        <v>2.2000000000000002</v>
      </c>
      <c r="B21" s="224" t="s">
        <v>796</v>
      </c>
      <c r="E21" s="396">
        <v>24</v>
      </c>
    </row>
    <row r="22" spans="1:6" ht="5.0999999999999996" customHeight="1"/>
    <row r="23" spans="1:6" ht="12.75">
      <c r="A23" s="225" t="s">
        <v>797</v>
      </c>
    </row>
    <row r="24" spans="1:6" ht="12.75">
      <c r="A24" s="224">
        <v>3.1</v>
      </c>
      <c r="B24" s="224" t="s">
        <v>945</v>
      </c>
      <c r="E24" s="396">
        <v>25</v>
      </c>
    </row>
    <row r="25" spans="1:6" ht="5.0999999999999996" customHeight="1"/>
    <row r="26" spans="1:6" ht="12.75">
      <c r="A26" s="225" t="s">
        <v>2</v>
      </c>
    </row>
    <row r="27" spans="1:6" ht="12.75">
      <c r="A27" s="224">
        <v>4.0999999999999996</v>
      </c>
      <c r="B27" s="224" t="s">
        <v>798</v>
      </c>
      <c r="E27" s="396">
        <v>26</v>
      </c>
    </row>
    <row r="28" spans="1:6" ht="12.75">
      <c r="A28" s="226" t="s">
        <v>799</v>
      </c>
      <c r="B28" s="224" t="s">
        <v>800</v>
      </c>
      <c r="E28" s="396">
        <v>27</v>
      </c>
    </row>
    <row r="29" spans="1:6" ht="12.75">
      <c r="A29" s="226" t="s">
        <v>801</v>
      </c>
      <c r="B29" s="224" t="s">
        <v>1042</v>
      </c>
      <c r="E29" s="396">
        <v>28</v>
      </c>
    </row>
    <row r="30" spans="1:6" ht="5.0999999999999996" customHeight="1"/>
    <row r="31" spans="1:6" ht="12.75">
      <c r="A31" s="225" t="s">
        <v>802</v>
      </c>
    </row>
    <row r="32" spans="1:6" ht="12.75">
      <c r="A32" s="224">
        <v>5.0999999999999996</v>
      </c>
      <c r="B32" s="224" t="s">
        <v>803</v>
      </c>
      <c r="E32" s="396">
        <v>30</v>
      </c>
      <c r="F32" s="360"/>
    </row>
    <row r="33" spans="1:5" ht="12.75">
      <c r="A33" s="224">
        <v>5.2</v>
      </c>
      <c r="B33" s="224" t="s">
        <v>856</v>
      </c>
      <c r="E33" s="396">
        <v>31</v>
      </c>
    </row>
    <row r="34" spans="1:5" ht="12.75">
      <c r="A34" s="226" t="s">
        <v>804</v>
      </c>
      <c r="B34" s="224" t="s">
        <v>1043</v>
      </c>
      <c r="E34" s="396">
        <v>33</v>
      </c>
    </row>
    <row r="35" spans="1:5" ht="12.75">
      <c r="A35" s="226" t="s">
        <v>805</v>
      </c>
      <c r="B35" s="224" t="s">
        <v>806</v>
      </c>
      <c r="E35" s="396">
        <v>33</v>
      </c>
    </row>
    <row r="36" spans="1:5" ht="12.75">
      <c r="A36" s="226" t="s">
        <v>807</v>
      </c>
      <c r="B36" s="224" t="s">
        <v>808</v>
      </c>
      <c r="E36" s="396">
        <v>34</v>
      </c>
    </row>
    <row r="37" spans="1:5" ht="12.75">
      <c r="A37" s="226" t="s">
        <v>809</v>
      </c>
      <c r="B37" s="224" t="s">
        <v>1044</v>
      </c>
      <c r="E37" s="396">
        <v>38</v>
      </c>
    </row>
    <row r="38" spans="1:5" ht="12.75">
      <c r="A38" s="226" t="s">
        <v>855</v>
      </c>
      <c r="B38" s="224" t="s">
        <v>947</v>
      </c>
      <c r="E38" s="396">
        <v>40</v>
      </c>
    </row>
    <row r="39" spans="1:5" ht="5.0999999999999996" customHeight="1"/>
    <row r="40" spans="1:5" ht="12.75">
      <c r="A40" s="615" t="s">
        <v>983</v>
      </c>
    </row>
    <row r="41" spans="1:5" ht="12.75">
      <c r="A41" s="224">
        <v>6.1</v>
      </c>
      <c r="B41" s="224" t="s">
        <v>984</v>
      </c>
      <c r="E41" s="396">
        <v>41</v>
      </c>
    </row>
    <row r="42" spans="1:5" ht="12.75">
      <c r="A42" s="224">
        <v>6.2</v>
      </c>
      <c r="B42" s="224" t="s">
        <v>1045</v>
      </c>
      <c r="E42" s="396">
        <v>42</v>
      </c>
    </row>
    <row r="43" spans="1:5" ht="12.75">
      <c r="A43" s="224">
        <v>6.3</v>
      </c>
      <c r="B43" s="224" t="s">
        <v>1046</v>
      </c>
      <c r="E43" s="396">
        <v>47</v>
      </c>
    </row>
    <row r="44" spans="1:5" ht="12.75">
      <c r="A44" s="224">
        <v>6.4</v>
      </c>
      <c r="B44" s="696" t="s">
        <v>985</v>
      </c>
      <c r="C44" s="697"/>
      <c r="D44" s="697"/>
      <c r="E44" s="396">
        <v>52</v>
      </c>
    </row>
    <row r="45" spans="1:5" ht="5.0999999999999996" customHeight="1"/>
    <row r="46" spans="1:5" ht="12.75">
      <c r="A46" s="290" t="s">
        <v>829</v>
      </c>
      <c r="B46" s="291"/>
      <c r="C46" s="291"/>
      <c r="D46" s="291"/>
      <c r="E46" s="291"/>
    </row>
    <row r="47" spans="1:5" ht="12.75">
      <c r="A47" s="291">
        <v>7.1</v>
      </c>
      <c r="B47" s="291" t="s">
        <v>1050</v>
      </c>
      <c r="C47" s="291"/>
      <c r="D47" s="291"/>
      <c r="E47" s="1269">
        <v>57</v>
      </c>
    </row>
    <row r="48" spans="1:5" ht="5.0999999999999996" customHeight="1"/>
    <row r="49" spans="1:5" ht="12.75">
      <c r="A49" s="615" t="s">
        <v>1222</v>
      </c>
      <c r="E49" s="396">
        <v>58</v>
      </c>
    </row>
    <row r="50" spans="1:5" ht="12.75">
      <c r="A50" s="225"/>
    </row>
  </sheetData>
  <customSheetViews>
    <customSheetView guid="{E6BBE5A7-0B25-4EE8-BA45-5EA5DBAF3AD4}" showPageBreaks="1" printArea="1">
      <selection activeCell="B33" sqref="B33"/>
      <pageMargins left="0.5" right="0.5" top="0.5" bottom="0.75" header="0.5" footer="0.5"/>
      <printOptions horizontalCentered="1"/>
      <pageSetup scale="91" orientation="landscape" r:id="rId1"/>
      <headerFooter alignWithMargins="0"/>
    </customSheetView>
  </customSheetViews>
  <hyperlinks>
    <hyperlink ref="E49" location="Directory!A1" display="Directory!A1"/>
    <hyperlink ref="E47" location="'7.1'!A1" display="'7.1'!A1"/>
    <hyperlink ref="E44" location="'6.4'!A1" display="'6.4'!A1"/>
    <hyperlink ref="E43" location="'6.3'!A1" display="'6.3'!A1"/>
    <hyperlink ref="E42" location="'6.2'!A1" display="'6.2'!A1"/>
    <hyperlink ref="E41" location="'6.1'!A1" display="'6.1'!A1"/>
    <hyperlink ref="E38" location="'5.7'!A1" display="'5.7'!A1"/>
    <hyperlink ref="E37" location="'5.6'!A1" display="'5.6'!A1"/>
    <hyperlink ref="E36" location="'5.5'!A1" display="'5.5'!A1"/>
    <hyperlink ref="E35" location="'5.3-5.4'!A1" display="'5.3-5.4'!A1"/>
    <hyperlink ref="E34" location="'5.3-5.4'!A1" display="'5.3-5.4'!A1"/>
    <hyperlink ref="E33" location="'5.2'!A1" display="'5.2'!A1"/>
    <hyperlink ref="E32" location="'5.1'!A1" display="'5.1'!A1"/>
    <hyperlink ref="E29" location="'4.3'!A1" display="'4.3'!A1"/>
    <hyperlink ref="E28" location="'4.2'!A1" display="'4.2'!A1"/>
    <hyperlink ref="E27" location="'4.1'!A1" display="'4.1'!A1"/>
    <hyperlink ref="E24" location="'3.1'!A1" display="'3.1'!A1"/>
    <hyperlink ref="E21" location="'2.2'!A1" display="'2.2'!A1"/>
    <hyperlink ref="E20" location="'2.1'!A1" display="'2.1'!A1"/>
    <hyperlink ref="E17" location="'1.10'!A1" display="'1.10'!A1"/>
    <hyperlink ref="E16" location="'1.8-1.9'!A1" display="'1.8-1.9'!A1"/>
    <hyperlink ref="E15" location="'1.8-1.9'!A1" display="'1.8-1.9'!A1"/>
    <hyperlink ref="E14" location="'1.7'!A1" display="'1.7'!A1"/>
    <hyperlink ref="E13" location="'1.6'!A1" display="'1.6'!A1"/>
    <hyperlink ref="E12" location="'1.5'!A1" display="'1.5'!A1"/>
    <hyperlink ref="E11" location="'1.4'!A1" display="'1.4'!A1"/>
    <hyperlink ref="E10" location="'1.3'!A1" display="'1.3'!A1"/>
    <hyperlink ref="E9" location="'1.2'!A1" display="'1.2'!A1"/>
    <hyperlink ref="E8" location="'1.1'!A1" display="'1.1'!A1"/>
    <hyperlink ref="E5" location="ByAcct!A1" display="ByAcct!A1"/>
    <hyperlink ref="E4" location="RevExp!A1" display="RevExp!A1"/>
  </hyperlinks>
  <pageMargins left="0.6" right="0.25" top="0.5" bottom="0.25" header="0.25" footer="0"/>
  <pageSetup orientation="landscape" r:id="rId2"/>
  <headerFooter alignWithMargins="0"/>
  <ignoredErrors>
    <ignoredError sqref="A17 A34:A37 A28:A29" numberStoredAsText="1"/>
  </ignoredError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J27"/>
  <sheetViews>
    <sheetView zoomScaleNormal="100" workbookViewId="0"/>
  </sheetViews>
  <sheetFormatPr defaultRowHeight="12.75"/>
  <cols>
    <col min="1" max="1" width="12.85546875" customWidth="1"/>
    <col min="2" max="2" width="15" customWidth="1"/>
    <col min="3" max="3" width="13.7109375" customWidth="1"/>
    <col min="4" max="4" width="13" customWidth="1"/>
    <col min="5" max="6" width="15" customWidth="1"/>
    <col min="7" max="7" width="20" customWidth="1"/>
    <col min="8" max="8" width="19.140625" customWidth="1"/>
  </cols>
  <sheetData>
    <row r="1" spans="1:10" ht="18">
      <c r="A1" s="604" t="s">
        <v>299</v>
      </c>
      <c r="B1" s="9"/>
      <c r="C1" s="9"/>
      <c r="D1" s="9"/>
      <c r="E1" s="11"/>
      <c r="F1" s="77"/>
      <c r="G1" s="77"/>
      <c r="H1" s="9"/>
      <c r="I1" s="1276" t="s">
        <v>1194</v>
      </c>
    </row>
    <row r="2" spans="1:10" ht="15.75">
      <c r="A2" s="78" t="s">
        <v>191</v>
      </c>
      <c r="B2" s="9"/>
      <c r="C2" s="9"/>
      <c r="D2" s="9"/>
      <c r="E2" s="11"/>
      <c r="F2" s="79"/>
      <c r="G2" s="79"/>
      <c r="H2" s="9"/>
    </row>
    <row r="3" spans="1:10" ht="6" customHeight="1">
      <c r="A3" s="25"/>
      <c r="B3" s="373" t="s">
        <v>890</v>
      </c>
      <c r="C3" s="9"/>
      <c r="D3" s="9"/>
      <c r="E3" s="11"/>
      <c r="F3" s="25"/>
      <c r="G3" s="25"/>
      <c r="H3" s="9"/>
    </row>
    <row r="4" spans="1:10" ht="6" customHeight="1" thickBot="1">
      <c r="A4" s="361"/>
      <c r="B4" s="9"/>
      <c r="C4" s="9"/>
      <c r="D4" s="9"/>
      <c r="E4" s="11"/>
      <c r="F4" s="80"/>
      <c r="G4" s="80"/>
      <c r="H4" s="9"/>
    </row>
    <row r="5" spans="1:10" ht="15" customHeight="1" thickTop="1">
      <c r="A5" s="81"/>
      <c r="B5" s="82" t="s">
        <v>192</v>
      </c>
      <c r="C5" s="82" t="s">
        <v>193</v>
      </c>
      <c r="D5" s="83" t="s">
        <v>194</v>
      </c>
      <c r="E5" s="1215" t="s">
        <v>195</v>
      </c>
      <c r="F5" s="84" t="s">
        <v>196</v>
      </c>
      <c r="G5" s="84" t="s">
        <v>836</v>
      </c>
      <c r="H5" s="84"/>
    </row>
    <row r="6" spans="1:10" ht="15" customHeight="1">
      <c r="A6" s="85" t="s">
        <v>33</v>
      </c>
      <c r="B6" s="86" t="s">
        <v>197</v>
      </c>
      <c r="C6" s="86" t="s">
        <v>198</v>
      </c>
      <c r="D6" s="88" t="s">
        <v>21</v>
      </c>
      <c r="E6" s="1216" t="s">
        <v>21</v>
      </c>
      <c r="F6" s="87" t="s">
        <v>200</v>
      </c>
      <c r="G6" s="87" t="s">
        <v>837</v>
      </c>
      <c r="H6" s="87"/>
    </row>
    <row r="7" spans="1:10" ht="15" customHeight="1">
      <c r="A7" s="89">
        <v>2010</v>
      </c>
      <c r="B7" s="357">
        <v>275338000</v>
      </c>
      <c r="C7" s="358">
        <v>5635000</v>
      </c>
      <c r="D7" s="357">
        <v>5671000</v>
      </c>
      <c r="E7" s="357">
        <v>3618000</v>
      </c>
      <c r="F7" s="358">
        <v>6223000</v>
      </c>
      <c r="G7" s="589" t="s">
        <v>60</v>
      </c>
      <c r="H7" s="589"/>
    </row>
    <row r="8" spans="1:10" ht="15" customHeight="1">
      <c r="A8" s="89">
        <v>2011</v>
      </c>
      <c r="B8" s="90">
        <v>276572000</v>
      </c>
      <c r="C8" s="25">
        <v>6176000</v>
      </c>
      <c r="D8" s="90">
        <v>2713000</v>
      </c>
      <c r="E8" s="90">
        <v>3477000</v>
      </c>
      <c r="F8" s="25">
        <v>5985000</v>
      </c>
      <c r="G8" s="589" t="s">
        <v>60</v>
      </c>
      <c r="H8" s="589"/>
    </row>
    <row r="9" spans="1:10" ht="15" customHeight="1">
      <c r="A9" s="89">
        <v>2012</v>
      </c>
      <c r="B9" s="91">
        <v>307149000</v>
      </c>
      <c r="C9" s="80">
        <v>6254000</v>
      </c>
      <c r="D9" s="80">
        <v>298000</v>
      </c>
      <c r="E9" s="91">
        <v>3676000</v>
      </c>
      <c r="F9" s="80">
        <v>6880000</v>
      </c>
      <c r="G9" s="589" t="s">
        <v>60</v>
      </c>
      <c r="H9" s="589"/>
    </row>
    <row r="10" spans="1:10" ht="15" customHeight="1">
      <c r="A10" s="92">
        <v>2013</v>
      </c>
      <c r="B10" s="91">
        <v>360109000</v>
      </c>
      <c r="C10" s="80">
        <v>6181000</v>
      </c>
      <c r="D10" s="80">
        <v>-268000</v>
      </c>
      <c r="E10" s="91">
        <v>5514000</v>
      </c>
      <c r="F10" s="80">
        <v>7327000</v>
      </c>
      <c r="G10" s="589" t="s">
        <v>60</v>
      </c>
      <c r="H10" s="589"/>
    </row>
    <row r="11" spans="1:10" ht="15" customHeight="1">
      <c r="A11" s="92">
        <v>2014</v>
      </c>
      <c r="B11" s="91">
        <v>296103000</v>
      </c>
      <c r="C11" s="80">
        <v>6425000</v>
      </c>
      <c r="D11" s="80">
        <v>196000</v>
      </c>
      <c r="E11" s="91">
        <v>4222000</v>
      </c>
      <c r="F11" s="80">
        <v>6979000</v>
      </c>
      <c r="G11" s="590">
        <v>320421000</v>
      </c>
      <c r="H11" s="589"/>
    </row>
    <row r="12" spans="1:10" ht="15" customHeight="1">
      <c r="A12" s="92">
        <v>2015</v>
      </c>
      <c r="B12" s="91">
        <v>331713000</v>
      </c>
      <c r="C12" s="80">
        <v>6419000</v>
      </c>
      <c r="D12" s="80">
        <v>98000</v>
      </c>
      <c r="E12" s="91">
        <v>4493000</v>
      </c>
      <c r="F12" s="80">
        <v>7089000</v>
      </c>
      <c r="G12" s="595">
        <v>300641000</v>
      </c>
      <c r="H12" s="589"/>
    </row>
    <row r="13" spans="1:10" ht="15" customHeight="1">
      <c r="A13" s="92">
        <v>2016</v>
      </c>
      <c r="B13" s="91">
        <v>354104000</v>
      </c>
      <c r="C13" s="91">
        <v>6364000</v>
      </c>
      <c r="D13" s="80">
        <v>222000</v>
      </c>
      <c r="E13" s="91">
        <v>4688000</v>
      </c>
      <c r="F13" s="80">
        <v>6538000</v>
      </c>
      <c r="G13" s="595">
        <v>339081000</v>
      </c>
      <c r="H13" s="589"/>
    </row>
    <row r="14" spans="1:10" ht="15" customHeight="1">
      <c r="A14" s="92">
        <v>2017</v>
      </c>
      <c r="B14" s="91">
        <v>378757000</v>
      </c>
      <c r="C14" s="91">
        <v>6521000</v>
      </c>
      <c r="D14" s="80">
        <v>8202000</v>
      </c>
      <c r="E14" s="91">
        <v>3597000</v>
      </c>
      <c r="F14" s="80">
        <v>6346000</v>
      </c>
      <c r="G14" s="595">
        <v>340910000</v>
      </c>
      <c r="H14" s="664"/>
      <c r="I14" s="661"/>
      <c r="J14" s="661"/>
    </row>
    <row r="15" spans="1:10" ht="15" customHeight="1">
      <c r="A15" s="92">
        <v>2018</v>
      </c>
      <c r="B15" s="91">
        <v>380183000</v>
      </c>
      <c r="C15" s="91">
        <v>6415000</v>
      </c>
      <c r="D15" s="80">
        <v>932000</v>
      </c>
      <c r="E15" s="91">
        <v>7365000</v>
      </c>
      <c r="F15" s="80">
        <v>6469000</v>
      </c>
      <c r="G15" s="595">
        <v>337947000</v>
      </c>
      <c r="H15" s="665"/>
      <c r="I15" s="661"/>
      <c r="J15" s="661"/>
    </row>
    <row r="16" spans="1:10" ht="15" customHeight="1">
      <c r="A16" s="92">
        <v>2019</v>
      </c>
      <c r="B16" s="91">
        <v>372107000</v>
      </c>
      <c r="C16" s="91">
        <v>6738000</v>
      </c>
      <c r="D16" s="91">
        <v>191000</v>
      </c>
      <c r="E16" s="91">
        <v>5681000</v>
      </c>
      <c r="F16" s="80">
        <v>6444000</v>
      </c>
      <c r="G16" s="80">
        <v>382018000</v>
      </c>
      <c r="H16" s="666"/>
      <c r="I16" s="661"/>
      <c r="J16" s="661"/>
    </row>
    <row r="17" spans="1:10" ht="15" customHeight="1">
      <c r="A17" s="92">
        <v>2020</v>
      </c>
      <c r="B17" s="91">
        <f>ROUND(39715917.44+-6507.25+-48621.15+487130322.81+-59669923.88,-3)</f>
        <v>467121000</v>
      </c>
      <c r="C17" s="91">
        <f>ROUND(6074046.59+-46849.18+0+560500.22,-3)</f>
        <v>6588000</v>
      </c>
      <c r="D17" s="91">
        <f>ROUND(10996+69278.18,-3)</f>
        <v>80000</v>
      </c>
      <c r="E17" s="91">
        <f>ROUND(6772425.16,-3)</f>
        <v>6772000</v>
      </c>
      <c r="F17" s="80">
        <f>ROUND(5794346.74+726593.281,-3)</f>
        <v>6521000</v>
      </c>
      <c r="G17" s="80">
        <f>ROUND(603081210.21-242492835.9,-3)</f>
        <v>360588000</v>
      </c>
      <c r="H17" s="666"/>
      <c r="I17" s="661"/>
      <c r="J17" s="661"/>
    </row>
    <row r="18" spans="1:10" ht="15" customHeight="1">
      <c r="A18" s="92">
        <v>2021</v>
      </c>
      <c r="B18" s="91">
        <f>ROUND(656755933.34,-3)</f>
        <v>656756000</v>
      </c>
      <c r="C18" s="91">
        <f>ROUND(7768577.65,-3)</f>
        <v>7769000</v>
      </c>
      <c r="D18" s="91">
        <f>ROUND(810177.55,-3)</f>
        <v>810000</v>
      </c>
      <c r="E18" s="91">
        <f>ROUND(9398274.96,-3)</f>
        <v>9398000</v>
      </c>
      <c r="F18" s="80">
        <f>ROUND(6050514.76,-3)</f>
        <v>6051000</v>
      </c>
      <c r="G18" s="80">
        <f>ROUND(363104671.05,-3)</f>
        <v>363105000</v>
      </c>
      <c r="H18" s="666"/>
      <c r="I18" s="661"/>
      <c r="J18" s="661"/>
    </row>
    <row r="19" spans="1:10">
      <c r="A19" s="611"/>
      <c r="B19" s="955"/>
      <c r="C19" s="955"/>
      <c r="D19" s="955"/>
      <c r="E19" s="955"/>
      <c r="F19" s="955"/>
      <c r="G19" s="955"/>
      <c r="H19" s="662"/>
      <c r="I19" s="661"/>
      <c r="J19" s="661"/>
    </row>
    <row r="20" spans="1:10" s="1064" customFormat="1" ht="13.5">
      <c r="A20" s="1128"/>
      <c r="B20" s="1124"/>
      <c r="C20" s="1124"/>
      <c r="D20" s="1124"/>
      <c r="E20" s="1124"/>
      <c r="F20" s="1125"/>
      <c r="G20" s="1125"/>
      <c r="H20" s="1126"/>
      <c r="I20" s="1127" t="s">
        <v>893</v>
      </c>
    </row>
    <row r="21" spans="1:10" s="1064" customFormat="1" ht="67.5" customHeight="1">
      <c r="A21" s="1420" t="s">
        <v>892</v>
      </c>
      <c r="B21" s="1420"/>
      <c r="C21" s="1420"/>
      <c r="D21" s="1420"/>
      <c r="E21" s="1420"/>
      <c r="F21" s="1420"/>
      <c r="G21" s="1420"/>
      <c r="H21" s="1420"/>
    </row>
    <row r="22" spans="1:10" s="1064" customFormat="1" ht="28.5" customHeight="1">
      <c r="A22" s="1421" t="s">
        <v>201</v>
      </c>
      <c r="B22" s="1421"/>
      <c r="C22" s="1421"/>
      <c r="D22" s="1421"/>
      <c r="E22" s="1421"/>
      <c r="F22" s="1421"/>
      <c r="G22" s="1421"/>
      <c r="H22" s="1421"/>
    </row>
    <row r="23" spans="1:10" s="1064" customFormat="1" ht="53.25" customHeight="1">
      <c r="A23" s="1418" t="s">
        <v>915</v>
      </c>
      <c r="B23" s="1418"/>
      <c r="C23" s="1418"/>
      <c r="D23" s="1418"/>
      <c r="E23" s="1418"/>
      <c r="F23" s="1418"/>
      <c r="G23" s="1418"/>
      <c r="H23" s="1418"/>
    </row>
    <row r="24" spans="1:10" s="1064" customFormat="1" ht="15.75" customHeight="1">
      <c r="A24" s="1419" t="s">
        <v>916</v>
      </c>
      <c r="B24" s="1419"/>
      <c r="C24" s="1419"/>
      <c r="D24" s="1419"/>
      <c r="E24" s="1419"/>
      <c r="F24" s="1419"/>
      <c r="G24" s="1419"/>
      <c r="H24" s="1419"/>
    </row>
    <row r="25" spans="1:10" s="1064" customFormat="1" ht="15.6" customHeight="1">
      <c r="A25" s="1419" t="s">
        <v>917</v>
      </c>
      <c r="B25" s="1419"/>
      <c r="C25" s="1419"/>
      <c r="D25" s="1419"/>
      <c r="E25" s="1419"/>
      <c r="F25" s="1419"/>
      <c r="G25" s="1419"/>
      <c r="H25" s="1419"/>
    </row>
    <row r="26" spans="1:10" s="1064" customFormat="1" ht="63.75" customHeight="1">
      <c r="A26" s="1418" t="s">
        <v>1163</v>
      </c>
      <c r="B26" s="1418"/>
      <c r="C26" s="1418"/>
      <c r="D26" s="1418"/>
      <c r="E26" s="1418"/>
      <c r="F26" s="1418"/>
      <c r="G26" s="1418"/>
      <c r="H26" s="1418"/>
    </row>
    <row r="27" spans="1:10" s="1068" customFormat="1" ht="12.75" customHeight="1">
      <c r="A27" s="1120" t="s">
        <v>1155</v>
      </c>
      <c r="B27" s="1072"/>
      <c r="C27" s="1072"/>
      <c r="D27" s="1072"/>
      <c r="E27" s="1073"/>
    </row>
  </sheetData>
  <customSheetViews>
    <customSheetView guid="{E6BBE5A7-0B25-4EE8-BA45-5EA5DBAF3AD4}">
      <selection activeCell="A19" sqref="A19"/>
      <pageMargins left="0.75" right="0.75" top="0.75" bottom="1" header="0.5" footer="0.5"/>
      <printOptions horizontalCentered="1"/>
      <pageSetup scale="88" orientation="landscape" r:id="rId1"/>
      <headerFooter alignWithMargins="0"/>
    </customSheetView>
  </customSheetViews>
  <mergeCells count="6">
    <mergeCell ref="A26:H26"/>
    <mergeCell ref="A24:H24"/>
    <mergeCell ref="A25:H25"/>
    <mergeCell ref="A21:H21"/>
    <mergeCell ref="A22:H22"/>
    <mergeCell ref="A23:H23"/>
  </mergeCells>
  <phoneticPr fontId="11" type="noConversion"/>
  <hyperlinks>
    <hyperlink ref="I1" location="TOC!A1" display="Back"/>
  </hyperlinks>
  <pageMargins left="0.6" right="0.25" top="0.5" bottom="0.25" header="0.25" footer="0.25"/>
  <pageSetup orientation="landscape" r:id="rId2"/>
  <headerFooter scaleWithDoc="0">
    <oddHeader>&amp;R&amp;P</odd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Y54"/>
  <sheetViews>
    <sheetView zoomScaleNormal="100" workbookViewId="0">
      <pane ySplit="6195" topLeftCell="A27"/>
      <selection pane="bottomLeft" activeCell="A49" sqref="A49:I49"/>
    </sheetView>
  </sheetViews>
  <sheetFormatPr defaultRowHeight="12.75"/>
  <cols>
    <col min="1" max="1" width="12.7109375" customWidth="1"/>
    <col min="2" max="5" width="13.7109375" customWidth="1"/>
    <col min="6" max="7" width="14.7109375" customWidth="1"/>
    <col min="8" max="9" width="13.7109375" customWidth="1"/>
    <col min="10" max="10" width="8.7109375" customWidth="1"/>
    <col min="11" max="11" width="12.5703125" bestFit="1" customWidth="1"/>
    <col min="12" max="12" width="11.85546875" customWidth="1"/>
    <col min="13" max="13" width="12" customWidth="1"/>
    <col min="14" max="14" width="11.5703125" customWidth="1"/>
    <col min="15" max="15" width="12.28515625" customWidth="1"/>
    <col min="16" max="16" width="9.85546875" customWidth="1"/>
    <col min="17" max="17" width="9.85546875" bestFit="1" customWidth="1"/>
    <col min="18" max="18" width="11" customWidth="1"/>
    <col min="19" max="20" width="9.28515625" bestFit="1" customWidth="1"/>
    <col min="21" max="21" width="9.85546875" bestFit="1" customWidth="1"/>
    <col min="22" max="22" width="10.7109375" customWidth="1"/>
    <col min="23" max="24" width="9.28515625" bestFit="1" customWidth="1"/>
  </cols>
  <sheetData>
    <row r="1" spans="1:25" ht="17.45" customHeight="1">
      <c r="A1" s="605" t="s">
        <v>300</v>
      </c>
      <c r="B1" s="9"/>
      <c r="C1" s="9"/>
      <c r="D1" s="9"/>
      <c r="E1" s="9"/>
      <c r="F1" s="11"/>
      <c r="G1" s="9"/>
      <c r="H1" s="9"/>
      <c r="K1" s="1276" t="s">
        <v>1194</v>
      </c>
    </row>
    <row r="2" spans="1:25" ht="15.6" customHeight="1">
      <c r="A2" s="5" t="s">
        <v>913</v>
      </c>
      <c r="B2" s="9"/>
      <c r="C2" s="9"/>
      <c r="D2" s="9"/>
      <c r="E2" s="9"/>
      <c r="F2" s="11"/>
      <c r="G2" s="9"/>
      <c r="H2" s="9"/>
    </row>
    <row r="3" spans="1:25" ht="15" customHeight="1" thickBot="1">
      <c r="A3" s="374"/>
      <c r="B3" s="434"/>
      <c r="C3" s="9"/>
      <c r="D3" s="9"/>
      <c r="E3" s="434"/>
      <c r="F3" s="9"/>
      <c r="G3" s="9"/>
      <c r="H3" s="434"/>
    </row>
    <row r="4" spans="1:25" ht="15" customHeight="1" thickTop="1">
      <c r="A4" s="81"/>
      <c r="B4" s="84" t="s">
        <v>202</v>
      </c>
      <c r="C4" s="82" t="s">
        <v>203</v>
      </c>
      <c r="D4" s="1215" t="s">
        <v>204</v>
      </c>
      <c r="E4" s="1215" t="s">
        <v>208</v>
      </c>
      <c r="F4" s="84" t="s">
        <v>205</v>
      </c>
      <c r="G4" s="84" t="s">
        <v>206</v>
      </c>
      <c r="H4" s="84" t="s">
        <v>210</v>
      </c>
    </row>
    <row r="5" spans="1:25" ht="15" customHeight="1">
      <c r="A5" s="87" t="s">
        <v>33</v>
      </c>
      <c r="B5" s="87" t="s">
        <v>207</v>
      </c>
      <c r="C5" s="87" t="s">
        <v>199</v>
      </c>
      <c r="D5" s="1217" t="s">
        <v>199</v>
      </c>
      <c r="E5" s="1218" t="s">
        <v>199</v>
      </c>
      <c r="F5" s="1217" t="s">
        <v>21</v>
      </c>
      <c r="G5" s="1217" t="s">
        <v>209</v>
      </c>
      <c r="H5" s="87" t="s">
        <v>21</v>
      </c>
      <c r="K5" s="790"/>
      <c r="L5" s="790"/>
      <c r="M5" s="790"/>
      <c r="N5" s="790"/>
      <c r="O5" s="790"/>
      <c r="P5" s="790"/>
      <c r="Q5" s="790"/>
      <c r="R5" s="790"/>
      <c r="S5" s="790"/>
      <c r="T5" s="790"/>
      <c r="U5" s="790"/>
      <c r="V5" s="790"/>
      <c r="W5" s="790"/>
      <c r="X5" s="790"/>
      <c r="Y5" s="790"/>
    </row>
    <row r="6" spans="1:25" ht="12.75" hidden="1" customHeight="1">
      <c r="A6" s="89">
        <v>2010</v>
      </c>
      <c r="B6" s="358">
        <v>5107000</v>
      </c>
      <c r="C6" s="358">
        <v>146000</v>
      </c>
      <c r="D6" s="358">
        <v>99000</v>
      </c>
      <c r="E6" s="358">
        <v>549000</v>
      </c>
      <c r="F6" s="588">
        <v>158389000</v>
      </c>
      <c r="G6" s="588">
        <v>17668000</v>
      </c>
      <c r="H6" s="357">
        <v>8309000</v>
      </c>
      <c r="K6" s="790"/>
      <c r="L6" s="790"/>
      <c r="M6" s="790"/>
      <c r="N6" s="790"/>
      <c r="O6" s="790"/>
      <c r="P6" s="790"/>
      <c r="Q6" s="790"/>
      <c r="R6" s="790"/>
      <c r="S6" s="790"/>
      <c r="T6" s="790"/>
      <c r="U6" s="790"/>
      <c r="V6" s="790"/>
      <c r="W6" s="790"/>
      <c r="X6" s="790"/>
      <c r="Y6" s="790"/>
    </row>
    <row r="7" spans="1:25" ht="15" customHeight="1">
      <c r="A7" s="89">
        <v>2011</v>
      </c>
      <c r="B7" s="25">
        <v>5143000</v>
      </c>
      <c r="C7" s="25">
        <v>151000</v>
      </c>
      <c r="D7" s="25">
        <v>102000</v>
      </c>
      <c r="E7" s="25">
        <v>424000</v>
      </c>
      <c r="F7" s="25">
        <v>155719000</v>
      </c>
      <c r="G7" s="25">
        <v>18012000</v>
      </c>
      <c r="H7" s="90">
        <v>6449000</v>
      </c>
      <c r="K7" s="790"/>
      <c r="L7" s="790"/>
      <c r="M7" s="790"/>
      <c r="N7" s="790"/>
      <c r="O7" s="790"/>
      <c r="P7" s="790"/>
      <c r="Q7" s="790"/>
      <c r="R7" s="790"/>
      <c r="S7" s="790"/>
      <c r="T7" s="790"/>
      <c r="U7" s="790"/>
      <c r="V7" s="790"/>
      <c r="W7" s="790"/>
      <c r="X7" s="790"/>
    </row>
    <row r="8" spans="1:25" ht="15" customHeight="1">
      <c r="A8" s="92">
        <v>2012</v>
      </c>
      <c r="B8" s="80">
        <v>3412000</v>
      </c>
      <c r="C8" s="80">
        <v>149000</v>
      </c>
      <c r="D8" s="80">
        <v>172000</v>
      </c>
      <c r="E8" s="80">
        <v>596000</v>
      </c>
      <c r="F8" s="80">
        <v>173911000</v>
      </c>
      <c r="G8" s="80">
        <v>18542000</v>
      </c>
      <c r="H8" s="91">
        <v>4725000</v>
      </c>
    </row>
    <row r="9" spans="1:25" ht="15" customHeight="1">
      <c r="A9" s="92">
        <v>2013</v>
      </c>
      <c r="B9" s="80">
        <v>2544000</v>
      </c>
      <c r="C9" s="80">
        <v>160000</v>
      </c>
      <c r="D9" s="80">
        <v>265000</v>
      </c>
      <c r="E9" s="80">
        <v>895000</v>
      </c>
      <c r="F9" s="80">
        <v>169297000</v>
      </c>
      <c r="G9" s="80">
        <v>18577000</v>
      </c>
      <c r="H9" s="91">
        <v>5753000</v>
      </c>
    </row>
    <row r="10" spans="1:25" ht="15" customHeight="1">
      <c r="A10" s="92">
        <v>2014</v>
      </c>
      <c r="B10" s="80">
        <v>2611000</v>
      </c>
      <c r="C10" s="80">
        <v>152000</v>
      </c>
      <c r="D10" s="80">
        <v>224000</v>
      </c>
      <c r="E10" s="80">
        <v>811000</v>
      </c>
      <c r="F10" s="80">
        <v>161619000</v>
      </c>
      <c r="G10" s="80">
        <v>19007000</v>
      </c>
      <c r="H10" s="91">
        <v>2919000</v>
      </c>
    </row>
    <row r="11" spans="1:25" ht="15" customHeight="1">
      <c r="A11" s="92">
        <v>2015</v>
      </c>
      <c r="B11" s="80">
        <v>2738000</v>
      </c>
      <c r="C11" s="80">
        <v>175000</v>
      </c>
      <c r="D11" s="80">
        <v>289000</v>
      </c>
      <c r="E11" s="80">
        <v>735000</v>
      </c>
      <c r="F11" s="80">
        <v>159856000</v>
      </c>
      <c r="G11" s="80">
        <v>19141000</v>
      </c>
      <c r="H11" s="91">
        <v>5001000</v>
      </c>
    </row>
    <row r="12" spans="1:25" ht="15" customHeight="1">
      <c r="A12" s="92">
        <v>2016</v>
      </c>
      <c r="B12" s="80">
        <v>2871000</v>
      </c>
      <c r="C12" s="80">
        <v>183000</v>
      </c>
      <c r="D12" s="80">
        <v>320000</v>
      </c>
      <c r="E12" s="80">
        <v>1036000</v>
      </c>
      <c r="F12" s="80">
        <v>159286000</v>
      </c>
      <c r="G12" s="80">
        <v>19455000</v>
      </c>
      <c r="H12" s="91">
        <v>6056000</v>
      </c>
      <c r="I12" s="16"/>
    </row>
    <row r="13" spans="1:25" ht="15" customHeight="1">
      <c r="A13" s="92">
        <v>2017</v>
      </c>
      <c r="B13" s="80">
        <v>2769000</v>
      </c>
      <c r="C13" s="80">
        <v>207000</v>
      </c>
      <c r="D13" s="80">
        <v>265000</v>
      </c>
      <c r="E13" s="80">
        <v>1058000</v>
      </c>
      <c r="F13" s="80">
        <v>151117000</v>
      </c>
      <c r="G13" s="80">
        <v>20081000</v>
      </c>
      <c r="H13" s="91">
        <v>4273000</v>
      </c>
      <c r="I13" s="16"/>
    </row>
    <row r="14" spans="1:25" ht="15" customHeight="1">
      <c r="A14" s="92">
        <v>2018</v>
      </c>
      <c r="B14" s="80">
        <v>2795000</v>
      </c>
      <c r="C14" s="80">
        <v>201000</v>
      </c>
      <c r="D14" s="80">
        <v>357000</v>
      </c>
      <c r="E14" s="80">
        <v>1159000</v>
      </c>
      <c r="F14" s="80">
        <v>139202000</v>
      </c>
      <c r="G14" s="80">
        <v>21181000</v>
      </c>
      <c r="H14" s="91">
        <v>12015000</v>
      </c>
      <c r="I14" s="16"/>
    </row>
    <row r="15" spans="1:25" ht="15" customHeight="1">
      <c r="A15" s="92">
        <v>2019</v>
      </c>
      <c r="B15" s="80">
        <v>3060000</v>
      </c>
      <c r="C15" s="80">
        <v>205000</v>
      </c>
      <c r="D15" s="80">
        <v>309000</v>
      </c>
      <c r="E15" s="91">
        <v>1050000</v>
      </c>
      <c r="F15" s="80">
        <v>129451000</v>
      </c>
      <c r="G15" s="80">
        <v>21838000</v>
      </c>
      <c r="H15" s="91">
        <v>12577000</v>
      </c>
      <c r="I15" s="16"/>
    </row>
    <row r="16" spans="1:25" ht="15" customHeight="1">
      <c r="A16" s="92">
        <v>2020</v>
      </c>
      <c r="B16" s="91">
        <f>ROUND(3214035.05+0,-3)</f>
        <v>3214000</v>
      </c>
      <c r="C16" s="594">
        <f>ROUND(207801.87+0,-3)</f>
        <v>208000</v>
      </c>
      <c r="D16" s="594">
        <f>ROUND(365532.86,-3)</f>
        <v>366000</v>
      </c>
      <c r="E16" s="594">
        <f>ROUND(934707.14+0,-3)</f>
        <v>935000</v>
      </c>
      <c r="F16" s="91">
        <f>ROUND(131950330.82,-3)</f>
        <v>131950000</v>
      </c>
      <c r="G16" s="91">
        <f>ROUND(21687544.8,-3)</f>
        <v>21688000</v>
      </c>
      <c r="H16" s="594">
        <f>ROUND(7557161.83+0,-3)</f>
        <v>7557000</v>
      </c>
      <c r="I16" s="16"/>
    </row>
    <row r="17" spans="1:10" ht="15" customHeight="1">
      <c r="A17" s="92">
        <v>2021</v>
      </c>
      <c r="B17" s="91">
        <f>ROUND(2893448.35,-3)</f>
        <v>2893000</v>
      </c>
      <c r="C17" s="594">
        <f>ROUND(195393.74+0,-3)</f>
        <v>195000</v>
      </c>
      <c r="D17" s="594">
        <f>ROUND(353186.52,-3)</f>
        <v>353000</v>
      </c>
      <c r="E17" s="594">
        <f>ROUND(1362564.58,-3)</f>
        <v>1363000</v>
      </c>
      <c r="F17" s="91">
        <f>ROUND(234194399.6,-3)</f>
        <v>234194000</v>
      </c>
      <c r="G17" s="91">
        <f>ROUND(52437827.86,-3)</f>
        <v>52438000</v>
      </c>
      <c r="H17" s="594">
        <f>ROUND(7253196.86,-3)</f>
        <v>7253000</v>
      </c>
      <c r="I17" s="16"/>
    </row>
    <row r="18" spans="1:10">
      <c r="A18" s="596"/>
      <c r="B18" s="956"/>
      <c r="C18" s="956"/>
      <c r="D18" s="956"/>
      <c r="E18" s="956"/>
      <c r="F18" s="956"/>
      <c r="G18" s="956"/>
      <c r="H18" s="956"/>
      <c r="I18" s="661"/>
    </row>
    <row r="19" spans="1:10" s="1064" customFormat="1" ht="13.15" customHeight="1">
      <c r="A19" s="1129" t="s">
        <v>1164</v>
      </c>
      <c r="B19" s="1130"/>
      <c r="C19" s="1124"/>
      <c r="D19" s="1130"/>
      <c r="E19" s="1130"/>
      <c r="F19" s="1130"/>
      <c r="G19" s="1130"/>
      <c r="H19" s="1130"/>
      <c r="I19" s="1131"/>
    </row>
    <row r="20" spans="1:10" s="1064" customFormat="1" ht="29.25" customHeight="1">
      <c r="A20" s="1422" t="s">
        <v>1041</v>
      </c>
      <c r="B20" s="1423"/>
      <c r="C20" s="1423"/>
      <c r="D20" s="1423"/>
      <c r="E20" s="1423"/>
      <c r="F20" s="1423"/>
      <c r="G20" s="1423"/>
      <c r="H20" s="1423"/>
      <c r="I20" s="1423"/>
      <c r="J20" s="1292"/>
    </row>
    <row r="21" spans="1:10" s="1064" customFormat="1" ht="26.25" customHeight="1">
      <c r="A21" s="1422" t="s">
        <v>1201</v>
      </c>
      <c r="B21" s="1423"/>
      <c r="C21" s="1423"/>
      <c r="D21" s="1423"/>
      <c r="E21" s="1423"/>
      <c r="F21" s="1423"/>
      <c r="G21" s="1423"/>
      <c r="H21" s="1423"/>
      <c r="I21" s="1423"/>
      <c r="J21" s="1292"/>
    </row>
    <row r="22" spans="1:10" s="1064" customFormat="1" ht="39.950000000000003" customHeight="1">
      <c r="A22" s="1422" t="s">
        <v>1180</v>
      </c>
      <c r="B22" s="1423"/>
      <c r="C22" s="1423"/>
      <c r="D22" s="1423"/>
      <c r="E22" s="1423"/>
      <c r="F22" s="1423"/>
      <c r="G22" s="1423"/>
      <c r="H22" s="1423"/>
      <c r="I22" s="1423"/>
      <c r="J22" s="1292"/>
    </row>
    <row r="23" spans="1:10" s="1064" customFormat="1" ht="27" customHeight="1">
      <c r="A23" s="1422" t="s">
        <v>211</v>
      </c>
      <c r="B23" s="1423"/>
      <c r="C23" s="1423"/>
      <c r="D23" s="1423"/>
      <c r="E23" s="1423"/>
      <c r="F23" s="1423"/>
      <c r="G23" s="1423"/>
      <c r="H23" s="1423"/>
      <c r="I23" s="1423"/>
      <c r="J23" s="1292"/>
    </row>
    <row r="24" spans="1:10" s="1064" customFormat="1" ht="41.25" customHeight="1">
      <c r="A24" s="1419" t="s">
        <v>1199</v>
      </c>
      <c r="B24" s="1423"/>
      <c r="C24" s="1423"/>
      <c r="D24" s="1423"/>
      <c r="E24" s="1423"/>
      <c r="F24" s="1423"/>
      <c r="G24" s="1423"/>
      <c r="H24" s="1423"/>
      <c r="I24" s="1423"/>
      <c r="J24" s="1292"/>
    </row>
    <row r="25" spans="1:10" s="1064" customFormat="1" ht="54" customHeight="1">
      <c r="A25" s="1422" t="s">
        <v>1200</v>
      </c>
      <c r="B25" s="1423"/>
      <c r="C25" s="1423"/>
      <c r="D25" s="1423"/>
      <c r="E25" s="1423"/>
      <c r="F25" s="1423"/>
      <c r="G25" s="1423"/>
      <c r="H25" s="1423"/>
      <c r="I25" s="1423"/>
      <c r="J25" s="1292"/>
    </row>
    <row r="26" spans="1:10" s="1064" customFormat="1" ht="27" customHeight="1">
      <c r="A26" s="1422" t="s">
        <v>914</v>
      </c>
      <c r="B26" s="1423"/>
      <c r="C26" s="1423"/>
      <c r="D26" s="1423"/>
      <c r="E26" s="1423"/>
      <c r="F26" s="1423"/>
      <c r="G26" s="1423"/>
      <c r="H26" s="1423"/>
      <c r="I26" s="1423"/>
      <c r="J26" s="1292"/>
    </row>
    <row r="27" spans="1:10" ht="18">
      <c r="A27" s="93" t="s">
        <v>301</v>
      </c>
      <c r="B27" s="9"/>
      <c r="C27" s="9"/>
      <c r="D27" s="9"/>
      <c r="E27" s="9"/>
      <c r="F27" s="11"/>
      <c r="G27" s="9"/>
      <c r="H27" s="9"/>
    </row>
    <row r="28" spans="1:10" ht="15.75">
      <c r="A28" s="5" t="s">
        <v>854</v>
      </c>
      <c r="B28" s="9"/>
      <c r="C28" s="9"/>
      <c r="D28" s="9"/>
      <c r="E28" s="9"/>
      <c r="F28" s="11"/>
      <c r="G28" s="9"/>
      <c r="H28" s="9"/>
    </row>
    <row r="29" spans="1:10" ht="13.5" thickBot="1">
      <c r="A29" s="374"/>
      <c r="B29" s="9"/>
      <c r="C29" s="9"/>
      <c r="D29" s="9"/>
      <c r="E29" s="9"/>
      <c r="F29" s="9"/>
      <c r="G29" s="9"/>
      <c r="H29" s="9"/>
      <c r="I29" s="9"/>
    </row>
    <row r="30" spans="1:10" ht="15" customHeight="1" thickTop="1">
      <c r="A30" s="81"/>
      <c r="B30" s="84" t="s">
        <v>284</v>
      </c>
      <c r="C30" s="84" t="s">
        <v>314</v>
      </c>
      <c r="D30" s="84" t="s">
        <v>285</v>
      </c>
      <c r="E30" s="84" t="s">
        <v>286</v>
      </c>
      <c r="F30" s="84" t="s">
        <v>287</v>
      </c>
      <c r="G30" s="84" t="s">
        <v>288</v>
      </c>
      <c r="H30" s="84" t="s">
        <v>315</v>
      </c>
      <c r="I30" s="84" t="s">
        <v>313</v>
      </c>
    </row>
    <row r="31" spans="1:10" ht="15" customHeight="1">
      <c r="A31" s="87" t="s">
        <v>33</v>
      </c>
      <c r="B31" s="87" t="s">
        <v>21</v>
      </c>
      <c r="C31" s="87" t="s">
        <v>21</v>
      </c>
      <c r="D31" s="87" t="s">
        <v>289</v>
      </c>
      <c r="E31" s="87" t="s">
        <v>209</v>
      </c>
      <c r="F31" s="87" t="s">
        <v>199</v>
      </c>
      <c r="G31" s="1217" t="s">
        <v>21</v>
      </c>
      <c r="H31" s="87" t="s">
        <v>21</v>
      </c>
      <c r="I31" s="87" t="s">
        <v>21</v>
      </c>
    </row>
    <row r="32" spans="1:10" ht="15" hidden="1" customHeight="1">
      <c r="A32" s="89">
        <v>2010</v>
      </c>
      <c r="B32" s="358">
        <v>287000</v>
      </c>
      <c r="C32" s="358">
        <v>117000</v>
      </c>
      <c r="D32" s="358">
        <v>272000</v>
      </c>
      <c r="E32" s="358">
        <v>1875000</v>
      </c>
      <c r="F32" s="358">
        <v>200000</v>
      </c>
      <c r="G32" s="358">
        <v>994000</v>
      </c>
      <c r="H32" s="358">
        <v>11000</v>
      </c>
      <c r="I32" s="588">
        <v>115000</v>
      </c>
    </row>
    <row r="33" spans="1:11" ht="15" customHeight="1">
      <c r="A33" s="89">
        <v>2011</v>
      </c>
      <c r="B33" s="25">
        <v>240000</v>
      </c>
      <c r="C33" s="25">
        <v>103000</v>
      </c>
      <c r="D33" s="25">
        <v>192000</v>
      </c>
      <c r="E33" s="25">
        <v>1849000</v>
      </c>
      <c r="F33" s="25">
        <v>174000</v>
      </c>
      <c r="G33" s="25">
        <v>888000</v>
      </c>
      <c r="H33" s="25">
        <v>9000</v>
      </c>
      <c r="I33" s="751">
        <v>94000</v>
      </c>
      <c r="J33" s="271"/>
    </row>
    <row r="34" spans="1:11" ht="15" customHeight="1">
      <c r="A34" s="92">
        <v>2012</v>
      </c>
      <c r="B34" s="80">
        <v>301000</v>
      </c>
      <c r="C34" s="80">
        <v>131000</v>
      </c>
      <c r="D34" s="80">
        <v>537000</v>
      </c>
      <c r="E34" s="80">
        <v>1837000</v>
      </c>
      <c r="F34" s="80">
        <v>191000</v>
      </c>
      <c r="G34" s="80">
        <v>931000</v>
      </c>
      <c r="H34" s="80">
        <v>8000</v>
      </c>
      <c r="I34" s="751">
        <v>123000</v>
      </c>
      <c r="J34" s="271"/>
    </row>
    <row r="35" spans="1:11" ht="15" customHeight="1">
      <c r="A35" s="92">
        <v>2013</v>
      </c>
      <c r="B35" s="80">
        <v>291000</v>
      </c>
      <c r="C35" s="80">
        <v>168000</v>
      </c>
      <c r="D35" s="80">
        <v>500000</v>
      </c>
      <c r="E35" s="80">
        <v>2036000</v>
      </c>
      <c r="F35" s="80">
        <v>194000</v>
      </c>
      <c r="G35" s="80">
        <v>844000</v>
      </c>
      <c r="H35" s="80">
        <v>9000</v>
      </c>
      <c r="I35" s="80">
        <v>93000</v>
      </c>
      <c r="J35" s="271"/>
    </row>
    <row r="36" spans="1:11" ht="15" customHeight="1">
      <c r="A36" s="92">
        <v>2014</v>
      </c>
      <c r="B36" s="80">
        <v>401000</v>
      </c>
      <c r="C36" s="80">
        <v>129000</v>
      </c>
      <c r="D36" s="80">
        <v>516000</v>
      </c>
      <c r="E36" s="80">
        <v>2166000</v>
      </c>
      <c r="F36" s="80">
        <v>210000</v>
      </c>
      <c r="G36" s="80">
        <v>888000</v>
      </c>
      <c r="H36" s="80">
        <v>11000</v>
      </c>
      <c r="I36" s="80">
        <v>170000</v>
      </c>
      <c r="J36" s="271"/>
    </row>
    <row r="37" spans="1:11" ht="15" customHeight="1">
      <c r="A37" s="92">
        <v>2015</v>
      </c>
      <c r="B37" s="91">
        <v>375000</v>
      </c>
      <c r="C37" s="80">
        <v>192000</v>
      </c>
      <c r="D37" s="80">
        <v>439000</v>
      </c>
      <c r="E37" s="80">
        <v>2385000</v>
      </c>
      <c r="F37" s="80">
        <v>213000</v>
      </c>
      <c r="G37" s="80">
        <v>927000</v>
      </c>
      <c r="H37" s="80">
        <v>11000</v>
      </c>
      <c r="I37" s="80">
        <v>125000</v>
      </c>
      <c r="J37" s="271"/>
    </row>
    <row r="38" spans="1:11" ht="15" customHeight="1">
      <c r="A38" s="92">
        <v>2016</v>
      </c>
      <c r="B38" s="91">
        <v>401000</v>
      </c>
      <c r="C38" s="80">
        <v>126000</v>
      </c>
      <c r="D38" s="80">
        <v>291000</v>
      </c>
      <c r="E38" s="91">
        <v>2221000</v>
      </c>
      <c r="F38" s="80">
        <v>219000</v>
      </c>
      <c r="G38" s="80">
        <v>906000</v>
      </c>
      <c r="H38" s="80">
        <v>11000</v>
      </c>
      <c r="I38" s="91">
        <v>116000</v>
      </c>
      <c r="J38" s="271"/>
      <c r="K38" s="94"/>
    </row>
    <row r="39" spans="1:11" ht="15" customHeight="1">
      <c r="A39" s="92">
        <v>2017</v>
      </c>
      <c r="B39" s="91">
        <v>451000</v>
      </c>
      <c r="C39" s="80">
        <v>88000</v>
      </c>
      <c r="D39" s="80">
        <v>167000</v>
      </c>
      <c r="E39" s="91">
        <v>2583000</v>
      </c>
      <c r="F39" s="80">
        <v>174000</v>
      </c>
      <c r="G39" s="80">
        <v>1004000</v>
      </c>
      <c r="H39" s="80">
        <v>12000</v>
      </c>
      <c r="I39" s="91">
        <v>99000</v>
      </c>
      <c r="J39" s="271"/>
    </row>
    <row r="40" spans="1:11" ht="15" customHeight="1">
      <c r="A40" s="92">
        <v>2018</v>
      </c>
      <c r="B40" s="91">
        <v>395000</v>
      </c>
      <c r="C40" s="80">
        <v>173000</v>
      </c>
      <c r="D40" s="91">
        <v>173000</v>
      </c>
      <c r="E40" s="91">
        <v>2695000</v>
      </c>
      <c r="F40" s="80">
        <v>169000</v>
      </c>
      <c r="G40" s="80">
        <v>1109000</v>
      </c>
      <c r="H40" s="80">
        <v>12000</v>
      </c>
      <c r="I40" s="91">
        <v>121000</v>
      </c>
      <c r="J40" s="271"/>
    </row>
    <row r="41" spans="1:11" ht="15" customHeight="1">
      <c r="A41" s="92">
        <v>2019</v>
      </c>
      <c r="B41" s="91">
        <v>398000</v>
      </c>
      <c r="C41" s="80">
        <v>178000</v>
      </c>
      <c r="D41" s="91">
        <v>179000</v>
      </c>
      <c r="E41" s="91">
        <v>2604000</v>
      </c>
      <c r="F41" s="80">
        <v>175000</v>
      </c>
      <c r="G41" s="80">
        <v>664000</v>
      </c>
      <c r="H41" s="80">
        <v>12000</v>
      </c>
      <c r="I41" s="91">
        <v>90000</v>
      </c>
      <c r="J41" s="271"/>
    </row>
    <row r="42" spans="1:11" ht="15" customHeight="1">
      <c r="A42" s="92">
        <v>2020</v>
      </c>
      <c r="B42" s="91">
        <f>ROUND(460022.04+0,-3)</f>
        <v>460000</v>
      </c>
      <c r="C42" s="594">
        <f>ROUND(218257.13,-3)</f>
        <v>218000</v>
      </c>
      <c r="D42" s="91">
        <f>ROUND(142617.3+0,-3)</f>
        <v>143000</v>
      </c>
      <c r="E42" s="91">
        <f>ROUND(1840522.66+614428.88, -3)</f>
        <v>2455000</v>
      </c>
      <c r="F42" s="91">
        <f>ROUND(216842.49+0,-3)</f>
        <v>217000</v>
      </c>
      <c r="G42" s="91">
        <f>ROUND(878294.38+0,-3)</f>
        <v>878000</v>
      </c>
      <c r="H42" s="91">
        <f>ROUND(12296.11+0,-3)</f>
        <v>12000</v>
      </c>
      <c r="I42" s="91">
        <f>ROUND(87968.28,-3)</f>
        <v>88000</v>
      </c>
      <c r="J42" s="762" t="s">
        <v>1047</v>
      </c>
    </row>
    <row r="43" spans="1:11" ht="15" customHeight="1">
      <c r="A43" s="92">
        <v>2021</v>
      </c>
      <c r="B43" s="91">
        <f>ROUND(435319.53,-3)</f>
        <v>435000</v>
      </c>
      <c r="C43" s="594">
        <f>ROUND(114095.95,-3)</f>
        <v>114000</v>
      </c>
      <c r="D43" s="91">
        <f>ROUND(204881.54,-3)</f>
        <v>205000</v>
      </c>
      <c r="E43" s="91">
        <f>ROUND(2399547.09, -3)</f>
        <v>2400000</v>
      </c>
      <c r="F43" s="91">
        <f>ROUND(233425.8,-3)</f>
        <v>233000</v>
      </c>
      <c r="G43" s="91">
        <f>ROUND(1597402.6,-3)</f>
        <v>1597000</v>
      </c>
      <c r="H43" s="91">
        <f>ROUND(13309.03,-3)</f>
        <v>13000</v>
      </c>
      <c r="I43" s="91">
        <f>ROUND(81848.49,-3)</f>
        <v>82000</v>
      </c>
      <c r="J43" s="762" t="s">
        <v>1047</v>
      </c>
    </row>
    <row r="44" spans="1:11">
      <c r="A44" s="16"/>
      <c r="B44" s="956"/>
      <c r="C44" s="956"/>
      <c r="D44" s="956"/>
      <c r="E44" s="956"/>
      <c r="F44" s="956"/>
      <c r="G44" s="956"/>
      <c r="H44" s="956"/>
      <c r="I44" s="956"/>
      <c r="J44" s="663"/>
      <c r="K44" s="661"/>
    </row>
    <row r="45" spans="1:11" s="1064" customFormat="1" ht="13.5">
      <c r="A45" s="1064" t="s">
        <v>1165</v>
      </c>
      <c r="B45" s="1132"/>
      <c r="C45" s="1133"/>
      <c r="D45" s="1134"/>
      <c r="E45" s="1134"/>
      <c r="F45" s="1134"/>
      <c r="G45" s="1134"/>
      <c r="H45" s="1134"/>
      <c r="I45" s="1134"/>
      <c r="J45" s="1135"/>
      <c r="K45" s="1131"/>
    </row>
    <row r="46" spans="1:11" s="1064" customFormat="1" ht="15.75" customHeight="1">
      <c r="A46" s="1424" t="s">
        <v>290</v>
      </c>
      <c r="B46" s="1423"/>
      <c r="C46" s="1423"/>
      <c r="D46" s="1423"/>
      <c r="E46" s="1423"/>
      <c r="F46" s="1423"/>
      <c r="G46" s="1423"/>
      <c r="H46" s="1423"/>
      <c r="I46" s="1423"/>
      <c r="J46" s="1292"/>
      <c r="K46" s="1131"/>
    </row>
    <row r="47" spans="1:11" s="1064" customFormat="1" ht="27.75" customHeight="1">
      <c r="A47" s="1424" t="s">
        <v>912</v>
      </c>
      <c r="B47" s="1423"/>
      <c r="C47" s="1423"/>
      <c r="D47" s="1423"/>
      <c r="E47" s="1423"/>
      <c r="F47" s="1423"/>
      <c r="G47" s="1423"/>
      <c r="H47" s="1423"/>
      <c r="I47" s="1423"/>
      <c r="J47" s="1292"/>
    </row>
    <row r="48" spans="1:11" s="1064" customFormat="1" ht="28.5" customHeight="1">
      <c r="A48" s="1424" t="s">
        <v>291</v>
      </c>
      <c r="B48" s="1423"/>
      <c r="C48" s="1423"/>
      <c r="D48" s="1423"/>
      <c r="E48" s="1423"/>
      <c r="F48" s="1423"/>
      <c r="G48" s="1423"/>
      <c r="H48" s="1423"/>
      <c r="I48" s="1423"/>
      <c r="J48" s="1292"/>
    </row>
    <row r="49" spans="1:10" s="1064" customFormat="1" ht="28.5" customHeight="1">
      <c r="A49" s="1424" t="s">
        <v>292</v>
      </c>
      <c r="B49" s="1423"/>
      <c r="C49" s="1423"/>
      <c r="D49" s="1423"/>
      <c r="E49" s="1423"/>
      <c r="F49" s="1423"/>
      <c r="G49" s="1423"/>
      <c r="H49" s="1423"/>
      <c r="I49" s="1423"/>
      <c r="J49" s="1292"/>
    </row>
    <row r="50" spans="1:10" s="1064" customFormat="1" ht="28.5" customHeight="1">
      <c r="A50" s="1424" t="s">
        <v>293</v>
      </c>
      <c r="B50" s="1423"/>
      <c r="C50" s="1423"/>
      <c r="D50" s="1423"/>
      <c r="E50" s="1423"/>
      <c r="F50" s="1423"/>
      <c r="G50" s="1423"/>
      <c r="H50" s="1423"/>
      <c r="I50" s="1423"/>
      <c r="J50" s="1292"/>
    </row>
    <row r="51" spans="1:10" s="1064" customFormat="1" ht="42" customHeight="1">
      <c r="A51" s="1424" t="s">
        <v>1176</v>
      </c>
      <c r="B51" s="1423"/>
      <c r="C51" s="1423"/>
      <c r="D51" s="1423"/>
      <c r="E51" s="1423"/>
      <c r="F51" s="1423"/>
      <c r="G51" s="1423"/>
      <c r="H51" s="1423"/>
      <c r="I51" s="1423"/>
      <c r="J51" s="1292"/>
    </row>
    <row r="52" spans="1:10" s="1064" customFormat="1" ht="26.1" customHeight="1">
      <c r="A52" s="1424" t="s">
        <v>294</v>
      </c>
      <c r="B52" s="1423"/>
      <c r="C52" s="1423"/>
      <c r="D52" s="1423"/>
      <c r="E52" s="1423"/>
      <c r="F52" s="1423"/>
      <c r="G52" s="1423"/>
      <c r="H52" s="1423"/>
      <c r="I52" s="1423"/>
      <c r="J52" s="1292"/>
    </row>
    <row r="53" spans="1:10" s="1064" customFormat="1">
      <c r="A53" s="1424" t="s">
        <v>295</v>
      </c>
      <c r="B53" s="1423"/>
      <c r="C53" s="1423"/>
      <c r="D53" s="1423"/>
      <c r="E53" s="1423"/>
      <c r="F53" s="1423"/>
      <c r="G53" s="1423"/>
      <c r="H53" s="1423"/>
      <c r="I53" s="1423"/>
      <c r="J53" s="1292"/>
    </row>
    <row r="54" spans="1:10" s="1068" customFormat="1" ht="12.75" customHeight="1">
      <c r="A54" s="1120" t="s">
        <v>1155</v>
      </c>
      <c r="B54" s="1072"/>
      <c r="C54" s="1072"/>
      <c r="D54" s="1072"/>
      <c r="E54" s="1073"/>
    </row>
  </sheetData>
  <sortState columnSort="1" ref="K4:Y8">
    <sortCondition ref="K4:Y4"/>
  </sortState>
  <customSheetViews>
    <customSheetView guid="{E6BBE5A7-0B25-4EE8-BA45-5EA5DBAF3AD4}">
      <selection activeCell="F16" sqref="F16"/>
      <rowBreaks count="1" manualBreakCount="1">
        <brk id="25" max="16383" man="1"/>
      </rowBreaks>
      <pageMargins left="0.75" right="0.75" top="1" bottom="1" header="0.5" footer="0.5"/>
      <printOptions horizontalCentered="1"/>
      <pageSetup scale="88" orientation="landscape" r:id="rId1"/>
      <headerFooter alignWithMargins="0"/>
    </customSheetView>
  </customSheetViews>
  <mergeCells count="15">
    <mergeCell ref="A25:I25"/>
    <mergeCell ref="A50:I50"/>
    <mergeCell ref="A51:I51"/>
    <mergeCell ref="A52:I52"/>
    <mergeCell ref="A53:I53"/>
    <mergeCell ref="A26:I26"/>
    <mergeCell ref="A46:I46"/>
    <mergeCell ref="A47:I47"/>
    <mergeCell ref="A48:I48"/>
    <mergeCell ref="A49:I49"/>
    <mergeCell ref="A20:I20"/>
    <mergeCell ref="A21:I21"/>
    <mergeCell ref="A22:I22"/>
    <mergeCell ref="A23:I23"/>
    <mergeCell ref="A24:I24"/>
  </mergeCells>
  <phoneticPr fontId="11" type="noConversion"/>
  <hyperlinks>
    <hyperlink ref="K1" location="TOC!A1" display="Back"/>
  </hyperlinks>
  <pageMargins left="0.6" right="0.25" top="0.5" bottom="0.25" header="0.25" footer="0"/>
  <pageSetup orientation="landscape" r:id="rId2"/>
  <headerFooter scaleWithDoc="0">
    <oddHeader>&amp;R&amp;P</oddHeader>
  </headerFooter>
  <rowBreaks count="1" manualBreakCount="1">
    <brk id="26" max="16383" man="1"/>
  </row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pageSetUpPr fitToPage="1"/>
  </sheetPr>
  <dimension ref="A1:H49"/>
  <sheetViews>
    <sheetView zoomScaleNormal="100" workbookViewId="0"/>
  </sheetViews>
  <sheetFormatPr defaultColWidth="9.28515625" defaultRowHeight="12.75"/>
  <cols>
    <col min="1" max="1" width="26" style="616" customWidth="1"/>
    <col min="2" max="2" width="27.28515625" style="616" customWidth="1"/>
    <col min="3" max="3" width="22.140625" style="616" customWidth="1"/>
    <col min="4" max="5" width="16.42578125" style="616" bestFit="1" customWidth="1"/>
    <col min="6" max="6" width="18.140625" style="616" bestFit="1" customWidth="1"/>
    <col min="7" max="7" width="2.7109375" style="616" customWidth="1"/>
    <col min="8" max="8" width="5.28515625" style="616" bestFit="1" customWidth="1"/>
    <col min="9" max="16384" width="9.28515625" style="616"/>
  </cols>
  <sheetData>
    <row r="1" spans="1:8" ht="18">
      <c r="A1" s="602" t="s">
        <v>342</v>
      </c>
      <c r="B1" s="602"/>
      <c r="C1" s="602"/>
      <c r="H1" s="1276" t="s">
        <v>1194</v>
      </c>
    </row>
    <row r="2" spans="1:8" ht="15.75">
      <c r="A2" s="617" t="s">
        <v>1077</v>
      </c>
      <c r="B2" s="617"/>
      <c r="C2" s="617"/>
    </row>
    <row r="3" spans="1:8" ht="6" customHeight="1"/>
    <row r="4" spans="1:8">
      <c r="A4" s="124"/>
      <c r="B4" s="124"/>
      <c r="C4" s="124"/>
      <c r="D4" s="125" t="s">
        <v>343</v>
      </c>
      <c r="E4" s="125" t="s">
        <v>344</v>
      </c>
      <c r="F4" s="125" t="s">
        <v>17</v>
      </c>
    </row>
    <row r="5" spans="1:8">
      <c r="A5" s="126" t="s">
        <v>345</v>
      </c>
      <c r="B5" s="126"/>
      <c r="C5" s="126"/>
      <c r="D5" s="127">
        <v>688301552711</v>
      </c>
      <c r="E5" s="128">
        <v>523052545049</v>
      </c>
      <c r="F5" s="127">
        <f>SUM(D5:E5)</f>
        <v>1211354097760</v>
      </c>
    </row>
    <row r="6" spans="1:8">
      <c r="A6" s="643" t="s">
        <v>906</v>
      </c>
      <c r="B6" s="129"/>
      <c r="C6" s="129"/>
      <c r="D6" s="130">
        <v>31556453220</v>
      </c>
      <c r="E6" s="131">
        <v>17958878486</v>
      </c>
      <c r="F6" s="130">
        <f t="shared" ref="F6:F14" si="0">D6+E6</f>
        <v>49515331706</v>
      </c>
    </row>
    <row r="7" spans="1:8">
      <c r="A7" s="129" t="s">
        <v>346</v>
      </c>
      <c r="B7" s="129"/>
      <c r="C7" s="129"/>
      <c r="D7" s="130">
        <v>-2460591806</v>
      </c>
      <c r="E7" s="131">
        <v>0</v>
      </c>
      <c r="F7" s="130">
        <f t="shared" si="0"/>
        <v>-2460591806</v>
      </c>
      <c r="G7" s="618"/>
    </row>
    <row r="8" spans="1:8">
      <c r="A8" s="126" t="s">
        <v>347</v>
      </c>
      <c r="B8" s="126"/>
      <c r="C8" s="126"/>
      <c r="D8" s="130">
        <v>43062644599</v>
      </c>
      <c r="E8" s="131">
        <v>19001961980</v>
      </c>
      <c r="F8" s="130">
        <f t="shared" si="0"/>
        <v>62064606579</v>
      </c>
    </row>
    <row r="9" spans="1:8">
      <c r="A9" s="616" t="s">
        <v>348</v>
      </c>
      <c r="D9" s="130">
        <v>277175595497</v>
      </c>
      <c r="E9" s="131">
        <v>148180812131</v>
      </c>
      <c r="F9" s="130">
        <f t="shared" si="0"/>
        <v>425356407628</v>
      </c>
    </row>
    <row r="10" spans="1:8">
      <c r="A10" s="616" t="s">
        <v>349</v>
      </c>
      <c r="D10" s="130">
        <v>79733889062</v>
      </c>
      <c r="E10" s="131">
        <v>95871982372</v>
      </c>
      <c r="F10" s="130">
        <f t="shared" si="0"/>
        <v>175605871434</v>
      </c>
    </row>
    <row r="11" spans="1:8">
      <c r="A11" s="644" t="s">
        <v>907</v>
      </c>
      <c r="B11" s="126"/>
      <c r="C11" s="126"/>
      <c r="D11" s="131"/>
      <c r="E11" s="131">
        <v>2617000000</v>
      </c>
      <c r="F11" s="130">
        <f t="shared" si="0"/>
        <v>2617000000</v>
      </c>
    </row>
    <row r="12" spans="1:8">
      <c r="A12" s="644" t="s">
        <v>908</v>
      </c>
      <c r="B12" s="126"/>
      <c r="C12" s="126"/>
      <c r="D12" s="130">
        <v>317425284967</v>
      </c>
      <c r="E12" s="130">
        <v>275339667052</v>
      </c>
      <c r="F12" s="130">
        <f t="shared" si="0"/>
        <v>592764952019</v>
      </c>
    </row>
    <row r="13" spans="1:8">
      <c r="A13" s="126" t="s">
        <v>350</v>
      </c>
      <c r="B13" s="126"/>
      <c r="C13" s="126"/>
      <c r="D13" s="130">
        <v>17688822197.500603</v>
      </c>
      <c r="E13" s="131">
        <v>14872122364.960413</v>
      </c>
      <c r="F13" s="130">
        <f t="shared" si="0"/>
        <v>32560944562.461014</v>
      </c>
    </row>
    <row r="14" spans="1:8">
      <c r="A14" s="126" t="s">
        <v>351</v>
      </c>
      <c r="B14" s="126"/>
      <c r="C14" s="126"/>
      <c r="D14" s="130">
        <v>1878761668</v>
      </c>
      <c r="E14" s="619">
        <v>1937809942</v>
      </c>
      <c r="F14" s="130">
        <f t="shared" si="0"/>
        <v>3816571610</v>
      </c>
    </row>
    <row r="15" spans="1:8">
      <c r="A15" s="126" t="s">
        <v>352</v>
      </c>
      <c r="B15" s="126"/>
      <c r="C15" s="126"/>
      <c r="D15" s="130">
        <v>763811351</v>
      </c>
      <c r="E15" s="619">
        <v>841605742</v>
      </c>
      <c r="F15" s="428">
        <f>D15+E15</f>
        <v>1605417093</v>
      </c>
    </row>
    <row r="16" spans="1:8">
      <c r="A16" s="132" t="s">
        <v>353</v>
      </c>
      <c r="B16" s="132"/>
      <c r="C16" s="132"/>
      <c r="D16" s="133">
        <f>D13-D14-D15</f>
        <v>15046249178.500603</v>
      </c>
      <c r="E16" s="133">
        <f>E13-E14-E15</f>
        <v>12092706680.960413</v>
      </c>
      <c r="F16" s="134">
        <f>SUM(D16:E16)</f>
        <v>27138955859.461014</v>
      </c>
    </row>
    <row r="17" spans="1:7" ht="8.1" customHeight="1">
      <c r="A17" s="126"/>
      <c r="B17" s="126"/>
      <c r="C17" s="126"/>
      <c r="D17" s="135"/>
      <c r="E17" s="128"/>
      <c r="F17" s="127"/>
    </row>
    <row r="18" spans="1:7" ht="8.1" customHeight="1">
      <c r="A18" s="136"/>
      <c r="B18" s="136"/>
      <c r="C18" s="136"/>
      <c r="D18" s="127"/>
      <c r="E18" s="128"/>
      <c r="F18" s="127"/>
    </row>
    <row r="19" spans="1:7">
      <c r="A19" s="126" t="s">
        <v>52</v>
      </c>
      <c r="B19" s="126"/>
      <c r="C19" s="126"/>
      <c r="D19" s="127">
        <v>58332400.485006094</v>
      </c>
      <c r="E19" s="620">
        <v>100154727.22103541</v>
      </c>
      <c r="F19" s="127">
        <f>D19+E19</f>
        <v>158487127.70604151</v>
      </c>
    </row>
    <row r="20" spans="1:7">
      <c r="A20" s="126" t="s">
        <v>354</v>
      </c>
      <c r="B20" s="126"/>
      <c r="C20" s="126"/>
      <c r="D20" s="130">
        <v>46665920.388004854</v>
      </c>
      <c r="E20" s="130">
        <v>80123781.17682834</v>
      </c>
      <c r="F20" s="130">
        <f>D20+E20</f>
        <v>126789701.56483319</v>
      </c>
    </row>
    <row r="21" spans="1:7">
      <c r="A21" s="136" t="s">
        <v>355</v>
      </c>
      <c r="B21" s="126"/>
      <c r="C21" s="126"/>
      <c r="D21" s="130"/>
      <c r="E21" s="130"/>
      <c r="F21" s="130"/>
    </row>
    <row r="22" spans="1:7">
      <c r="A22" s="644" t="s">
        <v>877</v>
      </c>
      <c r="B22" s="126"/>
      <c r="C22" s="126"/>
      <c r="D22" s="130">
        <v>16975</v>
      </c>
      <c r="E22" s="130">
        <v>292170</v>
      </c>
      <c r="F22" s="130">
        <f>D22+E22</f>
        <v>309145</v>
      </c>
    </row>
    <row r="23" spans="1:7">
      <c r="A23" s="644" t="s">
        <v>909</v>
      </c>
      <c r="B23" s="126"/>
      <c r="C23" s="126"/>
      <c r="D23" s="130">
        <v>0</v>
      </c>
      <c r="E23" s="130">
        <v>0</v>
      </c>
      <c r="F23" s="130">
        <f t="shared" ref="F23:F27" si="1">D23+E23</f>
        <v>0</v>
      </c>
    </row>
    <row r="24" spans="1:7">
      <c r="A24" s="616" t="s">
        <v>356</v>
      </c>
      <c r="D24" s="278">
        <v>1638000</v>
      </c>
      <c r="E24" s="130">
        <v>0</v>
      </c>
      <c r="F24" s="130">
        <f t="shared" si="1"/>
        <v>1638000</v>
      </c>
      <c r="G24" s="618"/>
    </row>
    <row r="25" spans="1:7">
      <c r="A25" s="616" t="s">
        <v>298</v>
      </c>
      <c r="D25" s="278">
        <v>310149</v>
      </c>
      <c r="E25" s="621">
        <v>0</v>
      </c>
      <c r="F25" s="130">
        <f>D25+E25</f>
        <v>310149</v>
      </c>
    </row>
    <row r="26" spans="1:7">
      <c r="A26" s="645" t="s">
        <v>910</v>
      </c>
      <c r="D26" s="278">
        <v>0</v>
      </c>
      <c r="E26" s="130">
        <v>0</v>
      </c>
      <c r="F26" s="130">
        <f t="shared" si="1"/>
        <v>0</v>
      </c>
    </row>
    <row r="27" spans="1:7" ht="12.75" hidden="1" customHeight="1">
      <c r="A27" s="645" t="s">
        <v>911</v>
      </c>
      <c r="D27" s="278">
        <v>0</v>
      </c>
      <c r="E27" s="130">
        <v>0</v>
      </c>
      <c r="F27" s="130">
        <f t="shared" si="1"/>
        <v>0</v>
      </c>
    </row>
    <row r="28" spans="1:7">
      <c r="A28" s="616" t="s">
        <v>874</v>
      </c>
      <c r="D28" s="278">
        <v>0</v>
      </c>
      <c r="E28" s="130">
        <v>104000</v>
      </c>
      <c r="F28" s="130">
        <f>D28+E28</f>
        <v>104000</v>
      </c>
      <c r="G28" s="702"/>
    </row>
    <row r="29" spans="1:7">
      <c r="A29" s="622" t="s">
        <v>357</v>
      </c>
      <c r="B29" s="622"/>
      <c r="C29" s="622"/>
      <c r="D29" s="348">
        <f>D19-D20-D22-D23-D24-D25-D26-D27-D28</f>
        <v>9701356.0970012397</v>
      </c>
      <c r="E29" s="348">
        <f>E19-E20-E22-E23-E24-E25-E26-E27-E28</f>
        <v>19634776.044207066</v>
      </c>
      <c r="F29" s="137">
        <f>SUM(D29:E29)</f>
        <v>29336132.141208306</v>
      </c>
    </row>
    <row r="30" spans="1:7" ht="8.1" customHeight="1"/>
    <row r="31" spans="1:7" ht="8.1" customHeight="1"/>
    <row r="32" spans="1:7" ht="18">
      <c r="A32" s="623" t="s">
        <v>358</v>
      </c>
      <c r="B32" s="623"/>
      <c r="C32" s="623"/>
      <c r="D32" s="624"/>
      <c r="E32" s="624"/>
      <c r="F32" s="625"/>
      <c r="G32" s="625"/>
    </row>
    <row r="33" spans="1:7" ht="15.75">
      <c r="A33" s="626" t="s">
        <v>359</v>
      </c>
      <c r="B33" s="626"/>
      <c r="C33" s="626"/>
      <c r="D33" s="627"/>
      <c r="E33" s="627"/>
      <c r="F33" s="625"/>
      <c r="G33" s="625"/>
    </row>
    <row r="34" spans="1:7" ht="9" customHeight="1" thickBot="1">
      <c r="A34" s="628"/>
      <c r="B34" s="628"/>
      <c r="C34" s="628"/>
      <c r="D34" s="627"/>
      <c r="E34" s="627"/>
      <c r="F34" s="625"/>
      <c r="G34" s="625"/>
    </row>
    <row r="35" spans="1:7" ht="15.95" customHeight="1">
      <c r="A35" s="1074" t="s">
        <v>33</v>
      </c>
      <c r="B35" s="1074" t="s">
        <v>360</v>
      </c>
      <c r="C35" s="629"/>
      <c r="D35" s="630"/>
      <c r="E35" s="629"/>
      <c r="F35" s="625"/>
      <c r="G35" s="625"/>
    </row>
    <row r="36" spans="1:7">
      <c r="A36" s="631">
        <v>2016</v>
      </c>
      <c r="B36" s="1075">
        <v>21142000</v>
      </c>
      <c r="C36" s="631"/>
      <c r="E36" s="632"/>
      <c r="F36" s="625"/>
      <c r="G36" s="625"/>
    </row>
    <row r="37" spans="1:7">
      <c r="A37" s="631">
        <v>2017</v>
      </c>
      <c r="B37" s="1076">
        <v>23068000</v>
      </c>
      <c r="C37" s="631"/>
      <c r="E37" s="632"/>
      <c r="F37" s="625"/>
      <c r="G37" s="625"/>
    </row>
    <row r="38" spans="1:7">
      <c r="A38" s="631">
        <v>2018</v>
      </c>
      <c r="B38" s="1076">
        <v>23724800</v>
      </c>
      <c r="C38" s="631"/>
      <c r="E38" s="632"/>
      <c r="F38" s="625"/>
      <c r="G38" s="625"/>
    </row>
    <row r="39" spans="1:7">
      <c r="A39" s="631">
        <v>2019</v>
      </c>
      <c r="B39" s="1076">
        <v>29641360</v>
      </c>
      <c r="C39" s="625"/>
      <c r="D39" s="625"/>
      <c r="E39" s="625"/>
      <c r="F39" s="625"/>
      <c r="G39" s="625"/>
    </row>
    <row r="40" spans="1:7">
      <c r="A40" s="631">
        <v>2020</v>
      </c>
      <c r="B40" s="1076">
        <v>25949060</v>
      </c>
      <c r="C40" s="625"/>
      <c r="D40" s="625"/>
      <c r="E40" s="625"/>
      <c r="F40" s="625"/>
      <c r="G40" s="625"/>
    </row>
    <row r="41" spans="1:7">
      <c r="A41" s="631">
        <v>2021</v>
      </c>
      <c r="B41" s="1076">
        <f>ROUND(F29,-1)</f>
        <v>29336130</v>
      </c>
      <c r="C41" s="625"/>
      <c r="D41" s="625"/>
      <c r="E41" s="625"/>
      <c r="F41" s="625"/>
      <c r="G41" s="625"/>
    </row>
    <row r="42" spans="1:7">
      <c r="B42" s="667"/>
    </row>
    <row r="49" spans="1:5" s="1068" customFormat="1" ht="12.75" customHeight="1">
      <c r="A49" s="1120" t="s">
        <v>1151</v>
      </c>
      <c r="B49" s="1072"/>
      <c r="C49" s="1072"/>
      <c r="D49" s="1072"/>
      <c r="E49" s="1073"/>
    </row>
  </sheetData>
  <customSheetViews>
    <customSheetView guid="{E6BBE5A7-0B25-4EE8-BA45-5EA5DBAF3AD4}" showPageBreaks="1" printArea="1">
      <selection activeCell="A43" sqref="A43"/>
      <pageMargins left="0.75" right="0.75" top="1" bottom="1" header="0.5" footer="0.5"/>
      <printOptions horizontalCentered="1"/>
      <pageSetup scale="81" orientation="landscape" r:id="rId1"/>
      <headerFooter alignWithMargins="0"/>
    </customSheetView>
  </customSheetViews>
  <hyperlinks>
    <hyperlink ref="H1" location="TOC!A1" display="Back"/>
  </hyperlinks>
  <pageMargins left="0.5" right="0.25" top="0.3" bottom="0.25" header="0.25" footer="0.25"/>
  <pageSetup orientation="landscape" r:id="rId2"/>
  <headerFooter scaleWithDoc="0">
    <oddHeader>&amp;R&amp;P</oddHeader>
  </headerFooter>
  <drawing r:id="rId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A1:H161"/>
  <sheetViews>
    <sheetView zoomScaleNormal="100" zoomScaleSheetLayoutView="90" workbookViewId="0">
      <pane ySplit="7485" topLeftCell="A148"/>
      <selection pane="bottomLeft" activeCell="C156" sqref="C156:G156"/>
    </sheetView>
  </sheetViews>
  <sheetFormatPr defaultColWidth="11.28515625" defaultRowHeight="12.75"/>
  <cols>
    <col min="1" max="1" width="22.85546875" style="158" customWidth="1"/>
    <col min="2" max="2" width="13.7109375" style="158" hidden="1" customWidth="1"/>
    <col min="3" max="5" width="13.7109375" style="158" customWidth="1"/>
    <col min="6" max="7" width="13.7109375" style="287" customWidth="1"/>
    <col min="8" max="8" width="12.28515625" style="158" bestFit="1" customWidth="1"/>
    <col min="9" max="16384" width="11.28515625" style="158"/>
  </cols>
  <sheetData>
    <row r="1" spans="1:8" s="567" customFormat="1" ht="17.45" customHeight="1">
      <c r="A1" s="566" t="s">
        <v>670</v>
      </c>
      <c r="B1" s="566"/>
      <c r="C1" s="566"/>
      <c r="D1" s="566"/>
      <c r="F1" s="568"/>
      <c r="G1" s="568"/>
      <c r="H1" s="1276" t="s">
        <v>1194</v>
      </c>
    </row>
    <row r="2" spans="1:8" s="567" customFormat="1" ht="15.6" customHeight="1">
      <c r="A2" s="569" t="s">
        <v>946</v>
      </c>
      <c r="B2" s="569"/>
      <c r="C2" s="569"/>
      <c r="D2" s="569"/>
      <c r="F2" s="568"/>
      <c r="G2" s="568"/>
    </row>
    <row r="3" spans="1:8" s="567" customFormat="1" ht="13.5" thickBot="1">
      <c r="A3" s="538"/>
      <c r="B3" s="570"/>
      <c r="C3" s="570"/>
      <c r="D3" s="570"/>
      <c r="F3" s="568"/>
      <c r="G3" s="568"/>
    </row>
    <row r="4" spans="1:8" ht="26.25" thickTop="1">
      <c r="A4" s="887" t="s">
        <v>23</v>
      </c>
      <c r="B4" s="888" t="s">
        <v>1078</v>
      </c>
      <c r="C4" s="888" t="s">
        <v>1079</v>
      </c>
      <c r="D4" s="888" t="s">
        <v>1080</v>
      </c>
      <c r="E4" s="888" t="s">
        <v>1081</v>
      </c>
      <c r="F4" s="888" t="s">
        <v>1082</v>
      </c>
      <c r="G4" s="888" t="s">
        <v>1106</v>
      </c>
    </row>
    <row r="5" spans="1:8" ht="24" customHeight="1">
      <c r="A5" s="573" t="s">
        <v>64</v>
      </c>
      <c r="B5" s="574">
        <v>831479.45</v>
      </c>
      <c r="C5" s="574">
        <v>936339.46999999962</v>
      </c>
      <c r="D5" s="287">
        <v>916004.78999999992</v>
      </c>
      <c r="E5" s="287">
        <v>1023735.09</v>
      </c>
      <c r="F5" s="287">
        <v>1085444.9900000002</v>
      </c>
      <c r="G5" s="1343">
        <v>1609351.0699999998</v>
      </c>
    </row>
    <row r="6" spans="1:8">
      <c r="A6" s="156" t="s">
        <v>66</v>
      </c>
      <c r="B6" s="157">
        <v>5661987.8499999996</v>
      </c>
      <c r="C6" s="157">
        <v>7023475.7599999998</v>
      </c>
      <c r="D6" s="285">
        <v>7310466.5799999982</v>
      </c>
      <c r="E6" s="285">
        <v>6783830.5199999996</v>
      </c>
      <c r="F6" s="285">
        <v>7677069.2299999986</v>
      </c>
      <c r="G6" s="1344">
        <v>10783141.449999997</v>
      </c>
    </row>
    <row r="7" spans="1:8">
      <c r="A7" s="156" t="s">
        <v>68</v>
      </c>
      <c r="B7" s="157">
        <v>208395.54</v>
      </c>
      <c r="C7" s="157">
        <v>215503.89000000007</v>
      </c>
      <c r="D7" s="285">
        <v>184885.83</v>
      </c>
      <c r="E7" s="285">
        <v>203069.11</v>
      </c>
      <c r="F7" s="285">
        <v>291456.63</v>
      </c>
      <c r="G7" s="1344">
        <v>322369.33000000007</v>
      </c>
    </row>
    <row r="8" spans="1:8">
      <c r="A8" s="156" t="s">
        <v>70</v>
      </c>
      <c r="B8" s="157">
        <v>328832.78999999998</v>
      </c>
      <c r="C8" s="157">
        <v>319416.68999999994</v>
      </c>
      <c r="D8" s="285">
        <v>343579.66000000003</v>
      </c>
      <c r="E8" s="285">
        <v>365922.63</v>
      </c>
      <c r="F8" s="285">
        <v>410504.98999999993</v>
      </c>
      <c r="G8" s="1344">
        <v>560960.31000000017</v>
      </c>
    </row>
    <row r="9" spans="1:8">
      <c r="A9" s="156" t="s">
        <v>72</v>
      </c>
      <c r="B9" s="157">
        <v>531758.03</v>
      </c>
      <c r="C9" s="157">
        <v>613571.77</v>
      </c>
      <c r="D9" s="285">
        <v>608204.8600000001</v>
      </c>
      <c r="E9" s="285">
        <v>604215.96</v>
      </c>
      <c r="F9" s="285">
        <v>777235.10999999964</v>
      </c>
      <c r="G9" s="1344">
        <v>989743.54000000015</v>
      </c>
    </row>
    <row r="10" spans="1:8" ht="24" customHeight="1">
      <c r="A10" s="156" t="s">
        <v>74</v>
      </c>
      <c r="B10" s="157">
        <v>322942.42</v>
      </c>
      <c r="C10" s="157">
        <v>271536.62</v>
      </c>
      <c r="D10" s="285">
        <v>329293.32999999996</v>
      </c>
      <c r="E10" s="285">
        <v>312322.24</v>
      </c>
      <c r="F10" s="285">
        <v>428932.31999999989</v>
      </c>
      <c r="G10" s="1344">
        <v>542059.07999999996</v>
      </c>
    </row>
    <row r="11" spans="1:8">
      <c r="A11" s="156" t="s">
        <v>76</v>
      </c>
      <c r="B11" s="157">
        <v>21478308.510000005</v>
      </c>
      <c r="C11" s="157">
        <v>23803234.229999993</v>
      </c>
      <c r="D11" s="285">
        <v>21160588.409999996</v>
      </c>
      <c r="E11" s="285">
        <v>20140024.699999999</v>
      </c>
      <c r="F11" s="285">
        <v>22966291.539999992</v>
      </c>
      <c r="G11" s="1344">
        <v>31465024.089999992</v>
      </c>
    </row>
    <row r="12" spans="1:8">
      <c r="A12" s="156" t="s">
        <v>78</v>
      </c>
      <c r="B12" s="157">
        <v>1949753.3000000007</v>
      </c>
      <c r="C12" s="157">
        <v>2058250.6</v>
      </c>
      <c r="D12" s="285">
        <v>2055632.9099999992</v>
      </c>
      <c r="E12" s="285">
        <v>2172761</v>
      </c>
      <c r="F12" s="285">
        <v>2555788.8899999997</v>
      </c>
      <c r="G12" s="1344">
        <v>3846710.2800000012</v>
      </c>
    </row>
    <row r="13" spans="1:8">
      <c r="A13" s="156" t="s">
        <v>80</v>
      </c>
      <c r="B13" s="157">
        <v>101603.80000000002</v>
      </c>
      <c r="C13" s="157">
        <v>106982.51000000001</v>
      </c>
      <c r="D13" s="285">
        <v>1219904.4300000002</v>
      </c>
      <c r="E13" s="285">
        <v>114319.87</v>
      </c>
      <c r="F13" s="708">
        <v>99799.599999999991</v>
      </c>
      <c r="G13" s="1345">
        <v>180720.59999999998</v>
      </c>
      <c r="H13" s="286"/>
    </row>
    <row r="14" spans="1:8">
      <c r="A14" s="575" t="s">
        <v>434</v>
      </c>
      <c r="B14" s="157">
        <v>2843846.6799999988</v>
      </c>
      <c r="C14" s="157">
        <v>2872650.33</v>
      </c>
      <c r="D14" s="285">
        <v>2970564.3899999978</v>
      </c>
      <c r="E14" s="285">
        <v>2831336.91</v>
      </c>
      <c r="F14" s="394">
        <v>3621182.8</v>
      </c>
      <c r="G14" s="1344">
        <v>5303106.5399999991</v>
      </c>
    </row>
    <row r="15" spans="1:8" ht="24" customHeight="1">
      <c r="A15" s="156" t="s">
        <v>83</v>
      </c>
      <c r="B15" s="157">
        <v>78500.430000000008</v>
      </c>
      <c r="C15" s="157">
        <v>84150.73000000001</v>
      </c>
      <c r="D15" s="285">
        <v>71337.399999999994</v>
      </c>
      <c r="E15" s="285">
        <v>76614.27</v>
      </c>
      <c r="F15" s="285">
        <v>69992.200000000012</v>
      </c>
      <c r="G15" s="1344">
        <v>124373.18999999999</v>
      </c>
    </row>
    <row r="16" spans="1:8">
      <c r="A16" s="156" t="s">
        <v>85</v>
      </c>
      <c r="B16" s="157">
        <v>993600.6100000001</v>
      </c>
      <c r="C16" s="157">
        <v>1155290.2599999993</v>
      </c>
      <c r="D16" s="285">
        <v>1198286.6199999996</v>
      </c>
      <c r="E16" s="285">
        <v>1237799.42</v>
      </c>
      <c r="F16" s="285">
        <v>1384786.9600000004</v>
      </c>
      <c r="G16" s="1344">
        <v>1881261.92</v>
      </c>
    </row>
    <row r="17" spans="1:8">
      <c r="A17" s="156" t="s">
        <v>87</v>
      </c>
      <c r="B17" s="157">
        <v>181178.00999999995</v>
      </c>
      <c r="C17" s="157">
        <v>219097.33000000002</v>
      </c>
      <c r="D17" s="285">
        <v>568169.97</v>
      </c>
      <c r="E17" s="285">
        <v>238211.51</v>
      </c>
      <c r="F17" s="285">
        <v>338735.82</v>
      </c>
      <c r="G17" s="1344">
        <v>372658.97000000009</v>
      </c>
      <c r="H17" s="286"/>
    </row>
    <row r="18" spans="1:8">
      <c r="A18" s="156" t="s">
        <v>89</v>
      </c>
      <c r="B18" s="157">
        <v>342363.61</v>
      </c>
      <c r="C18" s="157">
        <v>110529.48000000001</v>
      </c>
      <c r="D18" s="285">
        <v>142705.30999999997</v>
      </c>
      <c r="E18" s="285">
        <v>211318.05</v>
      </c>
      <c r="F18" s="642">
        <v>221787.02999999997</v>
      </c>
      <c r="G18" s="1346">
        <v>185409.94</v>
      </c>
      <c r="H18" s="289"/>
    </row>
    <row r="19" spans="1:8">
      <c r="A19" s="156" t="s">
        <v>91</v>
      </c>
      <c r="B19" s="157">
        <v>193135.81000000003</v>
      </c>
      <c r="C19" s="157">
        <v>238957.97999999995</v>
      </c>
      <c r="D19" s="285">
        <v>276950.32000000007</v>
      </c>
      <c r="E19" s="285">
        <v>262685.05</v>
      </c>
      <c r="F19" s="394">
        <v>360367.95999999996</v>
      </c>
      <c r="G19" s="1344">
        <v>433154.52</v>
      </c>
    </row>
    <row r="20" spans="1:8" ht="24" customHeight="1">
      <c r="A20" s="156" t="s">
        <v>93</v>
      </c>
      <c r="B20" s="157">
        <v>1115839.1399999997</v>
      </c>
      <c r="C20" s="157">
        <v>1271165.4499999997</v>
      </c>
      <c r="D20" s="285">
        <v>1075193.4499999997</v>
      </c>
      <c r="E20" s="285">
        <v>1193786.6399999999</v>
      </c>
      <c r="F20" s="285">
        <v>1599313.3999999992</v>
      </c>
      <c r="G20" s="1344">
        <v>2290163.7499999995</v>
      </c>
    </row>
    <row r="21" spans="1:8">
      <c r="A21" s="156" t="s">
        <v>95</v>
      </c>
      <c r="B21" s="157">
        <v>894974.04000000015</v>
      </c>
      <c r="C21" s="157">
        <v>1152437.0399999998</v>
      </c>
      <c r="D21" s="285">
        <v>1002241.3700000002</v>
      </c>
      <c r="E21" s="285">
        <v>1027898.34</v>
      </c>
      <c r="F21" s="285">
        <v>1286025.810000001</v>
      </c>
      <c r="G21" s="1344">
        <v>1975227.4499999993</v>
      </c>
    </row>
    <row r="22" spans="1:8">
      <c r="A22" s="156" t="s">
        <v>97</v>
      </c>
      <c r="B22" s="157">
        <v>406986.58000000007</v>
      </c>
      <c r="C22" s="157">
        <v>462427.2900000001</v>
      </c>
      <c r="D22" s="285">
        <v>513755.00999999983</v>
      </c>
      <c r="E22" s="285">
        <v>504441.19</v>
      </c>
      <c r="F22" s="285">
        <v>563956.03999999992</v>
      </c>
      <c r="G22" s="1344">
        <v>830616.78000000061</v>
      </c>
    </row>
    <row r="23" spans="1:8">
      <c r="A23" s="156" t="s">
        <v>99</v>
      </c>
      <c r="B23" s="157">
        <v>131366.42000000001</v>
      </c>
      <c r="C23" s="157">
        <v>123237.38999999998</v>
      </c>
      <c r="D23" s="285">
        <v>173996.02</v>
      </c>
      <c r="E23" s="285">
        <v>178512.76</v>
      </c>
      <c r="F23" s="285">
        <v>225086.27</v>
      </c>
      <c r="G23" s="1344">
        <v>320140.81</v>
      </c>
    </row>
    <row r="24" spans="1:8">
      <c r="A24" s="156" t="s">
        <v>101</v>
      </c>
      <c r="B24" s="157">
        <v>138211.43</v>
      </c>
      <c r="C24" s="157">
        <v>171113.94999999998</v>
      </c>
      <c r="D24" s="285">
        <v>174388.63</v>
      </c>
      <c r="E24" s="285">
        <v>180717.68</v>
      </c>
      <c r="F24" s="285">
        <v>222549.5</v>
      </c>
      <c r="G24" s="1344">
        <v>308541.70999999996</v>
      </c>
    </row>
    <row r="25" spans="1:8" ht="24" customHeight="1">
      <c r="A25" s="156" t="s">
        <v>103</v>
      </c>
      <c r="B25" s="157">
        <v>15255284.43</v>
      </c>
      <c r="C25" s="157">
        <v>15675316.740000002</v>
      </c>
      <c r="D25" s="285">
        <v>17478977.450000003</v>
      </c>
      <c r="E25" s="285">
        <v>18302320.93</v>
      </c>
      <c r="F25" s="285">
        <v>21225125.040000003</v>
      </c>
      <c r="G25" s="1344">
        <v>30462586.079999991</v>
      </c>
    </row>
    <row r="26" spans="1:8">
      <c r="A26" s="156" t="s">
        <v>105</v>
      </c>
      <c r="B26" s="157">
        <v>779400.52999999991</v>
      </c>
      <c r="C26" s="157">
        <v>826078.84000000008</v>
      </c>
      <c r="D26" s="285">
        <v>679722.70999999973</v>
      </c>
      <c r="E26" s="285">
        <v>757346.96</v>
      </c>
      <c r="F26" s="285">
        <v>882197.54999999993</v>
      </c>
      <c r="G26" s="1344">
        <v>1503083.6900000002</v>
      </c>
    </row>
    <row r="27" spans="1:8">
      <c r="A27" s="156" t="s">
        <v>107</v>
      </c>
      <c r="B27" s="157">
        <v>96579.410000000018</v>
      </c>
      <c r="C27" s="157">
        <v>106269.67999999998</v>
      </c>
      <c r="D27" s="285">
        <v>105853.02</v>
      </c>
      <c r="E27" s="285">
        <v>117564.11</v>
      </c>
      <c r="F27" s="285">
        <v>99354.15</v>
      </c>
      <c r="G27" s="1344">
        <v>169734.00999999998</v>
      </c>
    </row>
    <row r="28" spans="1:8">
      <c r="A28" s="156" t="s">
        <v>109</v>
      </c>
      <c r="B28" s="157">
        <v>2014069.2299999995</v>
      </c>
      <c r="C28" s="157">
        <v>2317757.7499999986</v>
      </c>
      <c r="D28" s="285">
        <v>2101620.0999999996</v>
      </c>
      <c r="E28" s="285">
        <v>2219808.7000000002</v>
      </c>
      <c r="F28" s="285">
        <v>2676410.46</v>
      </c>
      <c r="G28" s="1344">
        <v>3948394.8500000006</v>
      </c>
    </row>
    <row r="29" spans="1:8">
      <c r="A29" s="156" t="s">
        <v>111</v>
      </c>
      <c r="B29" s="157">
        <v>186153.71000000002</v>
      </c>
      <c r="C29" s="157">
        <v>171445.14999999994</v>
      </c>
      <c r="D29" s="285">
        <v>186255.38999999998</v>
      </c>
      <c r="E29" s="285">
        <v>229777.33</v>
      </c>
      <c r="F29" s="285">
        <v>302178.89</v>
      </c>
      <c r="G29" s="1344">
        <v>311021.46000000002</v>
      </c>
    </row>
    <row r="30" spans="1:8" ht="24" customHeight="1">
      <c r="A30" s="156" t="s">
        <v>113</v>
      </c>
      <c r="B30" s="157">
        <v>411986.24</v>
      </c>
      <c r="C30" s="157">
        <v>422394.58999999997</v>
      </c>
      <c r="D30" s="285">
        <v>188804.97</v>
      </c>
      <c r="E30" s="285">
        <v>76371.22</v>
      </c>
      <c r="F30" s="285">
        <v>562230.54</v>
      </c>
      <c r="G30" s="1344">
        <v>91030.890000000014</v>
      </c>
    </row>
    <row r="31" spans="1:8">
      <c r="A31" s="156" t="s">
        <v>115</v>
      </c>
      <c r="B31" s="157">
        <v>497116.1</v>
      </c>
      <c r="C31" s="157">
        <v>545299.42999999993</v>
      </c>
      <c r="D31" s="285">
        <v>592965.0199999999</v>
      </c>
      <c r="E31" s="285">
        <v>736016.09</v>
      </c>
      <c r="F31" s="285">
        <v>907140.01999999979</v>
      </c>
      <c r="G31" s="1344">
        <v>1040011.4600000001</v>
      </c>
    </row>
    <row r="32" spans="1:8">
      <c r="A32" s="156" t="s">
        <v>117</v>
      </c>
      <c r="B32" s="157">
        <v>257344.80000000005</v>
      </c>
      <c r="C32" s="157">
        <v>305796.11</v>
      </c>
      <c r="D32" s="285">
        <v>269412.54000000004</v>
      </c>
      <c r="E32" s="285">
        <v>360528.14</v>
      </c>
      <c r="F32" s="285">
        <v>345444.18</v>
      </c>
      <c r="G32" s="1344">
        <v>551733.09000000008</v>
      </c>
    </row>
    <row r="33" spans="1:7">
      <c r="A33" s="156" t="s">
        <v>119</v>
      </c>
      <c r="B33" s="157">
        <v>82816460.370000005</v>
      </c>
      <c r="C33" s="157">
        <v>87579692.859999955</v>
      </c>
      <c r="D33" s="285">
        <v>85641787.530000046</v>
      </c>
      <c r="E33" s="285">
        <v>82100501.609999999</v>
      </c>
      <c r="F33" s="285">
        <v>106314702.31000006</v>
      </c>
      <c r="G33" s="1344">
        <v>145339962.56999993</v>
      </c>
    </row>
    <row r="34" spans="1:7">
      <c r="A34" s="156" t="s">
        <v>121</v>
      </c>
      <c r="B34" s="157">
        <v>4480666.07</v>
      </c>
      <c r="C34" s="157">
        <v>4614537.6300000008</v>
      </c>
      <c r="D34" s="285">
        <v>4763659.9399999995</v>
      </c>
      <c r="E34" s="285">
        <v>4622955.63</v>
      </c>
      <c r="F34" s="285">
        <v>6240755.6200000048</v>
      </c>
      <c r="G34" s="1344">
        <v>9271174.6299999971</v>
      </c>
    </row>
    <row r="35" spans="1:7" ht="24" customHeight="1">
      <c r="A35" s="156" t="s">
        <v>123</v>
      </c>
      <c r="B35" s="287">
        <v>291708.7699999999</v>
      </c>
      <c r="C35" s="287">
        <v>307361.02</v>
      </c>
      <c r="D35" s="287">
        <v>300158.71000000002</v>
      </c>
      <c r="E35" s="287">
        <v>350741.73</v>
      </c>
      <c r="F35" s="287">
        <v>391111.7300000001</v>
      </c>
      <c r="G35" s="1343">
        <v>576547.25999999989</v>
      </c>
    </row>
    <row r="36" spans="1:7">
      <c r="A36" s="156" t="s">
        <v>125</v>
      </c>
      <c r="B36" s="285">
        <v>792201.35000000009</v>
      </c>
      <c r="C36" s="285">
        <v>949367.05000000016</v>
      </c>
      <c r="D36" s="285">
        <v>971906.0899999995</v>
      </c>
      <c r="E36" s="285">
        <v>851679.42</v>
      </c>
      <c r="F36" s="285">
        <v>1166850.2100000002</v>
      </c>
      <c r="G36" s="1344">
        <v>1855746.5000000007</v>
      </c>
    </row>
    <row r="37" spans="1:7">
      <c r="A37" s="156" t="s">
        <v>26</v>
      </c>
      <c r="B37" s="285">
        <v>1583804.9000000004</v>
      </c>
      <c r="C37" s="285">
        <v>1819747.07</v>
      </c>
      <c r="D37" s="285">
        <v>1805767.9500000007</v>
      </c>
      <c r="E37" s="285">
        <v>1802646.31</v>
      </c>
      <c r="F37" s="285">
        <v>2343146.6399999992</v>
      </c>
      <c r="G37" s="1344">
        <v>3891049.54</v>
      </c>
    </row>
    <row r="38" spans="1:7">
      <c r="A38" s="156" t="s">
        <v>128</v>
      </c>
      <c r="B38" s="285">
        <v>3882647.4300000011</v>
      </c>
      <c r="C38" s="285">
        <v>4368271.0599999987</v>
      </c>
      <c r="D38" s="285">
        <v>4827371.0199999986</v>
      </c>
      <c r="E38" s="285">
        <v>4966022.1500000004</v>
      </c>
      <c r="F38" s="285">
        <v>5458785.2600000007</v>
      </c>
      <c r="G38" s="1344">
        <v>7978901.7599999998</v>
      </c>
    </row>
    <row r="39" spans="1:7">
      <c r="A39" s="156" t="s">
        <v>130</v>
      </c>
      <c r="B39" s="285">
        <v>225468.76000000004</v>
      </c>
      <c r="C39" s="285">
        <v>235697.59</v>
      </c>
      <c r="D39" s="285">
        <v>260573.52000000002</v>
      </c>
      <c r="E39" s="285">
        <v>255777.01</v>
      </c>
      <c r="F39" s="285">
        <v>297823.99999999988</v>
      </c>
      <c r="G39" s="1344">
        <v>433026.16000000009</v>
      </c>
    </row>
    <row r="40" spans="1:7" ht="18">
      <c r="A40" s="1425" t="s">
        <v>671</v>
      </c>
      <c r="B40" s="1425"/>
      <c r="C40" s="1425"/>
      <c r="D40" s="1425"/>
    </row>
    <row r="41" spans="1:7" ht="15.75">
      <c r="A41" s="633" t="str">
        <f>A2</f>
        <v xml:space="preserve">Recordation Tax and Deeds of Conveyance Revenue Collections by Locality </v>
      </c>
      <c r="B41" s="633"/>
      <c r="C41" s="633"/>
      <c r="D41" s="633"/>
      <c r="E41" s="648"/>
      <c r="F41" s="649"/>
      <c r="G41" s="649"/>
    </row>
    <row r="42" spans="1:7" ht="13.5" thickBot="1">
      <c r="A42" s="576"/>
      <c r="B42" s="576"/>
      <c r="C42" s="576"/>
      <c r="D42" s="576"/>
    </row>
    <row r="43" spans="1:7" ht="26.25" thickTop="1">
      <c r="A43" s="887" t="s">
        <v>23</v>
      </c>
      <c r="B43" s="888" t="str">
        <f t="shared" ref="B43:G43" si="0">B4</f>
        <v>Fiscal Year 
2016</v>
      </c>
      <c r="C43" s="888" t="str">
        <f t="shared" si="0"/>
        <v>Fiscal Year 
2017</v>
      </c>
      <c r="D43" s="888" t="str">
        <f t="shared" si="0"/>
        <v>Fiscal Year 
2018</v>
      </c>
      <c r="E43" s="888" t="str">
        <f t="shared" si="0"/>
        <v>Fiscal Year 
2019</v>
      </c>
      <c r="F43" s="888" t="str">
        <f t="shared" si="0"/>
        <v>Fiscal Year 
2020</v>
      </c>
      <c r="G43" s="888" t="str">
        <f t="shared" si="0"/>
        <v>Fiscal Year 
2021</v>
      </c>
    </row>
    <row r="44" spans="1:7" ht="24" customHeight="1">
      <c r="A44" s="156" t="s">
        <v>513</v>
      </c>
      <c r="B44" s="285">
        <v>1296975.0400000003</v>
      </c>
      <c r="C44" s="285">
        <v>1490107.8099999996</v>
      </c>
      <c r="D44" s="285">
        <v>1442470.3499999996</v>
      </c>
      <c r="E44" s="285">
        <v>1295330.24</v>
      </c>
      <c r="F44" s="285">
        <v>1641573.1400000008</v>
      </c>
      <c r="G44" s="1344">
        <v>2376065.4999999995</v>
      </c>
    </row>
    <row r="45" spans="1:7">
      <c r="A45" s="156" t="s">
        <v>515</v>
      </c>
      <c r="B45" s="285">
        <v>1333510.4199999997</v>
      </c>
      <c r="C45" s="285">
        <v>1548904.6099999994</v>
      </c>
      <c r="D45" s="285">
        <v>1473017.6400000001</v>
      </c>
      <c r="E45" s="285">
        <v>1721265.8</v>
      </c>
      <c r="F45" s="285">
        <v>2498348.4599999995</v>
      </c>
      <c r="G45" s="1344">
        <v>2927588.87</v>
      </c>
    </row>
    <row r="46" spans="1:7">
      <c r="A46" s="156" t="s">
        <v>517</v>
      </c>
      <c r="B46" s="285">
        <v>266107.12999999995</v>
      </c>
      <c r="C46" s="285">
        <v>280190.96999999997</v>
      </c>
      <c r="D46" s="285">
        <v>309879.81</v>
      </c>
      <c r="E46" s="285">
        <v>319890.40000000002</v>
      </c>
      <c r="F46" s="285">
        <v>363379.93999999994</v>
      </c>
      <c r="G46" s="1344">
        <v>467611.27000000014</v>
      </c>
    </row>
    <row r="47" spans="1:7">
      <c r="A47" s="156" t="s">
        <v>71</v>
      </c>
      <c r="B47" s="285">
        <v>638654.9299999997</v>
      </c>
      <c r="C47" s="285">
        <v>621946.43999999971</v>
      </c>
      <c r="D47" s="285">
        <v>665860.2100000002</v>
      </c>
      <c r="E47" s="285">
        <v>815346.86</v>
      </c>
      <c r="F47" s="285">
        <v>919761.93999999971</v>
      </c>
      <c r="G47" s="1344">
        <v>1325887.1800000006</v>
      </c>
    </row>
    <row r="48" spans="1:7">
      <c r="A48" s="156" t="s">
        <v>523</v>
      </c>
      <c r="B48" s="285">
        <v>113649.53000000001</v>
      </c>
      <c r="C48" s="285">
        <v>94248.069999999978</v>
      </c>
      <c r="D48" s="285">
        <v>168236.08000000005</v>
      </c>
      <c r="E48" s="285">
        <v>95004.58</v>
      </c>
      <c r="F48" s="285">
        <v>101834.98000000004</v>
      </c>
      <c r="G48" s="1344">
        <v>171728.00999999995</v>
      </c>
    </row>
    <row r="49" spans="1:7" s="577" customFormat="1" ht="24" customHeight="1">
      <c r="A49" s="573" t="s">
        <v>672</v>
      </c>
      <c r="B49" s="285">
        <v>430010.4599999999</v>
      </c>
      <c r="C49" s="285">
        <v>544527.53</v>
      </c>
      <c r="D49" s="285">
        <v>513838.62999999983</v>
      </c>
      <c r="E49" s="285">
        <v>420193.85</v>
      </c>
      <c r="F49" s="285">
        <v>554097.90999999992</v>
      </c>
      <c r="G49" s="1344">
        <v>719066.97000000032</v>
      </c>
    </row>
    <row r="50" spans="1:7" s="577" customFormat="1">
      <c r="A50" s="156" t="s">
        <v>77</v>
      </c>
      <c r="B50" s="285">
        <v>5149754.4699999988</v>
      </c>
      <c r="C50" s="285">
        <v>5113772.7299999995</v>
      </c>
      <c r="D50" s="285">
        <v>5228012.49</v>
      </c>
      <c r="E50" s="285">
        <v>5400252.2999999998</v>
      </c>
      <c r="F50" s="285">
        <v>6739040.0000000075</v>
      </c>
      <c r="G50" s="1344">
        <v>9856129.4600000009</v>
      </c>
    </row>
    <row r="51" spans="1:7" s="577" customFormat="1">
      <c r="A51" s="156" t="s">
        <v>79</v>
      </c>
      <c r="B51" s="285">
        <v>14617093.960000001</v>
      </c>
      <c r="C51" s="285">
        <v>15806853.129999997</v>
      </c>
      <c r="D51" s="285">
        <v>15008362.109999999</v>
      </c>
      <c r="E51" s="285">
        <v>15947561.550000001</v>
      </c>
      <c r="F51" s="285">
        <v>19671754.030000005</v>
      </c>
      <c r="G51" s="1344">
        <v>24630987.20999999</v>
      </c>
    </row>
    <row r="52" spans="1:7" s="577" customFormat="1">
      <c r="A52" s="156" t="s">
        <v>81</v>
      </c>
      <c r="B52" s="285">
        <v>534408.71</v>
      </c>
      <c r="C52" s="285">
        <v>503635.37999999983</v>
      </c>
      <c r="D52" s="285">
        <v>574025.39999999991</v>
      </c>
      <c r="E52" s="285">
        <v>484790.07</v>
      </c>
      <c r="F52" s="285">
        <v>574127.3200000003</v>
      </c>
      <c r="G52" s="1344">
        <v>960304.22000000044</v>
      </c>
    </row>
    <row r="53" spans="1:7" s="577" customFormat="1">
      <c r="A53" s="156" t="s">
        <v>82</v>
      </c>
      <c r="B53" s="285">
        <v>63930.060000000005</v>
      </c>
      <c r="C53" s="285">
        <v>82588.429999999993</v>
      </c>
      <c r="D53" s="285">
        <v>79329.909999999989</v>
      </c>
      <c r="E53" s="285">
        <v>49289.98</v>
      </c>
      <c r="F53" s="285">
        <v>89084.74000000002</v>
      </c>
      <c r="G53" s="1344">
        <v>145278.52000000002</v>
      </c>
    </row>
    <row r="54" spans="1:7" ht="24" customHeight="1">
      <c r="A54" s="156" t="s">
        <v>84</v>
      </c>
      <c r="B54" s="285">
        <v>1470451.02</v>
      </c>
      <c r="C54" s="285">
        <v>1759876.0200000005</v>
      </c>
      <c r="D54" s="285">
        <v>1600880.67</v>
      </c>
      <c r="E54" s="285">
        <v>1547333.72</v>
      </c>
      <c r="F54" s="285">
        <v>1959225.4899999998</v>
      </c>
      <c r="G54" s="1344">
        <v>3098198.9800000018</v>
      </c>
    </row>
    <row r="55" spans="1:7">
      <c r="A55" s="156" t="s">
        <v>86</v>
      </c>
      <c r="B55" s="285">
        <v>4664288.51</v>
      </c>
      <c r="C55" s="285">
        <v>5294812.0299999993</v>
      </c>
      <c r="D55" s="285">
        <v>4654519.1800000006</v>
      </c>
      <c r="E55" s="285">
        <v>3995299.62</v>
      </c>
      <c r="F55" s="285">
        <v>5282264.5499999989</v>
      </c>
      <c r="G55" s="1344">
        <v>8005280.0300000003</v>
      </c>
    </row>
    <row r="56" spans="1:7">
      <c r="A56" s="156" t="s">
        <v>88</v>
      </c>
      <c r="B56" s="285">
        <v>127849.94999999997</v>
      </c>
      <c r="C56" s="285">
        <v>150748.04999999999</v>
      </c>
      <c r="D56" s="285">
        <v>174800.37000000002</v>
      </c>
      <c r="E56" s="285">
        <v>147799.13</v>
      </c>
      <c r="F56" s="285">
        <v>177906.49000000005</v>
      </c>
      <c r="G56" s="1344">
        <v>251196.64999999991</v>
      </c>
    </row>
    <row r="57" spans="1:7">
      <c r="A57" s="156" t="s">
        <v>90</v>
      </c>
      <c r="B57" s="285">
        <v>968808.80999999982</v>
      </c>
      <c r="C57" s="285">
        <v>1053012.1500000004</v>
      </c>
      <c r="D57" s="285">
        <v>1080523.8700000001</v>
      </c>
      <c r="E57" s="285">
        <v>1015847.1</v>
      </c>
      <c r="F57" s="285">
        <v>1538333.5499999996</v>
      </c>
      <c r="G57" s="1344">
        <v>2252647.9200000004</v>
      </c>
    </row>
    <row r="58" spans="1:7">
      <c r="A58" s="156" t="s">
        <v>92</v>
      </c>
      <c r="B58" s="285">
        <v>542136.30000000005</v>
      </c>
      <c r="C58" s="285">
        <v>526426.62999999989</v>
      </c>
      <c r="D58" s="285">
        <v>633898.45000000007</v>
      </c>
      <c r="E58" s="285">
        <v>622618</v>
      </c>
      <c r="F58" s="285">
        <v>796261.98999999964</v>
      </c>
      <c r="G58" s="1344">
        <v>1048178.4200000002</v>
      </c>
    </row>
    <row r="59" spans="1:7" ht="24" customHeight="1">
      <c r="A59" s="156" t="s">
        <v>94</v>
      </c>
      <c r="B59" s="285">
        <v>543120.79999999981</v>
      </c>
      <c r="C59" s="285">
        <v>616005.87</v>
      </c>
      <c r="D59" s="285">
        <v>638175.47000000009</v>
      </c>
      <c r="E59" s="285">
        <v>554427.6</v>
      </c>
      <c r="F59" s="285">
        <v>806809.46</v>
      </c>
      <c r="G59" s="1344">
        <v>1362347.3600000003</v>
      </c>
    </row>
    <row r="60" spans="1:7">
      <c r="A60" s="156" t="s">
        <v>96</v>
      </c>
      <c r="B60" s="285">
        <v>232486.41</v>
      </c>
      <c r="C60" s="285">
        <v>184101.15000000002</v>
      </c>
      <c r="D60" s="285">
        <v>182463.91999999998</v>
      </c>
      <c r="E60" s="285">
        <v>178436.21</v>
      </c>
      <c r="F60" s="285">
        <v>178872.96000000002</v>
      </c>
      <c r="G60" s="1344">
        <v>290550.92000000004</v>
      </c>
    </row>
    <row r="61" spans="1:7">
      <c r="A61" s="156" t="s">
        <v>98</v>
      </c>
      <c r="B61" s="285">
        <v>37107835.989999987</v>
      </c>
      <c r="C61" s="285">
        <v>42303257.200000003</v>
      </c>
      <c r="D61" s="285">
        <v>40425704.25999999</v>
      </c>
      <c r="E61" s="285">
        <v>39688170.950000003</v>
      </c>
      <c r="F61" s="285">
        <v>53157736.380000003</v>
      </c>
      <c r="G61" s="1344">
        <v>77452544.00999999</v>
      </c>
    </row>
    <row r="62" spans="1:7">
      <c r="A62" s="156" t="s">
        <v>100</v>
      </c>
      <c r="B62" s="285">
        <v>1497422.6499999994</v>
      </c>
      <c r="C62" s="285">
        <v>1604545.4700000002</v>
      </c>
      <c r="D62" s="285">
        <v>1673683.27</v>
      </c>
      <c r="E62" s="285">
        <v>1757392.81</v>
      </c>
      <c r="F62" s="285">
        <v>2198231.9300000006</v>
      </c>
      <c r="G62" s="1344">
        <v>3488527.5299999984</v>
      </c>
    </row>
    <row r="63" spans="1:7">
      <c r="A63" s="156" t="s">
        <v>102</v>
      </c>
      <c r="B63" s="285">
        <v>139677.99</v>
      </c>
      <c r="C63" s="285">
        <v>141928.02999999997</v>
      </c>
      <c r="D63" s="285">
        <v>221794.17</v>
      </c>
      <c r="E63" s="285">
        <v>148868.70000000001</v>
      </c>
      <c r="F63" s="285">
        <v>190064.47000000003</v>
      </c>
      <c r="G63" s="1344">
        <v>221420.32000000004</v>
      </c>
    </row>
    <row r="64" spans="1:7" ht="24" customHeight="1">
      <c r="A64" s="156" t="s">
        <v>104</v>
      </c>
      <c r="B64" s="285">
        <v>391009.63000000006</v>
      </c>
      <c r="C64" s="285">
        <v>415867.52000000014</v>
      </c>
      <c r="D64" s="285">
        <v>342163.18000000011</v>
      </c>
      <c r="E64" s="285">
        <v>405910.12</v>
      </c>
      <c r="F64" s="285">
        <v>460587.42999999993</v>
      </c>
      <c r="G64" s="1344">
        <v>817720.99000000011</v>
      </c>
    </row>
    <row r="65" spans="1:7">
      <c r="A65" s="156" t="s">
        <v>106</v>
      </c>
      <c r="B65" s="285">
        <v>326165.97999999992</v>
      </c>
      <c r="C65" s="285">
        <v>393439.68</v>
      </c>
      <c r="D65" s="285">
        <v>357288.45999999996</v>
      </c>
      <c r="E65" s="285">
        <v>312730.06</v>
      </c>
      <c r="F65" s="285">
        <v>388892.24999999988</v>
      </c>
      <c r="G65" s="1344">
        <v>728834.36000000022</v>
      </c>
    </row>
    <row r="66" spans="1:7">
      <c r="A66" s="156" t="s">
        <v>108</v>
      </c>
      <c r="B66" s="285">
        <v>654070.38</v>
      </c>
      <c r="C66" s="285">
        <v>651825.01999999967</v>
      </c>
      <c r="D66" s="285">
        <v>782256.71000000008</v>
      </c>
      <c r="E66" s="285">
        <v>913997.9</v>
      </c>
      <c r="F66" s="285">
        <v>910756.09</v>
      </c>
      <c r="G66" s="1344">
        <v>1581306.8999999997</v>
      </c>
    </row>
    <row r="67" spans="1:7">
      <c r="A67" s="156" t="s">
        <v>110</v>
      </c>
      <c r="B67" s="285">
        <v>423012.15</v>
      </c>
      <c r="C67" s="285">
        <v>522960.12999999995</v>
      </c>
      <c r="D67" s="285">
        <v>762686.58</v>
      </c>
      <c r="E67" s="285">
        <v>384709.92</v>
      </c>
      <c r="F67" s="285">
        <v>592423.35</v>
      </c>
      <c r="G67" s="1344">
        <v>941776.47000000009</v>
      </c>
    </row>
    <row r="68" spans="1:7">
      <c r="A68" s="156" t="s">
        <v>112</v>
      </c>
      <c r="B68" s="285">
        <v>3048034.2999999984</v>
      </c>
      <c r="C68" s="285">
        <v>2670078.8199999984</v>
      </c>
      <c r="D68" s="285">
        <v>3455784.0199999977</v>
      </c>
      <c r="E68" s="285">
        <v>3078167.35</v>
      </c>
      <c r="F68" s="285">
        <v>4494921.7700000033</v>
      </c>
      <c r="G68" s="1344">
        <v>5220241.5500000007</v>
      </c>
    </row>
    <row r="69" spans="1:7" ht="24" customHeight="1">
      <c r="A69" s="156" t="s">
        <v>114</v>
      </c>
      <c r="B69" s="287">
        <v>557731.34000000008</v>
      </c>
      <c r="C69" s="287">
        <v>638985.89999999991</v>
      </c>
      <c r="D69" s="287">
        <v>623465.81000000029</v>
      </c>
      <c r="E69" s="287">
        <v>629995.38</v>
      </c>
      <c r="F69" s="287">
        <v>729977.74999999977</v>
      </c>
      <c r="G69" s="1343">
        <v>1451600.9600000004</v>
      </c>
    </row>
    <row r="70" spans="1:7">
      <c r="A70" s="156" t="s">
        <v>116</v>
      </c>
      <c r="B70" s="285">
        <v>991204.51000000013</v>
      </c>
      <c r="C70" s="285">
        <v>1148124.2299999997</v>
      </c>
      <c r="D70" s="285">
        <v>1302926.9500000004</v>
      </c>
      <c r="E70" s="285">
        <v>1189610.2</v>
      </c>
      <c r="F70" s="285">
        <v>1467213.74</v>
      </c>
      <c r="G70" s="1344">
        <v>2237700.4099999992</v>
      </c>
    </row>
    <row r="71" spans="1:7">
      <c r="A71" s="156" t="s">
        <v>118</v>
      </c>
      <c r="B71" s="285">
        <v>423631.69000000012</v>
      </c>
      <c r="C71" s="285">
        <v>573099.77</v>
      </c>
      <c r="D71" s="285">
        <v>453247.04999999993</v>
      </c>
      <c r="E71" s="285">
        <v>496579.51</v>
      </c>
      <c r="F71" s="285">
        <v>583901.90000000014</v>
      </c>
      <c r="G71" s="1344">
        <v>1240419.8300000003</v>
      </c>
    </row>
    <row r="72" spans="1:7">
      <c r="A72" s="156" t="s">
        <v>120</v>
      </c>
      <c r="B72" s="285">
        <v>547312.44000000006</v>
      </c>
      <c r="C72" s="285">
        <v>573510.94999999995</v>
      </c>
      <c r="D72" s="285">
        <v>574087.36</v>
      </c>
      <c r="E72" s="285">
        <v>555922.09</v>
      </c>
      <c r="F72" s="285">
        <v>755409.69000000006</v>
      </c>
      <c r="G72" s="1344">
        <v>1412853.0300000005</v>
      </c>
    </row>
    <row r="73" spans="1:7">
      <c r="A73" s="156" t="s">
        <v>122</v>
      </c>
      <c r="B73" s="285">
        <v>172141.67000000004</v>
      </c>
      <c r="C73" s="285">
        <v>182101.08</v>
      </c>
      <c r="D73" s="285">
        <v>247151.14999999997</v>
      </c>
      <c r="E73" s="285">
        <v>280242.59000000003</v>
      </c>
      <c r="F73" s="285">
        <v>219470.27</v>
      </c>
      <c r="G73" s="1344">
        <v>304820.94</v>
      </c>
    </row>
    <row r="74" spans="1:7" ht="24" customHeight="1">
      <c r="A74" s="156" t="s">
        <v>124</v>
      </c>
      <c r="B74" s="285">
        <v>1171454.6300000001</v>
      </c>
      <c r="C74" s="285">
        <v>1436475.92</v>
      </c>
      <c r="D74" s="285">
        <v>1429921.0199999993</v>
      </c>
      <c r="E74" s="285">
        <v>1441701.75</v>
      </c>
      <c r="F74" s="285">
        <v>1823120.6799999995</v>
      </c>
      <c r="G74" s="1344">
        <v>2801675.5900000012</v>
      </c>
    </row>
    <row r="75" spans="1:7">
      <c r="A75" s="156" t="s">
        <v>126</v>
      </c>
      <c r="B75" s="285">
        <v>404234.31</v>
      </c>
      <c r="C75" s="285">
        <v>466989.98000000004</v>
      </c>
      <c r="D75" s="285">
        <v>496463.16000000015</v>
      </c>
      <c r="E75" s="285">
        <v>457027.59</v>
      </c>
      <c r="F75" s="285">
        <v>585266.57000000018</v>
      </c>
      <c r="G75" s="1344">
        <v>879482.51000000013</v>
      </c>
    </row>
    <row r="76" spans="1:7">
      <c r="A76" s="156" t="s">
        <v>127</v>
      </c>
      <c r="B76" s="285">
        <v>186952.84000000003</v>
      </c>
      <c r="C76" s="285">
        <v>225055.49000000005</v>
      </c>
      <c r="D76" s="285">
        <v>274494.39000000007</v>
      </c>
      <c r="E76" s="285">
        <v>241251.87</v>
      </c>
      <c r="F76" s="285">
        <v>387569.0799999999</v>
      </c>
      <c r="G76" s="1344">
        <v>478785.61000000004</v>
      </c>
    </row>
    <row r="77" spans="1:7">
      <c r="A77" s="156" t="s">
        <v>129</v>
      </c>
      <c r="B77" s="285">
        <v>785785.43999999983</v>
      </c>
      <c r="C77" s="285">
        <v>790560.54999999981</v>
      </c>
      <c r="D77" s="285">
        <v>779736.89</v>
      </c>
      <c r="E77" s="285">
        <v>892836.42</v>
      </c>
      <c r="F77" s="285">
        <v>1075072.7400000002</v>
      </c>
      <c r="G77" s="1344">
        <v>1326805.08</v>
      </c>
    </row>
    <row r="78" spans="1:7">
      <c r="A78" s="156" t="s">
        <v>131</v>
      </c>
      <c r="B78" s="285">
        <v>1213743.8500000001</v>
      </c>
      <c r="C78" s="285">
        <v>1386980.3399999996</v>
      </c>
      <c r="D78" s="285">
        <v>1362940.0500000005</v>
      </c>
      <c r="E78" s="285">
        <v>1487227.55</v>
      </c>
      <c r="F78" s="285">
        <v>1972535.7900000005</v>
      </c>
      <c r="G78" s="1344">
        <v>2455836.9699999997</v>
      </c>
    </row>
    <row r="79" spans="1:7" ht="18">
      <c r="A79" s="1425" t="s">
        <v>671</v>
      </c>
      <c r="B79" s="1425"/>
      <c r="C79" s="1425"/>
      <c r="D79" s="1425"/>
      <c r="E79" s="578"/>
    </row>
    <row r="80" spans="1:7" ht="15.75">
      <c r="A80" s="633" t="str">
        <f>A41</f>
        <v xml:space="preserve">Recordation Tax and Deeds of Conveyance Revenue Collections by Locality </v>
      </c>
      <c r="B80" s="633"/>
      <c r="C80" s="633"/>
      <c r="D80" s="633"/>
      <c r="E80" s="648"/>
      <c r="F80" s="649"/>
      <c r="G80" s="649"/>
    </row>
    <row r="81" spans="1:7" ht="13.5" thickBot="1">
      <c r="A81" s="576"/>
      <c r="B81" s="576"/>
      <c r="C81" s="576"/>
      <c r="D81" s="576"/>
    </row>
    <row r="82" spans="1:7" ht="26.25" thickTop="1">
      <c r="A82" s="887" t="s">
        <v>23</v>
      </c>
      <c r="B82" s="888" t="str">
        <f t="shared" ref="B82:G82" si="1">B43</f>
        <v>Fiscal Year 
2016</v>
      </c>
      <c r="C82" s="888" t="str">
        <f t="shared" si="1"/>
        <v>Fiscal Year 
2017</v>
      </c>
      <c r="D82" s="888" t="str">
        <f t="shared" si="1"/>
        <v>Fiscal Year 
2018</v>
      </c>
      <c r="E82" s="888" t="str">
        <f t="shared" si="1"/>
        <v>Fiscal Year 
2019</v>
      </c>
      <c r="F82" s="888" t="str">
        <f t="shared" si="1"/>
        <v>Fiscal Year 
2020</v>
      </c>
      <c r="G82" s="888" t="str">
        <f t="shared" si="1"/>
        <v>Fiscal Year 
2021</v>
      </c>
    </row>
    <row r="83" spans="1:7" ht="24" customHeight="1">
      <c r="A83" s="156" t="s">
        <v>132</v>
      </c>
      <c r="B83" s="285">
        <v>387064</v>
      </c>
      <c r="C83" s="285">
        <v>564585.67000000004</v>
      </c>
      <c r="D83" s="285">
        <v>569395.88000000012</v>
      </c>
      <c r="E83" s="285">
        <v>402026.12</v>
      </c>
      <c r="F83" s="285">
        <v>453222.7199999998</v>
      </c>
      <c r="G83" s="1344">
        <v>672030.62</v>
      </c>
    </row>
    <row r="84" spans="1:7">
      <c r="A84" s="156" t="s">
        <v>134</v>
      </c>
      <c r="B84" s="285">
        <v>1132218.4300000004</v>
      </c>
      <c r="C84" s="285">
        <v>780150.33</v>
      </c>
      <c r="D84" s="285">
        <v>959713.30999999994</v>
      </c>
      <c r="E84" s="285">
        <v>1006178.59</v>
      </c>
      <c r="F84" s="285">
        <v>1184889.1199999996</v>
      </c>
      <c r="G84" s="1344">
        <v>1510833.5000000002</v>
      </c>
    </row>
    <row r="85" spans="1:7">
      <c r="A85" s="156" t="s">
        <v>136</v>
      </c>
      <c r="B85" s="285">
        <v>28726098.039999984</v>
      </c>
      <c r="C85" s="285">
        <v>30064841.35000002</v>
      </c>
      <c r="D85" s="285">
        <v>26344210.129999977</v>
      </c>
      <c r="E85" s="285">
        <v>26801684.57</v>
      </c>
      <c r="F85" s="285">
        <v>35560843.670000002</v>
      </c>
      <c r="G85" s="1344">
        <v>57077748.280000016</v>
      </c>
    </row>
    <row r="86" spans="1:7">
      <c r="A86" s="156" t="s">
        <v>138</v>
      </c>
      <c r="B86" s="285">
        <v>583382.78</v>
      </c>
      <c r="C86" s="285">
        <v>677949.25000000023</v>
      </c>
      <c r="D86" s="285">
        <v>818605.03000000026</v>
      </c>
      <c r="E86" s="285">
        <v>679119.52</v>
      </c>
      <c r="F86" s="285">
        <v>861117.0499999997</v>
      </c>
      <c r="G86" s="1344">
        <v>1209774.7999999991</v>
      </c>
    </row>
    <row r="87" spans="1:7">
      <c r="A87" s="156" t="s">
        <v>140</v>
      </c>
      <c r="B87" s="285">
        <v>307336.31</v>
      </c>
      <c r="C87" s="285">
        <v>449471.14999999991</v>
      </c>
      <c r="D87" s="285">
        <v>381832.67000000004</v>
      </c>
      <c r="E87" s="285">
        <v>363968.27</v>
      </c>
      <c r="F87" s="285">
        <v>436841.67000000004</v>
      </c>
      <c r="G87" s="1344">
        <v>792558.93000000075</v>
      </c>
    </row>
    <row r="88" spans="1:7" ht="24" customHeight="1">
      <c r="A88" s="156" t="s">
        <v>142</v>
      </c>
      <c r="B88" s="285">
        <v>152344.04</v>
      </c>
      <c r="C88" s="285">
        <v>175841.78</v>
      </c>
      <c r="D88" s="285">
        <v>176704.23999999996</v>
      </c>
      <c r="E88" s="285">
        <v>205167.83</v>
      </c>
      <c r="F88" s="285">
        <v>226953.80000000008</v>
      </c>
      <c r="G88" s="1344">
        <v>309660.08</v>
      </c>
    </row>
    <row r="89" spans="1:7">
      <c r="A89" s="156" t="s">
        <v>27</v>
      </c>
      <c r="B89" s="285">
        <v>3033546.4199999976</v>
      </c>
      <c r="C89" s="285">
        <v>3043687.8300000005</v>
      </c>
      <c r="D89" s="285">
        <v>3169185.4299999997</v>
      </c>
      <c r="E89" s="285">
        <v>3502787.52</v>
      </c>
      <c r="F89" s="285">
        <v>3746993.8600000017</v>
      </c>
      <c r="G89" s="1344">
        <v>5377044.6999999993</v>
      </c>
    </row>
    <row r="90" spans="1:7">
      <c r="A90" s="156" t="s">
        <v>144</v>
      </c>
      <c r="B90" s="285">
        <v>514087.84000000014</v>
      </c>
      <c r="C90" s="285">
        <v>549987.05000000005</v>
      </c>
      <c r="D90" s="285">
        <v>615899.92000000004</v>
      </c>
      <c r="E90" s="285">
        <v>546408.62</v>
      </c>
      <c r="F90" s="285">
        <v>770962.09000000008</v>
      </c>
      <c r="G90" s="1344">
        <v>1083678.8800000001</v>
      </c>
    </row>
    <row r="91" spans="1:7">
      <c r="A91" s="156" t="s">
        <v>145</v>
      </c>
      <c r="B91" s="285">
        <v>2518274.3400000008</v>
      </c>
      <c r="C91" s="285">
        <v>3054562.02</v>
      </c>
      <c r="D91" s="285">
        <v>2948389.1300000008</v>
      </c>
      <c r="E91" s="285">
        <v>2677530.62</v>
      </c>
      <c r="F91" s="285">
        <v>3308695.16</v>
      </c>
      <c r="G91" s="1344">
        <v>4754630.32</v>
      </c>
    </row>
    <row r="92" spans="1:7">
      <c r="A92" s="156" t="s">
        <v>147</v>
      </c>
      <c r="B92" s="285">
        <v>263643.44000000006</v>
      </c>
      <c r="C92" s="285">
        <v>247015.55000000002</v>
      </c>
      <c r="D92" s="285">
        <v>368312.44000000012</v>
      </c>
      <c r="E92" s="285">
        <v>260062.76</v>
      </c>
      <c r="F92" s="285">
        <v>338693.87999999995</v>
      </c>
      <c r="G92" s="1344">
        <v>379173.09</v>
      </c>
    </row>
    <row r="93" spans="1:7" ht="24" customHeight="1">
      <c r="A93" s="573" t="s">
        <v>149</v>
      </c>
      <c r="B93" s="285">
        <v>243299.32000000012</v>
      </c>
      <c r="C93" s="285">
        <v>269820.74000000011</v>
      </c>
      <c r="D93" s="285">
        <v>273738.98</v>
      </c>
      <c r="E93" s="285">
        <v>218240.83</v>
      </c>
      <c r="F93" s="285">
        <v>278006.08</v>
      </c>
      <c r="G93" s="1344">
        <v>319019.11000000016</v>
      </c>
    </row>
    <row r="94" spans="1:7">
      <c r="A94" s="156" t="s">
        <v>151</v>
      </c>
      <c r="B94" s="285">
        <v>1200151.7099999997</v>
      </c>
      <c r="C94" s="285">
        <v>1401799.5599999998</v>
      </c>
      <c r="D94" s="285">
        <v>1278803.43</v>
      </c>
      <c r="E94" s="285">
        <v>1402357.87</v>
      </c>
      <c r="F94" s="285">
        <v>1589540.57</v>
      </c>
      <c r="G94" s="1344">
        <v>2281469.6199999992</v>
      </c>
    </row>
    <row r="95" spans="1:7">
      <c r="A95" s="156" t="s">
        <v>153</v>
      </c>
      <c r="B95" s="285">
        <v>375898.57</v>
      </c>
      <c r="C95" s="285">
        <v>334189.18999999994</v>
      </c>
      <c r="D95" s="285">
        <v>389767.91000000009</v>
      </c>
      <c r="E95" s="285">
        <v>371161.79</v>
      </c>
      <c r="F95" s="285">
        <v>439458.13999999996</v>
      </c>
      <c r="G95" s="1344">
        <v>491456.92999999976</v>
      </c>
    </row>
    <row r="96" spans="1:7">
      <c r="A96" s="156" t="s">
        <v>155</v>
      </c>
      <c r="B96" s="285">
        <v>477102.99</v>
      </c>
      <c r="C96" s="285">
        <v>327896.21999999997</v>
      </c>
      <c r="D96" s="285">
        <v>416032.10999999987</v>
      </c>
      <c r="E96" s="285">
        <v>323211.2</v>
      </c>
      <c r="F96" s="285">
        <v>412789.25999999989</v>
      </c>
      <c r="G96" s="1344">
        <v>541911.35999999964</v>
      </c>
    </row>
    <row r="97" spans="1:7">
      <c r="A97" s="156" t="s">
        <v>157</v>
      </c>
      <c r="B97" s="285">
        <v>5918116.2300000004</v>
      </c>
      <c r="C97" s="285">
        <v>7774488.5300000012</v>
      </c>
      <c r="D97" s="285">
        <v>7300265.8299999991</v>
      </c>
      <c r="E97" s="285">
        <v>6988282.0599999996</v>
      </c>
      <c r="F97" s="285">
        <v>9502487.5299999993</v>
      </c>
      <c r="G97" s="1344">
        <v>14511881.590000005</v>
      </c>
    </row>
    <row r="98" spans="1:7" ht="24" customHeight="1">
      <c r="A98" s="156" t="s">
        <v>159</v>
      </c>
      <c r="B98" s="285">
        <v>8421939.7299999986</v>
      </c>
      <c r="C98" s="285">
        <v>9966543.4899999965</v>
      </c>
      <c r="D98" s="285">
        <v>9275204.3100000005</v>
      </c>
      <c r="E98" s="285">
        <v>9093558.5</v>
      </c>
      <c r="F98" s="285">
        <v>12880841.900000004</v>
      </c>
      <c r="G98" s="1344">
        <v>19935747.370000008</v>
      </c>
    </row>
    <row r="99" spans="1:7">
      <c r="A99" s="156" t="s">
        <v>161</v>
      </c>
      <c r="B99" s="285">
        <v>170806.46</v>
      </c>
      <c r="C99" s="285">
        <v>157535.5</v>
      </c>
      <c r="D99" s="285">
        <v>220285.65999999997</v>
      </c>
      <c r="E99" s="285">
        <v>240997.16</v>
      </c>
      <c r="F99" s="285">
        <v>213988.37</v>
      </c>
      <c r="G99" s="1344">
        <v>258408.47999999998</v>
      </c>
    </row>
    <row r="100" spans="1:7">
      <c r="A100" s="156" t="s">
        <v>163</v>
      </c>
      <c r="B100" s="285">
        <v>210424.08000000002</v>
      </c>
      <c r="C100" s="285">
        <v>172599.98</v>
      </c>
      <c r="D100" s="285">
        <v>157686.45000000001</v>
      </c>
      <c r="E100" s="285">
        <v>169532.11</v>
      </c>
      <c r="F100" s="285">
        <v>219052.22999999998</v>
      </c>
      <c r="G100" s="1344">
        <v>284327.18999999994</v>
      </c>
    </row>
    <row r="101" spans="1:7">
      <c r="A101" s="156" t="s">
        <v>165</v>
      </c>
      <c r="B101" s="285">
        <v>517188.72000000003</v>
      </c>
      <c r="C101" s="285">
        <v>538806.21</v>
      </c>
      <c r="D101" s="285">
        <v>529412.86999999988</v>
      </c>
      <c r="E101" s="285">
        <v>551970.11</v>
      </c>
      <c r="F101" s="285">
        <v>619201.65000000014</v>
      </c>
      <c r="G101" s="1344">
        <v>785964.35</v>
      </c>
    </row>
    <row r="102" spans="1:7">
      <c r="A102" s="156" t="s">
        <v>167</v>
      </c>
      <c r="B102" s="285">
        <v>1540856.8999999994</v>
      </c>
      <c r="C102" s="285">
        <v>1605334.8200000008</v>
      </c>
      <c r="D102" s="285">
        <v>1642991.7599999995</v>
      </c>
      <c r="E102" s="285">
        <v>1584618.26</v>
      </c>
      <c r="F102" s="285">
        <v>2053348.3400000003</v>
      </c>
      <c r="G102" s="1344">
        <v>3248221.8899999992</v>
      </c>
    </row>
    <row r="103" spans="1:7" ht="24" customHeight="1">
      <c r="A103" s="156" t="s">
        <v>169</v>
      </c>
      <c r="B103" s="287">
        <v>1255123.2300000004</v>
      </c>
      <c r="C103" s="287">
        <v>1381461.9999999998</v>
      </c>
      <c r="D103" s="287">
        <v>1202234.8900000001</v>
      </c>
      <c r="E103" s="287">
        <v>1231828.01</v>
      </c>
      <c r="F103" s="287">
        <v>1529182.9100000001</v>
      </c>
      <c r="G103" s="1343">
        <v>1979827.9499999995</v>
      </c>
    </row>
    <row r="104" spans="1:7">
      <c r="A104" s="156" t="s">
        <v>171</v>
      </c>
      <c r="B104" s="285">
        <v>593517.92000000016</v>
      </c>
      <c r="C104" s="285">
        <v>642968.16</v>
      </c>
      <c r="D104" s="285">
        <v>687189.10000000033</v>
      </c>
      <c r="E104" s="285">
        <v>748660.67</v>
      </c>
      <c r="F104" s="285">
        <v>823366.21999999974</v>
      </c>
      <c r="G104" s="1344">
        <v>1470104.1299999997</v>
      </c>
    </row>
    <row r="105" spans="1:7">
      <c r="A105" s="156" t="s">
        <v>173</v>
      </c>
      <c r="B105" s="285">
        <v>556866.30000000016</v>
      </c>
      <c r="C105" s="285">
        <v>301693.24999999994</v>
      </c>
      <c r="D105" s="285">
        <v>313486.45999999996</v>
      </c>
      <c r="E105" s="285">
        <v>292391.27</v>
      </c>
      <c r="F105" s="285">
        <v>446724.17999999993</v>
      </c>
      <c r="G105" s="1344">
        <v>418524.89999999985</v>
      </c>
    </row>
    <row r="106" spans="1:7">
      <c r="A106" s="156" t="s">
        <v>175</v>
      </c>
      <c r="B106" s="285">
        <v>497427.80999999976</v>
      </c>
      <c r="C106" s="285">
        <v>627435.89</v>
      </c>
      <c r="D106" s="285">
        <v>594264.69999999995</v>
      </c>
      <c r="E106" s="285">
        <v>510930.62</v>
      </c>
      <c r="F106" s="285">
        <v>789534.61</v>
      </c>
      <c r="G106" s="1344">
        <v>804919.76</v>
      </c>
    </row>
    <row r="107" spans="1:7">
      <c r="A107" s="156" t="s">
        <v>177</v>
      </c>
      <c r="B107" s="285">
        <v>3140242.6599999988</v>
      </c>
      <c r="C107" s="285">
        <v>3137748.9399999985</v>
      </c>
      <c r="D107" s="285">
        <v>3912805.1600000006</v>
      </c>
      <c r="E107" s="285">
        <v>3426230.59</v>
      </c>
      <c r="F107" s="285">
        <v>4207435.660000002</v>
      </c>
      <c r="G107" s="1344">
        <v>6062372.7599999988</v>
      </c>
    </row>
    <row r="108" spans="1:7" s="572" customFormat="1" ht="10.7" customHeight="1">
      <c r="A108" s="579"/>
      <c r="B108" s="579"/>
      <c r="C108" s="579"/>
      <c r="D108" s="579"/>
      <c r="E108" s="571"/>
      <c r="F108" s="571"/>
      <c r="G108" s="571"/>
    </row>
    <row r="109" spans="1:7">
      <c r="A109" s="580" t="s">
        <v>24</v>
      </c>
      <c r="B109" s="581">
        <f t="shared" ref="B109:G109" si="2">SUM(B5:B34,B35:B68,B69:B102,B103:B107)</f>
        <v>298077573.12</v>
      </c>
      <c r="C109" s="581">
        <f t="shared" si="2"/>
        <v>323500358.88</v>
      </c>
      <c r="D109" s="581">
        <f t="shared" si="2"/>
        <v>317011492.09000015</v>
      </c>
      <c r="E109" s="581">
        <f t="shared" si="2"/>
        <v>309985515.51999992</v>
      </c>
      <c r="F109" s="581">
        <f t="shared" si="2"/>
        <v>394179563.19000024</v>
      </c>
      <c r="G109" s="581">
        <f t="shared" si="2"/>
        <v>563241430.42000008</v>
      </c>
    </row>
    <row r="110" spans="1:7" ht="18">
      <c r="A110" s="1425" t="s">
        <v>671</v>
      </c>
      <c r="B110" s="1425"/>
      <c r="C110" s="1425"/>
      <c r="D110" s="1425"/>
    </row>
    <row r="111" spans="1:7" ht="15.75">
      <c r="A111" s="633" t="str">
        <f>A80</f>
        <v xml:space="preserve">Recordation Tax and Deeds of Conveyance Revenue Collections by Locality </v>
      </c>
      <c r="B111" s="633"/>
      <c r="C111" s="633"/>
      <c r="D111" s="633"/>
      <c r="E111" s="648"/>
      <c r="F111" s="649"/>
      <c r="G111" s="649"/>
    </row>
    <row r="112" spans="1:7" ht="6" customHeight="1" thickBot="1">
      <c r="A112" s="576"/>
      <c r="B112" s="576"/>
      <c r="C112" s="576"/>
      <c r="D112" s="576"/>
    </row>
    <row r="113" spans="1:8" ht="25.5" customHeight="1" thickTop="1">
      <c r="A113" s="887" t="s">
        <v>25</v>
      </c>
      <c r="B113" s="888" t="str">
        <f t="shared" ref="B113:G113" si="3">B82</f>
        <v>Fiscal Year 
2016</v>
      </c>
      <c r="C113" s="888" t="str">
        <f t="shared" si="3"/>
        <v>Fiscal Year 
2017</v>
      </c>
      <c r="D113" s="888" t="str">
        <f t="shared" si="3"/>
        <v>Fiscal Year 
2018</v>
      </c>
      <c r="E113" s="888" t="str">
        <f t="shared" si="3"/>
        <v>Fiscal Year 
2019</v>
      </c>
      <c r="F113" s="888" t="str">
        <f t="shared" si="3"/>
        <v>Fiscal Year 
2020</v>
      </c>
      <c r="G113" s="888" t="str">
        <f t="shared" si="3"/>
        <v>Fiscal Year 
2021</v>
      </c>
    </row>
    <row r="114" spans="1:8" ht="20.100000000000001" customHeight="1">
      <c r="A114" s="889" t="s">
        <v>182</v>
      </c>
      <c r="B114" s="574">
        <v>14059919.710000003</v>
      </c>
      <c r="C114" s="287">
        <v>13615230.800000004</v>
      </c>
      <c r="D114" s="287">
        <v>19189001.520000003</v>
      </c>
      <c r="E114" s="287">
        <v>15829535.57</v>
      </c>
      <c r="F114" s="287">
        <v>19647871.479999997</v>
      </c>
      <c r="G114" s="1343">
        <v>24486952.299999997</v>
      </c>
      <c r="H114" s="286"/>
    </row>
    <row r="115" spans="1:8" ht="12" customHeight="1">
      <c r="A115" s="890" t="s">
        <v>184</v>
      </c>
      <c r="B115" s="157">
        <v>464720.13999999984</v>
      </c>
      <c r="C115" s="285">
        <v>410392.85000000009</v>
      </c>
      <c r="D115" s="285">
        <v>671445.66000000015</v>
      </c>
      <c r="E115" s="285">
        <v>436365.84</v>
      </c>
      <c r="F115" s="285">
        <v>402796.44000000006</v>
      </c>
      <c r="G115" s="1344">
        <v>537782.99999999977</v>
      </c>
    </row>
    <row r="116" spans="1:8" ht="12" customHeight="1">
      <c r="A116" s="890" t="s">
        <v>186</v>
      </c>
      <c r="B116" s="157">
        <v>66233.669999999984</v>
      </c>
      <c r="C116" s="285">
        <v>73487.250000000015</v>
      </c>
      <c r="D116" s="285">
        <v>86014.900000000009</v>
      </c>
      <c r="E116" s="285">
        <v>103927</v>
      </c>
      <c r="F116" s="285">
        <v>99939.260000000009</v>
      </c>
      <c r="G116" s="1344">
        <v>196730.70999999996</v>
      </c>
    </row>
    <row r="117" spans="1:8" ht="12" customHeight="1">
      <c r="A117" s="890" t="s">
        <v>188</v>
      </c>
      <c r="B117" s="157">
        <v>2037681.0300000007</v>
      </c>
      <c r="C117" s="285">
        <v>3091006.3100000005</v>
      </c>
      <c r="D117" s="285">
        <v>2044431.6400000008</v>
      </c>
      <c r="E117" s="285">
        <v>2448300.54</v>
      </c>
      <c r="F117" s="285">
        <v>2810244.3499999992</v>
      </c>
      <c r="G117" s="1344">
        <v>2912301.0100000007</v>
      </c>
    </row>
    <row r="118" spans="1:8" ht="20.100000000000001" customHeight="1">
      <c r="A118" s="890" t="s">
        <v>133</v>
      </c>
      <c r="B118" s="157">
        <v>11339348.560000004</v>
      </c>
      <c r="C118" s="285">
        <v>11232453.27</v>
      </c>
      <c r="D118" s="285">
        <v>11431326.029999994</v>
      </c>
      <c r="E118" s="285">
        <v>11711127.99</v>
      </c>
      <c r="F118" s="285">
        <v>14401491.530000003</v>
      </c>
      <c r="G118" s="1344">
        <v>21603249.43</v>
      </c>
    </row>
    <row r="119" spans="1:8" ht="12" customHeight="1">
      <c r="A119" s="890" t="s">
        <v>135</v>
      </c>
      <c r="B119" s="157">
        <v>479930.34999999992</v>
      </c>
      <c r="C119" s="285">
        <v>435120.72999999992</v>
      </c>
      <c r="D119" s="285">
        <v>542972.94999999984</v>
      </c>
      <c r="E119" s="285">
        <v>504463.35999999999</v>
      </c>
      <c r="F119" s="285">
        <v>577847.50999999989</v>
      </c>
      <c r="G119" s="1344">
        <v>826821.66999999993</v>
      </c>
      <c r="H119" s="286"/>
    </row>
    <row r="120" spans="1:8" ht="12" customHeight="1">
      <c r="A120" s="890" t="s">
        <v>493</v>
      </c>
      <c r="B120" s="157">
        <v>77056.239999999991</v>
      </c>
      <c r="C120" s="285">
        <v>53364.87999999999</v>
      </c>
      <c r="D120" s="285">
        <v>76409.13</v>
      </c>
      <c r="E120" s="285">
        <v>88998.17</v>
      </c>
      <c r="F120" s="285">
        <v>52182.38</v>
      </c>
      <c r="G120" s="1344">
        <v>53116.639999999999</v>
      </c>
      <c r="H120" s="286"/>
    </row>
    <row r="121" spans="1:8" ht="12" customHeight="1">
      <c r="A121" s="890" t="s">
        <v>139</v>
      </c>
      <c r="B121" s="157">
        <v>589601.94999999984</v>
      </c>
      <c r="C121" s="285">
        <v>743505.04</v>
      </c>
      <c r="D121" s="285">
        <v>673805.5</v>
      </c>
      <c r="E121" s="285">
        <v>510855.9</v>
      </c>
      <c r="F121" s="285">
        <v>876366.90999999992</v>
      </c>
      <c r="G121" s="1344">
        <v>1418132.0500000003</v>
      </c>
    </row>
    <row r="122" spans="1:8" ht="12" customHeight="1">
      <c r="A122" s="890" t="s">
        <v>499</v>
      </c>
      <c r="B122" s="157">
        <v>53779.479999999996</v>
      </c>
      <c r="C122" s="285">
        <v>62314.090000000011</v>
      </c>
      <c r="D122" s="285">
        <v>59787.79</v>
      </c>
      <c r="E122" s="285">
        <v>159810.54</v>
      </c>
      <c r="F122" s="708">
        <v>155399.96000000002</v>
      </c>
      <c r="G122" s="1345">
        <v>83820.53</v>
      </c>
      <c r="H122" s="286"/>
    </row>
    <row r="123" spans="1:8" ht="20.100000000000001" customHeight="1">
      <c r="A123" s="890" t="s">
        <v>494</v>
      </c>
      <c r="B123" s="157">
        <v>1799310.87</v>
      </c>
      <c r="C123" s="285">
        <v>1472103.9700000002</v>
      </c>
      <c r="D123" s="285">
        <v>1544945.29</v>
      </c>
      <c r="E123" s="394">
        <v>1652558.97</v>
      </c>
      <c r="F123" s="394">
        <v>1761827.9100000001</v>
      </c>
      <c r="G123" s="1344">
        <v>3270225.0100000002</v>
      </c>
      <c r="H123" s="286"/>
    </row>
    <row r="124" spans="1:8" ht="12" customHeight="1">
      <c r="A124" s="890" t="s">
        <v>504</v>
      </c>
      <c r="B124" s="157">
        <v>1105968.2099999997</v>
      </c>
      <c r="C124" s="285">
        <v>1306832.9699999997</v>
      </c>
      <c r="D124" s="285">
        <v>1342992</v>
      </c>
      <c r="E124" s="285">
        <v>1369851.41</v>
      </c>
      <c r="F124" s="285">
        <v>1304917.4099999999</v>
      </c>
      <c r="G124" s="1344">
        <v>2180925.83</v>
      </c>
    </row>
    <row r="125" spans="1:8" ht="12" customHeight="1">
      <c r="A125" s="890" t="s">
        <v>505</v>
      </c>
      <c r="B125" s="157">
        <v>127209.13</v>
      </c>
      <c r="C125" s="285">
        <v>178872.18999999997</v>
      </c>
      <c r="D125" s="285">
        <v>142075.51</v>
      </c>
      <c r="E125" s="285">
        <v>158255.09</v>
      </c>
      <c r="F125" s="285">
        <v>243652.99</v>
      </c>
      <c r="G125" s="1344">
        <v>241542.22999999998</v>
      </c>
    </row>
    <row r="126" spans="1:8" ht="12" customHeight="1">
      <c r="A126" s="890" t="s">
        <v>146</v>
      </c>
      <c r="B126" s="157">
        <v>1803523.3899999994</v>
      </c>
      <c r="C126" s="285">
        <v>1483767.7999999998</v>
      </c>
      <c r="D126" s="285">
        <v>1230423.9700000002</v>
      </c>
      <c r="E126" s="285">
        <v>1696546.03</v>
      </c>
      <c r="F126" s="285">
        <v>1626979.4599999997</v>
      </c>
      <c r="G126" s="1344">
        <v>2786419.689999999</v>
      </c>
    </row>
    <row r="127" spans="1:8" ht="12" customHeight="1">
      <c r="A127" s="890" t="s">
        <v>512</v>
      </c>
      <c r="B127" s="157">
        <v>127588.16999999998</v>
      </c>
      <c r="C127" s="285">
        <v>105377.20999999999</v>
      </c>
      <c r="D127" s="285">
        <v>88562.189999999988</v>
      </c>
      <c r="E127" s="285">
        <v>99133.22</v>
      </c>
      <c r="F127" s="285">
        <v>111115.28</v>
      </c>
      <c r="G127" s="1344">
        <v>151962.9</v>
      </c>
      <c r="H127" s="286"/>
    </row>
    <row r="128" spans="1:8" ht="20.100000000000001" customHeight="1">
      <c r="A128" s="890" t="s">
        <v>150</v>
      </c>
      <c r="B128" s="157">
        <v>4344687.589999998</v>
      </c>
      <c r="C128" s="285">
        <v>3529583.2300000009</v>
      </c>
      <c r="D128" s="285">
        <v>3898628.370000002</v>
      </c>
      <c r="E128" s="285">
        <v>4137072.97</v>
      </c>
      <c r="F128" s="285">
        <v>4541384.6399999997</v>
      </c>
      <c r="G128" s="1344">
        <v>7433561.7900000019</v>
      </c>
    </row>
    <row r="129" spans="1:8" ht="12" customHeight="1">
      <c r="A129" s="890" t="s">
        <v>516</v>
      </c>
      <c r="B129" s="157">
        <v>1111425.02</v>
      </c>
      <c r="C129" s="285">
        <v>1329470.27</v>
      </c>
      <c r="D129" s="285">
        <v>1208332.93</v>
      </c>
      <c r="E129" s="285">
        <v>1442392.46</v>
      </c>
      <c r="F129" s="285">
        <v>1355427.92</v>
      </c>
      <c r="G129" s="1344">
        <v>1565376.98</v>
      </c>
    </row>
    <row r="130" spans="1:8" ht="12" customHeight="1">
      <c r="A130" s="890" t="s">
        <v>154</v>
      </c>
      <c r="B130" s="157">
        <v>476495.4</v>
      </c>
      <c r="C130" s="285">
        <v>610357.98999999976</v>
      </c>
      <c r="D130" s="285">
        <v>491436.28</v>
      </c>
      <c r="E130" s="285">
        <v>630403.68000000005</v>
      </c>
      <c r="F130" s="285">
        <v>509234.80000000005</v>
      </c>
      <c r="G130" s="1344">
        <v>765449.00999999989</v>
      </c>
    </row>
    <row r="131" spans="1:8" ht="12" customHeight="1">
      <c r="A131" s="890" t="s">
        <v>522</v>
      </c>
      <c r="B131" s="157">
        <v>143325.99</v>
      </c>
      <c r="C131" s="285">
        <v>159042.47999999998</v>
      </c>
      <c r="D131" s="285">
        <v>147325.86000000002</v>
      </c>
      <c r="E131" s="285">
        <v>132509.29</v>
      </c>
      <c r="F131" s="285">
        <v>211225.4</v>
      </c>
      <c r="G131" s="1344">
        <v>264106.92000000004</v>
      </c>
    </row>
    <row r="132" spans="1:8" ht="12" customHeight="1">
      <c r="A132" s="889" t="s">
        <v>158</v>
      </c>
      <c r="B132" s="157">
        <v>1929334.2999999989</v>
      </c>
      <c r="C132" s="285">
        <v>1776285.3900000001</v>
      </c>
      <c r="D132" s="285">
        <v>2192495.17</v>
      </c>
      <c r="E132" s="285">
        <v>2123538.7200000002</v>
      </c>
      <c r="F132" s="285">
        <v>2428911.4400000013</v>
      </c>
      <c r="G132" s="1344">
        <v>3357043.08</v>
      </c>
    </row>
    <row r="133" spans="1:8" ht="20.100000000000001" customHeight="1">
      <c r="A133" s="890" t="s">
        <v>401</v>
      </c>
      <c r="B133" s="287">
        <v>1799521.29</v>
      </c>
      <c r="C133" s="287">
        <v>2332359.7400000002</v>
      </c>
      <c r="D133" s="287">
        <v>2688583.11</v>
      </c>
      <c r="E133" s="287">
        <v>2586803.04</v>
      </c>
      <c r="F133" s="287">
        <v>2758790.26</v>
      </c>
      <c r="G133" s="1343">
        <v>2147458.87</v>
      </c>
      <c r="H133" s="288"/>
    </row>
    <row r="134" spans="1:8" ht="12" customHeight="1">
      <c r="A134" s="890" t="s">
        <v>405</v>
      </c>
      <c r="B134" s="285">
        <v>547439.52</v>
      </c>
      <c r="C134" s="285">
        <v>638462.66</v>
      </c>
      <c r="D134" s="394">
        <v>1102933.04</v>
      </c>
      <c r="E134" s="394">
        <v>764771.03</v>
      </c>
      <c r="F134" s="394">
        <v>894547.54999999993</v>
      </c>
      <c r="G134" s="1344">
        <v>876560.21</v>
      </c>
    </row>
    <row r="135" spans="1:8" ht="12" customHeight="1">
      <c r="A135" s="890" t="s">
        <v>164</v>
      </c>
      <c r="B135" s="285">
        <v>171840.43999999997</v>
      </c>
      <c r="C135" s="285">
        <v>278063.12000000005</v>
      </c>
      <c r="D135" s="394">
        <v>126146.64000000001</v>
      </c>
      <c r="E135" s="394">
        <v>171912.79</v>
      </c>
      <c r="F135" s="394">
        <v>353097.32</v>
      </c>
      <c r="G135" s="1344">
        <v>399930.34999999986</v>
      </c>
      <c r="H135" s="289"/>
    </row>
    <row r="136" spans="1:8" ht="12" customHeight="1">
      <c r="A136" s="890" t="s">
        <v>166</v>
      </c>
      <c r="B136" s="285">
        <v>4930330.8899999987</v>
      </c>
      <c r="C136" s="285">
        <v>5310604.9699999979</v>
      </c>
      <c r="D136" s="394">
        <v>4697436.2300000014</v>
      </c>
      <c r="E136" s="394">
        <v>4623860.3499999996</v>
      </c>
      <c r="F136" s="394">
        <v>6204195.7899999991</v>
      </c>
      <c r="G136" s="1344">
        <v>8174002.7900000038</v>
      </c>
    </row>
    <row r="137" spans="1:8" ht="12" customHeight="1">
      <c r="A137" s="890" t="s">
        <v>168</v>
      </c>
      <c r="B137" s="285">
        <v>8256361.2999999989</v>
      </c>
      <c r="C137" s="285">
        <v>7540899.04</v>
      </c>
      <c r="D137" s="394">
        <v>8101583.7900000028</v>
      </c>
      <c r="E137" s="394">
        <v>8958525.0299999993</v>
      </c>
      <c r="F137" s="394">
        <v>10219944.739999998</v>
      </c>
      <c r="G137" s="1344">
        <v>12853020.970000003</v>
      </c>
    </row>
    <row r="138" spans="1:8" ht="20.100000000000001" customHeight="1">
      <c r="A138" s="890" t="s">
        <v>421</v>
      </c>
      <c r="B138" s="285">
        <v>84398.76</v>
      </c>
      <c r="C138" s="285">
        <v>80173.829999999987</v>
      </c>
      <c r="D138" s="394">
        <v>47697.149999999994</v>
      </c>
      <c r="E138" s="394">
        <v>33539.14</v>
      </c>
      <c r="F138" s="394">
        <v>34126.039999999994</v>
      </c>
      <c r="G138" s="1344">
        <v>76756.63</v>
      </c>
      <c r="H138" s="286"/>
    </row>
    <row r="139" spans="1:8" ht="12" customHeight="1">
      <c r="A139" s="890" t="s">
        <v>172</v>
      </c>
      <c r="B139" s="285">
        <v>456021.7</v>
      </c>
      <c r="C139" s="285">
        <v>583023.69000000006</v>
      </c>
      <c r="D139" s="394">
        <v>724052.32999999973</v>
      </c>
      <c r="E139" s="394">
        <v>689506.03</v>
      </c>
      <c r="F139" s="394">
        <v>994761.70999999973</v>
      </c>
      <c r="G139" s="1344">
        <v>1014291.3299999997</v>
      </c>
    </row>
    <row r="140" spans="1:8" ht="12" customHeight="1">
      <c r="A140" s="890" t="s">
        <v>429</v>
      </c>
      <c r="B140" s="285">
        <v>479095.51999999996</v>
      </c>
      <c r="C140" s="285">
        <v>556923.15</v>
      </c>
      <c r="D140" s="285">
        <v>517639.78999999992</v>
      </c>
      <c r="E140" s="285">
        <v>481022.93</v>
      </c>
      <c r="F140" s="285">
        <v>656793.40999999992</v>
      </c>
      <c r="G140" s="1344">
        <v>1173413.32</v>
      </c>
    </row>
    <row r="141" spans="1:8" ht="12" customHeight="1">
      <c r="A141" s="890" t="s">
        <v>176</v>
      </c>
      <c r="B141" s="285">
        <v>2381920.1800000002</v>
      </c>
      <c r="C141" s="285">
        <v>2757641.7899999996</v>
      </c>
      <c r="D141" s="285">
        <v>2768361.3500000006</v>
      </c>
      <c r="E141" s="285">
        <v>2715464.43</v>
      </c>
      <c r="F141" s="285">
        <v>3434800.6300000004</v>
      </c>
      <c r="G141" s="1344">
        <v>4940637.7799999993</v>
      </c>
    </row>
    <row r="142" spans="1:8" ht="12" customHeight="1">
      <c r="A142" s="890" t="s">
        <v>178</v>
      </c>
      <c r="B142" s="285">
        <v>251801.69999999998</v>
      </c>
      <c r="C142" s="285">
        <v>272995.55</v>
      </c>
      <c r="D142" s="285">
        <v>393001.90000000008</v>
      </c>
      <c r="E142" s="285">
        <v>208553.1</v>
      </c>
      <c r="F142" s="285">
        <v>508418.05000000016</v>
      </c>
      <c r="G142" s="1344">
        <v>576192.87999999989</v>
      </c>
    </row>
    <row r="143" spans="1:8" ht="20.100000000000001" customHeight="1">
      <c r="A143" s="890" t="s">
        <v>142</v>
      </c>
      <c r="B143" s="285">
        <v>9425440.1099999957</v>
      </c>
      <c r="C143" s="285">
        <v>10032563.970000001</v>
      </c>
      <c r="D143" s="285">
        <v>10745574.750000004</v>
      </c>
      <c r="E143" s="285">
        <v>11089877.02</v>
      </c>
      <c r="F143" s="285">
        <v>13287241.229999999</v>
      </c>
      <c r="G143" s="1344">
        <v>16775543.460000008</v>
      </c>
    </row>
    <row r="144" spans="1:8" ht="12" customHeight="1">
      <c r="A144" s="890" t="s">
        <v>27</v>
      </c>
      <c r="B144" s="285">
        <v>2596749.5999999992</v>
      </c>
      <c r="C144" s="285">
        <v>2528439.850000001</v>
      </c>
      <c r="D144" s="285">
        <v>2728056.2100000004</v>
      </c>
      <c r="E144" s="285">
        <v>2734246.68</v>
      </c>
      <c r="F144" s="285">
        <v>3350488.7399999993</v>
      </c>
      <c r="G144" s="1344">
        <v>3969025.8599999985</v>
      </c>
    </row>
    <row r="145" spans="1:7" ht="12" customHeight="1">
      <c r="A145" s="890" t="s">
        <v>179</v>
      </c>
      <c r="B145" s="285">
        <v>710953.95000000007</v>
      </c>
      <c r="C145" s="285">
        <v>686609.73999999976</v>
      </c>
      <c r="D145" s="285">
        <v>877400.71000000008</v>
      </c>
      <c r="E145" s="285">
        <v>714536.46</v>
      </c>
      <c r="F145" s="285">
        <v>807080.85</v>
      </c>
      <c r="G145" s="1344">
        <v>1205161.92</v>
      </c>
    </row>
    <row r="146" spans="1:7" ht="12" customHeight="1">
      <c r="A146" s="890" t="s">
        <v>180</v>
      </c>
      <c r="B146" s="285">
        <v>560474.21000000008</v>
      </c>
      <c r="C146" s="285">
        <v>634552.8200000003</v>
      </c>
      <c r="D146" s="285">
        <v>789628.69999999984</v>
      </c>
      <c r="E146" s="285">
        <v>753257.27</v>
      </c>
      <c r="F146" s="285">
        <v>787650.24</v>
      </c>
      <c r="G146" s="1344">
        <v>1078578.3499999996</v>
      </c>
    </row>
    <row r="147" spans="1:7" ht="12" customHeight="1">
      <c r="A147" s="890" t="s">
        <v>181</v>
      </c>
      <c r="B147" s="285">
        <v>3676014.4200000004</v>
      </c>
      <c r="C147" s="285">
        <v>3757204.399999999</v>
      </c>
      <c r="D147" s="285">
        <v>4846509.4899999993</v>
      </c>
      <c r="E147" s="285">
        <v>4677408.2300000004</v>
      </c>
      <c r="F147" s="285">
        <v>6133052.1700000018</v>
      </c>
      <c r="G147" s="1344">
        <v>9032188.610000005</v>
      </c>
    </row>
    <row r="148" spans="1:7" ht="20.100000000000001" customHeight="1">
      <c r="A148" s="890" t="s">
        <v>673</v>
      </c>
      <c r="B148" s="285">
        <v>19903921.919999994</v>
      </c>
      <c r="C148" s="285">
        <v>21344156.470000003</v>
      </c>
      <c r="D148" s="285">
        <v>20224602.759999998</v>
      </c>
      <c r="E148" s="285">
        <v>20763271</v>
      </c>
      <c r="F148" s="285">
        <v>26215390.72000001</v>
      </c>
      <c r="G148" s="1344">
        <v>35842657.400000006</v>
      </c>
    </row>
    <row r="149" spans="1:7" ht="12" customHeight="1">
      <c r="A149" s="156" t="s">
        <v>183</v>
      </c>
      <c r="B149" s="285">
        <v>537978.95999999973</v>
      </c>
      <c r="C149" s="285">
        <v>619224.23999999987</v>
      </c>
      <c r="D149" s="285">
        <v>633189.14</v>
      </c>
      <c r="E149" s="285">
        <v>619963.27</v>
      </c>
      <c r="F149" s="285">
        <v>881698.49999999988</v>
      </c>
      <c r="G149" s="1344">
        <v>983061.15999999945</v>
      </c>
    </row>
    <row r="150" spans="1:7" ht="12" customHeight="1">
      <c r="A150" s="156" t="s">
        <v>465</v>
      </c>
      <c r="B150" s="285">
        <v>543353.5299999998</v>
      </c>
      <c r="C150" s="285">
        <v>710085.36</v>
      </c>
      <c r="D150" s="285">
        <v>1118442.399999999</v>
      </c>
      <c r="E150" s="285">
        <v>583808.59</v>
      </c>
      <c r="F150" s="285">
        <v>857764.64000000013</v>
      </c>
      <c r="G150" s="1344">
        <v>751302.75999999954</v>
      </c>
    </row>
    <row r="151" spans="1:7" ht="12" customHeight="1">
      <c r="A151" s="156" t="s">
        <v>187</v>
      </c>
      <c r="B151" s="285">
        <v>969940.35999999987</v>
      </c>
      <c r="C151" s="285">
        <v>1250329.02</v>
      </c>
      <c r="D151" s="285">
        <v>990755.91</v>
      </c>
      <c r="E151" s="285">
        <v>1054096.8500000001</v>
      </c>
      <c r="F151" s="285">
        <v>1168017.3999999997</v>
      </c>
      <c r="G151" s="1344">
        <v>1462397.7899999998</v>
      </c>
    </row>
    <row r="152" spans="1:7" s="572" customFormat="1" ht="6" customHeight="1">
      <c r="A152" s="579"/>
      <c r="B152" s="579"/>
      <c r="E152" s="571"/>
      <c r="F152" s="571"/>
      <c r="G152" s="571"/>
    </row>
    <row r="153" spans="1:7">
      <c r="A153" s="580" t="s">
        <v>29</v>
      </c>
      <c r="B153" s="581">
        <f t="shared" ref="B153:G153" si="4">SUM(B114:B132,B133:B151)</f>
        <v>100420697.55999997</v>
      </c>
      <c r="C153" s="581">
        <f t="shared" si="4"/>
        <v>103582882.12999998</v>
      </c>
      <c r="D153" s="581">
        <f t="shared" si="4"/>
        <v>111184008.08999999</v>
      </c>
      <c r="E153" s="581">
        <f t="shared" si="4"/>
        <v>109460069.98999999</v>
      </c>
      <c r="F153" s="581">
        <f t="shared" si="4"/>
        <v>132666677.06</v>
      </c>
      <c r="G153" s="581">
        <f t="shared" si="4"/>
        <v>177467703.21999997</v>
      </c>
    </row>
    <row r="154" spans="1:7">
      <c r="A154" s="580" t="s">
        <v>24</v>
      </c>
      <c r="B154" s="581">
        <f t="shared" ref="B154:G154" si="5">SUM(B5:B34,B35:B68,B69:B102,B103:B107)</f>
        <v>298077573.12</v>
      </c>
      <c r="C154" s="581">
        <f t="shared" si="5"/>
        <v>323500358.88</v>
      </c>
      <c r="D154" s="581">
        <f t="shared" si="5"/>
        <v>317011492.09000015</v>
      </c>
      <c r="E154" s="581">
        <f t="shared" si="5"/>
        <v>309985515.51999992</v>
      </c>
      <c r="F154" s="581">
        <f t="shared" si="5"/>
        <v>394179563.19000024</v>
      </c>
      <c r="G154" s="581">
        <f t="shared" si="5"/>
        <v>563241430.42000008</v>
      </c>
    </row>
    <row r="155" spans="1:7" ht="9" customHeight="1">
      <c r="B155" s="582"/>
      <c r="C155" s="583"/>
      <c r="D155" s="583"/>
      <c r="E155" s="584"/>
      <c r="F155" s="584"/>
      <c r="G155" s="584"/>
    </row>
    <row r="156" spans="1:7">
      <c r="A156" s="580" t="s">
        <v>30</v>
      </c>
      <c r="B156" s="581">
        <f t="shared" ref="B156:G156" si="6">SUM(B153:B154)</f>
        <v>398498270.67999995</v>
      </c>
      <c r="C156" s="581">
        <f t="shared" si="6"/>
        <v>427083241.00999999</v>
      </c>
      <c r="D156" s="581">
        <f t="shared" si="6"/>
        <v>428195500.18000013</v>
      </c>
      <c r="E156" s="581">
        <f t="shared" si="6"/>
        <v>419445585.50999993</v>
      </c>
      <c r="F156" s="581">
        <f t="shared" si="6"/>
        <v>526846240.25000024</v>
      </c>
      <c r="G156" s="581">
        <f t="shared" si="6"/>
        <v>740709133.6400001</v>
      </c>
    </row>
    <row r="157" spans="1:7" s="885" customFormat="1" ht="6" customHeight="1">
      <c r="A157" s="883"/>
      <c r="B157" s="884"/>
      <c r="C157" s="884"/>
      <c r="D157" s="884"/>
      <c r="F157" s="886"/>
      <c r="G157" s="886"/>
    </row>
    <row r="158" spans="1:7" s="885" customFormat="1" ht="12" customHeight="1">
      <c r="A158" s="880" t="s">
        <v>1</v>
      </c>
      <c r="F158" s="886"/>
      <c r="G158" s="886"/>
    </row>
    <row r="159" spans="1:7" s="885" customFormat="1" ht="12" customHeight="1">
      <c r="A159" s="881" t="s">
        <v>861</v>
      </c>
      <c r="F159" s="886"/>
      <c r="G159" s="886"/>
    </row>
    <row r="160" spans="1:7" s="885" customFormat="1" ht="12" customHeight="1">
      <c r="A160" s="882" t="s">
        <v>894</v>
      </c>
      <c r="F160" s="886"/>
      <c r="G160" s="886"/>
    </row>
    <row r="161" spans="1:5" s="1068" customFormat="1" ht="12.75" customHeight="1">
      <c r="A161" s="1120" t="s">
        <v>1154</v>
      </c>
      <c r="B161" s="1072"/>
      <c r="C161" s="1072"/>
      <c r="D161" s="1072"/>
      <c r="E161" s="1073"/>
    </row>
  </sheetData>
  <customSheetViews>
    <customSheetView guid="{E6BBE5A7-0B25-4EE8-BA45-5EA5DBAF3AD4}" showPageBreaks="1" printArea="1">
      <rowBreaks count="4" manualBreakCount="4">
        <brk id="41" max="16383" man="1"/>
        <brk id="82" max="16383" man="1"/>
        <brk id="123" max="16383" man="1"/>
        <brk id="163" max="16383" man="1"/>
      </rowBreaks>
      <pageMargins left="0.5" right="0.5" top="0.5" bottom="0.75" header="0.5" footer="0.5"/>
      <printOptions horizontalCentered="1"/>
      <pageSetup scale="87" orientation="landscape" r:id="rId1"/>
      <headerFooter alignWithMargins="0"/>
    </customSheetView>
  </customSheetViews>
  <mergeCells count="3">
    <mergeCell ref="A40:D40"/>
    <mergeCell ref="A79:D79"/>
    <mergeCell ref="A110:D110"/>
  </mergeCells>
  <hyperlinks>
    <hyperlink ref="H1" location="TOC!A1" display="Back"/>
  </hyperlinks>
  <pageMargins left="0.75" right="0.25" top="0.3" bottom="0.2" header="0.25" footer="0.2"/>
  <pageSetup scale="87" orientation="landscape" r:id="rId2"/>
  <headerFooter scaleWithDoc="0">
    <oddHeader>&amp;R&amp;P</oddHeader>
  </headerFooter>
  <rowBreaks count="3" manualBreakCount="3">
    <brk id="39" max="16383" man="1"/>
    <brk id="78" max="16383" man="1"/>
    <brk id="109" max="16383" man="1"/>
  </row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dimension ref="A1:O108"/>
  <sheetViews>
    <sheetView zoomScaleNormal="100" zoomScaleSheetLayoutView="80" workbookViewId="0"/>
  </sheetViews>
  <sheetFormatPr defaultColWidth="9.140625" defaultRowHeight="12.75"/>
  <cols>
    <col min="1" max="1" width="18.85546875" style="536" customWidth="1"/>
    <col min="2" max="2" width="12.7109375" style="536" bestFit="1" customWidth="1"/>
    <col min="3" max="3" width="8.7109375" style="536" customWidth="1"/>
    <col min="4" max="4" width="18.7109375" style="536" customWidth="1"/>
    <col min="5" max="5" width="13" style="536" bestFit="1" customWidth="1"/>
    <col min="6" max="6" width="8.7109375" style="293" customWidth="1"/>
    <col min="7" max="7" width="18.7109375" style="536" customWidth="1"/>
    <col min="8" max="8" width="13" style="536" bestFit="1" customWidth="1"/>
    <col min="9" max="9" width="6.140625" style="536" customWidth="1"/>
    <col min="10" max="10" width="18.7109375" style="536" customWidth="1"/>
    <col min="11" max="11" width="13" style="536" bestFit="1" customWidth="1"/>
    <col min="12" max="12" width="2.42578125" style="536" customWidth="1"/>
    <col min="13" max="14" width="5.28515625" style="536" bestFit="1" customWidth="1"/>
    <col min="15" max="16384" width="9.140625" style="536"/>
  </cols>
  <sheetData>
    <row r="1" spans="1:13" ht="18.75">
      <c r="A1" s="534" t="s">
        <v>396</v>
      </c>
      <c r="B1" s="535"/>
      <c r="M1" s="1276" t="s">
        <v>1194</v>
      </c>
    </row>
    <row r="2" spans="1:13" ht="16.5">
      <c r="A2" s="537" t="s">
        <v>1075</v>
      </c>
      <c r="B2" s="535"/>
    </row>
    <row r="3" spans="1:13" ht="13.5" customHeight="1" thickBot="1">
      <c r="A3" s="538"/>
      <c r="B3" s="535"/>
    </row>
    <row r="4" spans="1:13">
      <c r="A4" s="539"/>
      <c r="B4" s="540"/>
      <c r="D4" s="539"/>
      <c r="E4" s="540"/>
      <c r="G4" s="539"/>
      <c r="H4" s="540"/>
    </row>
    <row r="5" spans="1:13">
      <c r="A5" s="541" t="s">
        <v>23</v>
      </c>
      <c r="B5" s="542" t="s">
        <v>397</v>
      </c>
      <c r="D5" s="541" t="s">
        <v>23</v>
      </c>
      <c r="E5" s="542" t="s">
        <v>397</v>
      </c>
      <c r="G5" s="541" t="s">
        <v>25</v>
      </c>
      <c r="H5" s="542" t="s">
        <v>397</v>
      </c>
    </row>
    <row r="6" spans="1:13">
      <c r="A6" s="293" t="s">
        <v>398</v>
      </c>
      <c r="B6" s="543">
        <v>778701.52</v>
      </c>
      <c r="C6" s="294"/>
      <c r="D6" s="293" t="s">
        <v>439</v>
      </c>
      <c r="E6" s="294">
        <v>250864.71</v>
      </c>
      <c r="F6" s="294"/>
      <c r="G6" s="293" t="s">
        <v>473</v>
      </c>
      <c r="H6" s="543">
        <v>8185819.2999999998</v>
      </c>
      <c r="I6" s="294"/>
      <c r="L6" s="294"/>
      <c r="M6" s="544"/>
    </row>
    <row r="7" spans="1:13">
      <c r="A7" s="293" t="s">
        <v>402</v>
      </c>
      <c r="B7" s="294">
        <v>3507699.83</v>
      </c>
      <c r="C7" s="294"/>
      <c r="D7" s="293" t="s">
        <v>443</v>
      </c>
      <c r="E7" s="294">
        <v>318836.84000000003</v>
      </c>
      <c r="F7" s="294"/>
      <c r="G7" s="293" t="s">
        <v>478</v>
      </c>
      <c r="H7" s="294">
        <v>459180.09</v>
      </c>
      <c r="I7" s="294"/>
      <c r="L7" s="294"/>
      <c r="M7" s="544"/>
    </row>
    <row r="8" spans="1:13">
      <c r="A8" s="293" t="s">
        <v>406</v>
      </c>
      <c r="B8" s="294">
        <v>313667.94</v>
      </c>
      <c r="C8" s="294"/>
      <c r="D8" s="293" t="s">
        <v>447</v>
      </c>
      <c r="E8" s="294">
        <v>8809146.2200000007</v>
      </c>
      <c r="F8" s="294"/>
      <c r="G8" s="293" t="s">
        <v>481</v>
      </c>
      <c r="H8" s="294">
        <v>238733.08</v>
      </c>
      <c r="I8" s="294"/>
      <c r="L8" s="294"/>
      <c r="M8" s="544"/>
    </row>
    <row r="9" spans="1:13">
      <c r="A9" s="293" t="s">
        <v>410</v>
      </c>
      <c r="B9" s="294">
        <v>192317.52</v>
      </c>
      <c r="C9" s="294"/>
      <c r="D9" s="293" t="s">
        <v>451</v>
      </c>
      <c r="E9" s="294">
        <v>263284.57</v>
      </c>
      <c r="F9" s="294"/>
      <c r="G9" s="293" t="s">
        <v>484</v>
      </c>
      <c r="H9" s="294">
        <v>2425303.7599999998</v>
      </c>
      <c r="I9" s="294"/>
      <c r="L9" s="294"/>
      <c r="M9" s="544"/>
    </row>
    <row r="10" spans="1:13">
      <c r="A10" s="293" t="s">
        <v>414</v>
      </c>
      <c r="B10" s="294">
        <v>958681.48</v>
      </c>
      <c r="C10" s="294"/>
      <c r="D10" s="293" t="s">
        <v>455</v>
      </c>
      <c r="E10" s="294">
        <v>156299.98000000001</v>
      </c>
      <c r="F10" s="294"/>
      <c r="G10" s="293" t="s">
        <v>487</v>
      </c>
      <c r="H10" s="294">
        <v>9007909.8399999999</v>
      </c>
      <c r="I10" s="294"/>
      <c r="L10" s="294"/>
      <c r="M10" s="544"/>
    </row>
    <row r="11" spans="1:13" ht="21" customHeight="1">
      <c r="A11" s="293" t="s">
        <v>418</v>
      </c>
      <c r="B11" s="294">
        <v>426696.13</v>
      </c>
      <c r="C11" s="294"/>
      <c r="D11" s="293" t="s">
        <v>459</v>
      </c>
      <c r="E11" s="294">
        <v>439924.26</v>
      </c>
      <c r="F11" s="294"/>
      <c r="G11" s="293" t="s">
        <v>490</v>
      </c>
      <c r="H11" s="294">
        <v>527060.41</v>
      </c>
      <c r="I11" s="294"/>
      <c r="L11" s="294"/>
      <c r="M11" s="544"/>
    </row>
    <row r="12" spans="1:13">
      <c r="A12" s="293" t="s">
        <v>422</v>
      </c>
      <c r="B12" s="294">
        <v>5692064.7699999996</v>
      </c>
      <c r="C12" s="294"/>
      <c r="D12" s="293" t="s">
        <v>461</v>
      </c>
      <c r="E12" s="294">
        <v>339718.47</v>
      </c>
      <c r="F12" s="294"/>
      <c r="G12" s="293" t="s">
        <v>493</v>
      </c>
      <c r="H12" s="294">
        <v>235186.79</v>
      </c>
      <c r="I12" s="294"/>
      <c r="L12" s="294"/>
      <c r="M12" s="544"/>
    </row>
    <row r="13" spans="1:13">
      <c r="A13" s="293" t="s">
        <v>426</v>
      </c>
      <c r="B13" s="294">
        <v>1893277.24</v>
      </c>
      <c r="C13" s="294"/>
      <c r="D13" s="293" t="s">
        <v>464</v>
      </c>
      <c r="E13" s="294">
        <v>436894.55</v>
      </c>
      <c r="F13" s="294"/>
      <c r="G13" s="293" t="s">
        <v>496</v>
      </c>
      <c r="H13" s="294">
        <v>2438462.09</v>
      </c>
      <c r="I13" s="294"/>
      <c r="L13" s="294"/>
      <c r="M13" s="544"/>
    </row>
    <row r="14" spans="1:13">
      <c r="A14" s="293" t="s">
        <v>430</v>
      </c>
      <c r="B14" s="294">
        <v>87424.58</v>
      </c>
      <c r="C14" s="294"/>
      <c r="D14" s="293" t="s">
        <v>467</v>
      </c>
      <c r="E14" s="294">
        <v>332524.45</v>
      </c>
      <c r="F14" s="294"/>
      <c r="G14" s="293" t="s">
        <v>499</v>
      </c>
      <c r="H14" s="294">
        <v>202122.93</v>
      </c>
      <c r="I14" s="294"/>
      <c r="L14" s="294"/>
      <c r="M14" s="544"/>
    </row>
    <row r="15" spans="1:13">
      <c r="A15" s="545" t="s">
        <v>882</v>
      </c>
      <c r="B15" s="294">
        <v>1450478.57</v>
      </c>
      <c r="C15" s="294"/>
      <c r="D15" s="293" t="s">
        <v>470</v>
      </c>
      <c r="E15" s="294">
        <v>771295.18</v>
      </c>
      <c r="F15" s="294"/>
      <c r="G15" s="293" t="s">
        <v>189</v>
      </c>
      <c r="H15" s="294">
        <v>1721476.9</v>
      </c>
      <c r="I15" s="294"/>
      <c r="L15" s="294"/>
      <c r="M15" s="544"/>
    </row>
    <row r="16" spans="1:13" ht="21" customHeight="1">
      <c r="A16" s="293" t="s">
        <v>438</v>
      </c>
      <c r="B16" s="294">
        <v>79149.899999999994</v>
      </c>
      <c r="C16" s="294"/>
      <c r="D16" s="293" t="s">
        <v>472</v>
      </c>
      <c r="E16" s="294">
        <v>358838.05</v>
      </c>
      <c r="F16" s="294"/>
      <c r="G16" s="293" t="s">
        <v>504</v>
      </c>
      <c r="H16" s="294">
        <v>651218.71</v>
      </c>
      <c r="I16" s="294"/>
      <c r="L16" s="294"/>
      <c r="M16" s="544"/>
    </row>
    <row r="17" spans="1:13">
      <c r="A17" s="293" t="s">
        <v>442</v>
      </c>
      <c r="B17" s="294">
        <v>541873.06000000006</v>
      </c>
      <c r="C17" s="294"/>
      <c r="D17" s="293" t="s">
        <v>475</v>
      </c>
      <c r="E17" s="294">
        <v>451532.89</v>
      </c>
      <c r="F17" s="294"/>
      <c r="G17" s="293" t="s">
        <v>838</v>
      </c>
      <c r="H17" s="294">
        <v>420728.64</v>
      </c>
      <c r="I17" s="294"/>
      <c r="L17" s="294"/>
      <c r="M17" s="544"/>
    </row>
    <row r="18" spans="1:13">
      <c r="A18" s="293" t="s">
        <v>446</v>
      </c>
      <c r="B18" s="294">
        <v>317119.15000000002</v>
      </c>
      <c r="C18" s="294"/>
      <c r="D18" s="293" t="s">
        <v>477</v>
      </c>
      <c r="E18" s="294">
        <v>384682.57</v>
      </c>
      <c r="F18" s="294"/>
      <c r="G18" s="293" t="s">
        <v>509</v>
      </c>
      <c r="H18" s="294">
        <v>1348079.75</v>
      </c>
      <c r="I18" s="294"/>
      <c r="L18" s="294"/>
      <c r="M18" s="544"/>
    </row>
    <row r="19" spans="1:13">
      <c r="A19" s="293" t="s">
        <v>450</v>
      </c>
      <c r="B19" s="294">
        <v>639584.74</v>
      </c>
      <c r="C19" s="294"/>
      <c r="D19" s="293" t="s">
        <v>480</v>
      </c>
      <c r="E19" s="294">
        <v>289629.84000000003</v>
      </c>
      <c r="F19" s="294"/>
      <c r="G19" s="293" t="s">
        <v>512</v>
      </c>
      <c r="H19" s="294">
        <v>176940.74</v>
      </c>
      <c r="I19" s="294"/>
      <c r="L19" s="294"/>
      <c r="M19" s="544"/>
    </row>
    <row r="20" spans="1:13">
      <c r="A20" s="293" t="s">
        <v>454</v>
      </c>
      <c r="B20" s="294">
        <v>320722.51</v>
      </c>
      <c r="C20" s="294"/>
      <c r="D20" s="293" t="s">
        <v>483</v>
      </c>
      <c r="E20" s="294">
        <v>263072.21999999997</v>
      </c>
      <c r="F20" s="294"/>
      <c r="G20" s="293" t="s">
        <v>514</v>
      </c>
      <c r="H20" s="294">
        <v>6929404.4299999997</v>
      </c>
      <c r="I20" s="294"/>
      <c r="L20" s="294"/>
      <c r="M20" s="544"/>
    </row>
    <row r="21" spans="1:13" ht="21" customHeight="1">
      <c r="A21" s="293" t="s">
        <v>458</v>
      </c>
      <c r="B21" s="294">
        <v>1054583.51</v>
      </c>
      <c r="C21" s="294"/>
      <c r="D21" s="293" t="s">
        <v>486</v>
      </c>
      <c r="E21" s="294">
        <v>1084341.95</v>
      </c>
      <c r="F21" s="294"/>
      <c r="G21" s="293" t="s">
        <v>516</v>
      </c>
      <c r="H21" s="294">
        <v>1225540.8600000001</v>
      </c>
      <c r="L21" s="294"/>
      <c r="M21" s="544"/>
    </row>
    <row r="22" spans="1:13">
      <c r="A22" s="293" t="s">
        <v>460</v>
      </c>
      <c r="B22" s="294">
        <v>594262.52</v>
      </c>
      <c r="C22" s="294"/>
      <c r="D22" s="293" t="s">
        <v>489</v>
      </c>
      <c r="E22" s="294">
        <v>370687.54</v>
      </c>
      <c r="F22" s="294"/>
      <c r="G22" s="293" t="s">
        <v>519</v>
      </c>
      <c r="H22" s="294">
        <v>638786.07999999996</v>
      </c>
      <c r="L22" s="294"/>
      <c r="M22" s="544"/>
    </row>
    <row r="23" spans="1:13">
      <c r="A23" s="293" t="s">
        <v>463</v>
      </c>
      <c r="B23" s="294">
        <v>766078.71</v>
      </c>
      <c r="C23" s="294"/>
      <c r="D23" s="293" t="s">
        <v>492</v>
      </c>
      <c r="E23" s="294">
        <v>370117.1</v>
      </c>
      <c r="F23" s="294"/>
      <c r="G23" s="293" t="s">
        <v>522</v>
      </c>
      <c r="H23" s="294">
        <v>243499.5</v>
      </c>
      <c r="L23" s="294"/>
      <c r="M23" s="544"/>
    </row>
    <row r="24" spans="1:13">
      <c r="A24" s="293" t="s">
        <v>466</v>
      </c>
      <c r="B24" s="294">
        <v>117138.62</v>
      </c>
      <c r="C24" s="294"/>
      <c r="D24" s="293" t="s">
        <v>495</v>
      </c>
      <c r="E24" s="294">
        <v>1719822.63</v>
      </c>
      <c r="F24" s="294"/>
      <c r="G24" s="293" t="s">
        <v>525</v>
      </c>
      <c r="H24" s="294">
        <v>2569589.42</v>
      </c>
      <c r="L24" s="294"/>
      <c r="M24" s="544"/>
    </row>
    <row r="25" spans="1:13">
      <c r="A25" s="293" t="s">
        <v>469</v>
      </c>
      <c r="B25" s="294">
        <v>97299.66</v>
      </c>
      <c r="C25" s="294"/>
      <c r="D25" s="293" t="s">
        <v>498</v>
      </c>
      <c r="E25" s="294">
        <v>652226.53</v>
      </c>
      <c r="F25" s="294"/>
      <c r="G25" s="293" t="s">
        <v>401</v>
      </c>
      <c r="H25" s="294">
        <v>2186339.34</v>
      </c>
      <c r="M25" s="544"/>
    </row>
    <row r="26" spans="1:13" ht="21" customHeight="1">
      <c r="A26" s="293" t="s">
        <v>471</v>
      </c>
      <c r="B26" s="294">
        <v>11027307.109999999</v>
      </c>
      <c r="C26" s="294"/>
      <c r="D26" s="293" t="s">
        <v>501</v>
      </c>
      <c r="E26" s="294">
        <v>235801.59</v>
      </c>
      <c r="F26" s="294"/>
      <c r="G26" s="293" t="s">
        <v>405</v>
      </c>
      <c r="H26" s="543">
        <v>553906.43000000005</v>
      </c>
      <c r="I26" s="294"/>
      <c r="M26" s="544"/>
    </row>
    <row r="27" spans="1:13">
      <c r="A27" s="293" t="s">
        <v>474</v>
      </c>
      <c r="B27" s="294">
        <v>325244.94</v>
      </c>
      <c r="C27" s="294"/>
      <c r="D27" s="293" t="s">
        <v>503</v>
      </c>
      <c r="E27" s="294">
        <v>965235.32</v>
      </c>
      <c r="F27" s="294"/>
      <c r="G27" s="293" t="s">
        <v>409</v>
      </c>
      <c r="H27" s="294">
        <v>688475.39</v>
      </c>
      <c r="I27" s="294"/>
      <c r="M27" s="544"/>
    </row>
    <row r="28" spans="1:13">
      <c r="A28" s="293" t="s">
        <v>476</v>
      </c>
      <c r="B28" s="294">
        <v>87424.53</v>
      </c>
      <c r="C28" s="294"/>
      <c r="D28" s="293" t="s">
        <v>506</v>
      </c>
      <c r="E28" s="294">
        <v>14672488.42</v>
      </c>
      <c r="F28" s="294"/>
      <c r="G28" s="293" t="s">
        <v>413</v>
      </c>
      <c r="H28" s="294">
        <v>8823115.8800000008</v>
      </c>
      <c r="I28" s="294"/>
      <c r="M28" s="544"/>
    </row>
    <row r="29" spans="1:13">
      <c r="A29" s="293" t="s">
        <v>479</v>
      </c>
      <c r="B29" s="294">
        <v>1541012.11</v>
      </c>
      <c r="C29" s="294"/>
      <c r="D29" s="293" t="s">
        <v>508</v>
      </c>
      <c r="E29" s="294">
        <v>623910.02</v>
      </c>
      <c r="F29" s="294"/>
      <c r="G29" s="293" t="s">
        <v>417</v>
      </c>
      <c r="H29" s="294">
        <v>16584552.529999999</v>
      </c>
      <c r="I29" s="294"/>
      <c r="M29" s="544"/>
    </row>
    <row r="30" spans="1:13">
      <c r="A30" s="293" t="s">
        <v>482</v>
      </c>
      <c r="B30" s="294">
        <v>289829.5</v>
      </c>
      <c r="C30" s="294"/>
      <c r="D30" s="293" t="s">
        <v>511</v>
      </c>
      <c r="E30" s="294">
        <v>262710.99</v>
      </c>
      <c r="F30" s="294"/>
      <c r="G30" s="293" t="s">
        <v>421</v>
      </c>
      <c r="H30" s="294">
        <v>159890.65</v>
      </c>
      <c r="I30" s="294"/>
      <c r="M30" s="544"/>
    </row>
    <row r="31" spans="1:13" ht="21" customHeight="1">
      <c r="A31" s="293" t="s">
        <v>485</v>
      </c>
      <c r="B31" s="294">
        <v>373717.26</v>
      </c>
      <c r="C31" s="294"/>
      <c r="D31" s="293" t="s">
        <v>887</v>
      </c>
      <c r="E31" s="294">
        <v>232898.65</v>
      </c>
      <c r="F31" s="294"/>
      <c r="G31" s="293" t="s">
        <v>425</v>
      </c>
      <c r="H31" s="294">
        <v>1392742.77</v>
      </c>
      <c r="I31" s="294"/>
      <c r="M31" s="544"/>
    </row>
    <row r="32" spans="1:13">
      <c r="A32" s="293" t="s">
        <v>488</v>
      </c>
      <c r="B32" s="294">
        <v>698315.65</v>
      </c>
      <c r="C32" s="294"/>
      <c r="D32" s="293" t="s">
        <v>888</v>
      </c>
      <c r="E32" s="294">
        <v>2984382.21</v>
      </c>
      <c r="F32" s="294"/>
      <c r="G32" s="293" t="s">
        <v>429</v>
      </c>
      <c r="H32" s="294">
        <v>312330.57</v>
      </c>
      <c r="I32" s="294"/>
      <c r="M32" s="544"/>
    </row>
    <row r="33" spans="1:13">
      <c r="A33" s="293" t="s">
        <v>491</v>
      </c>
      <c r="B33" s="294">
        <v>266700.96999999997</v>
      </c>
      <c r="C33" s="294"/>
      <c r="D33" s="293" t="s">
        <v>518</v>
      </c>
      <c r="E33" s="294">
        <v>706355.88</v>
      </c>
      <c r="F33" s="294"/>
      <c r="G33" s="293" t="s">
        <v>433</v>
      </c>
      <c r="H33" s="294">
        <v>6287778.8099999996</v>
      </c>
      <c r="I33" s="294"/>
      <c r="M33" s="544"/>
    </row>
    <row r="34" spans="1:13">
      <c r="A34" s="293" t="s">
        <v>883</v>
      </c>
      <c r="B34" s="294">
        <v>59879458.039999999</v>
      </c>
      <c r="C34" s="294"/>
      <c r="D34" s="293" t="s">
        <v>521</v>
      </c>
      <c r="E34" s="294">
        <v>1206636.78</v>
      </c>
      <c r="F34" s="294"/>
      <c r="G34" s="293" t="s">
        <v>437</v>
      </c>
      <c r="H34" s="294">
        <v>565141.04</v>
      </c>
      <c r="I34" s="294"/>
      <c r="M34" s="544"/>
    </row>
    <row r="35" spans="1:13">
      <c r="A35" s="293" t="s">
        <v>497</v>
      </c>
      <c r="B35" s="294">
        <v>2192683.98</v>
      </c>
      <c r="C35" s="294"/>
      <c r="D35" s="293" t="s">
        <v>524</v>
      </c>
      <c r="E35" s="294">
        <v>652106.06999999995</v>
      </c>
      <c r="F35" s="294"/>
      <c r="G35" s="293" t="s">
        <v>839</v>
      </c>
      <c r="H35" s="294">
        <v>15535866.810000001</v>
      </c>
      <c r="I35" s="294"/>
      <c r="M35" s="544"/>
    </row>
    <row r="36" spans="1:13" ht="21" customHeight="1">
      <c r="A36" s="293" t="s">
        <v>500</v>
      </c>
      <c r="B36" s="294">
        <v>469828.47</v>
      </c>
      <c r="C36" s="294"/>
      <c r="D36" s="293" t="s">
        <v>400</v>
      </c>
      <c r="E36" s="543">
        <v>587217.5</v>
      </c>
      <c r="F36" s="294"/>
      <c r="G36" s="293" t="s">
        <v>840</v>
      </c>
      <c r="H36" s="294">
        <v>5266211.59</v>
      </c>
      <c r="I36" s="294"/>
      <c r="M36" s="544"/>
    </row>
    <row r="37" spans="1:13">
      <c r="A37" s="293" t="s">
        <v>502</v>
      </c>
      <c r="B37" s="294">
        <v>634593.28000000003</v>
      </c>
      <c r="C37" s="294"/>
      <c r="D37" s="293" t="s">
        <v>404</v>
      </c>
      <c r="E37" s="294">
        <v>903458.79</v>
      </c>
      <c r="F37" s="294"/>
      <c r="G37" s="293" t="s">
        <v>449</v>
      </c>
      <c r="H37" s="294">
        <v>809394.86</v>
      </c>
      <c r="I37" s="294"/>
      <c r="M37" s="544"/>
    </row>
    <row r="38" spans="1:13">
      <c r="A38" s="293" t="s">
        <v>884</v>
      </c>
      <c r="B38" s="294">
        <v>1681415.54</v>
      </c>
      <c r="C38" s="294"/>
      <c r="D38" s="293" t="s">
        <v>408</v>
      </c>
      <c r="E38" s="294">
        <v>445793.56</v>
      </c>
      <c r="F38" s="294"/>
      <c r="G38" s="293" t="s">
        <v>453</v>
      </c>
      <c r="H38" s="294">
        <v>1058991.83</v>
      </c>
      <c r="I38" s="294"/>
      <c r="M38" s="544"/>
    </row>
    <row r="39" spans="1:13">
      <c r="A39" s="293" t="s">
        <v>507</v>
      </c>
      <c r="B39" s="294">
        <v>1022698.55</v>
      </c>
      <c r="C39" s="294"/>
      <c r="D39" s="293" t="s">
        <v>412</v>
      </c>
      <c r="E39" s="294">
        <v>422018.46</v>
      </c>
      <c r="F39" s="294"/>
      <c r="G39" s="293" t="s">
        <v>457</v>
      </c>
      <c r="H39" s="294">
        <v>2652995.4500000002</v>
      </c>
      <c r="I39" s="294"/>
      <c r="M39" s="544"/>
    </row>
    <row r="40" spans="1:13">
      <c r="A40" s="293" t="s">
        <v>510</v>
      </c>
      <c r="B40" s="294">
        <v>191642.48</v>
      </c>
      <c r="C40" s="294"/>
      <c r="D40" s="293" t="s">
        <v>416</v>
      </c>
      <c r="E40" s="294">
        <v>3569397.12</v>
      </c>
      <c r="F40" s="294"/>
      <c r="G40" s="293" t="s">
        <v>28</v>
      </c>
      <c r="H40" s="294">
        <v>19782171.91</v>
      </c>
      <c r="I40" s="294"/>
      <c r="M40" s="544"/>
    </row>
    <row r="41" spans="1:13" ht="21" customHeight="1">
      <c r="A41" s="293" t="s">
        <v>513</v>
      </c>
      <c r="B41" s="294">
        <v>1157540.1299999999</v>
      </c>
      <c r="C41" s="294"/>
      <c r="D41" s="293" t="s">
        <v>420</v>
      </c>
      <c r="E41" s="294">
        <v>4388682.9000000004</v>
      </c>
      <c r="F41" s="294"/>
      <c r="G41" s="293" t="s">
        <v>462</v>
      </c>
      <c r="H41" s="294">
        <v>982801.99</v>
      </c>
      <c r="I41" s="294"/>
      <c r="M41" s="544"/>
    </row>
    <row r="42" spans="1:13">
      <c r="A42" s="293" t="s">
        <v>515</v>
      </c>
      <c r="B42" s="294">
        <v>647675.61</v>
      </c>
      <c r="C42" s="294"/>
      <c r="D42" s="293" t="s">
        <v>424</v>
      </c>
      <c r="E42" s="294">
        <v>38920.480000000003</v>
      </c>
      <c r="F42" s="294"/>
      <c r="G42" s="293" t="s">
        <v>465</v>
      </c>
      <c r="H42" s="294">
        <v>544414.74</v>
      </c>
      <c r="I42" s="294"/>
      <c r="M42" s="544"/>
    </row>
    <row r="43" spans="1:13">
      <c r="A43" s="293" t="s">
        <v>517</v>
      </c>
      <c r="B43" s="294">
        <v>288305.12</v>
      </c>
      <c r="C43" s="294"/>
      <c r="D43" s="293" t="s">
        <v>428</v>
      </c>
      <c r="E43" s="294">
        <v>132756.28</v>
      </c>
      <c r="F43" s="294"/>
      <c r="G43" s="293" t="s">
        <v>468</v>
      </c>
      <c r="H43" s="294">
        <v>1618412.49</v>
      </c>
      <c r="I43" s="294"/>
      <c r="M43" s="544"/>
    </row>
    <row r="44" spans="1:13">
      <c r="A44" s="293" t="s">
        <v>520</v>
      </c>
      <c r="B44" s="294">
        <v>373156.31</v>
      </c>
      <c r="C44" s="294"/>
      <c r="D44" s="293" t="s">
        <v>432</v>
      </c>
      <c r="E44" s="294">
        <v>455785.9</v>
      </c>
      <c r="F44" s="294"/>
      <c r="G44" s="293"/>
      <c r="H44" s="294"/>
      <c r="I44" s="294"/>
      <c r="M44" s="544"/>
    </row>
    <row r="45" spans="1:13">
      <c r="A45" s="293" t="s">
        <v>523</v>
      </c>
      <c r="B45" s="294">
        <v>134233.10999999999</v>
      </c>
      <c r="C45" s="294"/>
      <c r="D45" s="293" t="s">
        <v>436</v>
      </c>
      <c r="E45" s="294">
        <v>674581.79</v>
      </c>
      <c r="F45" s="294"/>
      <c r="G45" s="546" t="s">
        <v>29</v>
      </c>
      <c r="H45" s="547">
        <f>SUM(H6:H44)</f>
        <v>125450578.39999999</v>
      </c>
      <c r="I45" s="294"/>
      <c r="M45" s="544"/>
    </row>
    <row r="46" spans="1:13" ht="21" customHeight="1">
      <c r="A46" s="293" t="s">
        <v>399</v>
      </c>
      <c r="B46" s="543">
        <v>880073.51</v>
      </c>
      <c r="C46" s="294"/>
      <c r="D46" s="293" t="s">
        <v>440</v>
      </c>
      <c r="E46" s="294">
        <v>1224203.48</v>
      </c>
      <c r="F46" s="294"/>
      <c r="G46" s="293"/>
      <c r="H46" s="294"/>
      <c r="I46" s="294"/>
      <c r="M46" s="544"/>
    </row>
    <row r="47" spans="1:13">
      <c r="A47" s="293" t="s">
        <v>403</v>
      </c>
      <c r="B47" s="294">
        <v>3770902.02</v>
      </c>
      <c r="C47" s="294"/>
      <c r="D47" s="293" t="s">
        <v>444</v>
      </c>
      <c r="E47" s="294">
        <v>482007.57</v>
      </c>
      <c r="F47" s="294"/>
      <c r="G47" s="293"/>
      <c r="H47" s="294"/>
      <c r="I47" s="294"/>
      <c r="M47" s="544"/>
    </row>
    <row r="48" spans="1:13">
      <c r="A48" s="293" t="s">
        <v>407</v>
      </c>
      <c r="B48" s="294">
        <v>9958921.8699999992</v>
      </c>
      <c r="C48" s="294"/>
      <c r="D48" s="293" t="s">
        <v>448</v>
      </c>
      <c r="E48" s="294">
        <v>760497.84</v>
      </c>
      <c r="F48" s="294"/>
      <c r="G48" s="293"/>
      <c r="H48" s="294"/>
      <c r="I48" s="294"/>
      <c r="M48" s="544"/>
    </row>
    <row r="49" spans="1:14">
      <c r="A49" s="293" t="s">
        <v>411</v>
      </c>
      <c r="B49" s="294">
        <v>1758651.21</v>
      </c>
      <c r="C49" s="294"/>
      <c r="D49" s="293" t="s">
        <v>452</v>
      </c>
      <c r="E49" s="294">
        <v>577599.07999999996</v>
      </c>
      <c r="F49" s="294"/>
      <c r="G49" s="293"/>
      <c r="H49" s="294"/>
      <c r="I49" s="294"/>
      <c r="M49" s="544"/>
    </row>
    <row r="50" spans="1:14">
      <c r="A50" s="293" t="s">
        <v>415</v>
      </c>
      <c r="B50" s="294">
        <v>57159.05</v>
      </c>
      <c r="C50" s="294"/>
      <c r="D50" s="293" t="s">
        <v>456</v>
      </c>
      <c r="E50" s="294">
        <v>996042.73</v>
      </c>
      <c r="F50" s="294"/>
      <c r="G50" s="293"/>
      <c r="H50" s="294"/>
      <c r="I50" s="294"/>
      <c r="M50" s="544"/>
    </row>
    <row r="51" spans="1:14" ht="21" customHeight="1">
      <c r="A51" s="293" t="s">
        <v>885</v>
      </c>
      <c r="B51" s="294">
        <v>1009125.03</v>
      </c>
      <c r="C51" s="294"/>
      <c r="F51" s="294"/>
      <c r="G51" s="293"/>
      <c r="H51" s="294"/>
      <c r="I51" s="294"/>
      <c r="M51" s="544"/>
    </row>
    <row r="52" spans="1:14">
      <c r="A52" s="293" t="s">
        <v>423</v>
      </c>
      <c r="B52" s="294">
        <v>1291133.04</v>
      </c>
      <c r="C52" s="294"/>
      <c r="D52" s="546" t="s">
        <v>24</v>
      </c>
      <c r="E52" s="547">
        <f>SUM(B6:B55,E6:E50)</f>
        <v>178800349.06999999</v>
      </c>
      <c r="F52" s="294"/>
      <c r="G52" s="293"/>
      <c r="H52" s="294"/>
      <c r="I52" s="294"/>
      <c r="M52" s="544"/>
    </row>
    <row r="53" spans="1:14">
      <c r="A53" s="293" t="s">
        <v>886</v>
      </c>
      <c r="B53" s="294">
        <v>133003.45000000001</v>
      </c>
      <c r="C53" s="294"/>
      <c r="D53" s="293"/>
      <c r="E53" s="294"/>
      <c r="F53" s="294"/>
      <c r="G53" s="293"/>
      <c r="H53" s="294"/>
      <c r="I53" s="294"/>
      <c r="M53" s="544"/>
    </row>
    <row r="54" spans="1:14">
      <c r="A54" s="293" t="s">
        <v>431</v>
      </c>
      <c r="B54" s="294">
        <v>293068.40000000002</v>
      </c>
      <c r="C54" s="294"/>
      <c r="D54" s="293"/>
      <c r="E54" s="294"/>
      <c r="F54" s="294"/>
      <c r="G54" s="293"/>
      <c r="H54" s="294"/>
      <c r="I54" s="294"/>
      <c r="M54" s="544"/>
    </row>
    <row r="55" spans="1:14">
      <c r="A55" s="293" t="s">
        <v>435</v>
      </c>
      <c r="B55" s="294">
        <v>271476.88</v>
      </c>
      <c r="C55" s="294"/>
      <c r="D55" s="293"/>
      <c r="E55" s="294"/>
      <c r="F55" s="294"/>
      <c r="G55" s="293"/>
      <c r="H55" s="294"/>
      <c r="I55" s="294"/>
      <c r="M55" s="544"/>
    </row>
    <row r="56" spans="1:14" ht="18.75">
      <c r="A56" s="534" t="s">
        <v>526</v>
      </c>
      <c r="B56" s="535"/>
    </row>
    <row r="57" spans="1:14" ht="16.5">
      <c r="A57" s="537" t="str">
        <f>A2</f>
        <v>Communications Sales Tax Distributions, Fiscal Year 2021</v>
      </c>
      <c r="B57" s="535"/>
      <c r="D57" s="293"/>
      <c r="E57" s="549"/>
    </row>
    <row r="58" spans="1:14" ht="13.5" thickBot="1">
      <c r="D58" s="293"/>
      <c r="E58" s="549"/>
    </row>
    <row r="59" spans="1:14">
      <c r="A59" s="539"/>
      <c r="B59" s="540"/>
      <c r="D59" s="539"/>
      <c r="E59" s="540"/>
      <c r="G59" s="539"/>
      <c r="H59" s="540"/>
      <c r="J59" s="539"/>
      <c r="K59" s="540"/>
    </row>
    <row r="60" spans="1:14">
      <c r="A60" s="541" t="s">
        <v>527</v>
      </c>
      <c r="B60" s="542" t="s">
        <v>397</v>
      </c>
      <c r="D60" s="541" t="s">
        <v>527</v>
      </c>
      <c r="E60" s="542" t="s">
        <v>397</v>
      </c>
      <c r="G60" s="541" t="s">
        <v>527</v>
      </c>
      <c r="H60" s="542" t="s">
        <v>397</v>
      </c>
      <c r="J60" s="541" t="s">
        <v>527</v>
      </c>
      <c r="K60" s="542" t="s">
        <v>397</v>
      </c>
    </row>
    <row r="61" spans="1:14">
      <c r="A61" s="550" t="s">
        <v>528</v>
      </c>
      <c r="B61" s="543">
        <v>91747.27</v>
      </c>
      <c r="C61" s="294"/>
      <c r="D61" s="293" t="s">
        <v>664</v>
      </c>
      <c r="E61" s="543">
        <v>4503.3599999999997</v>
      </c>
      <c r="F61" s="294"/>
      <c r="G61" s="293" t="s">
        <v>665</v>
      </c>
      <c r="H61" s="543">
        <v>9257.1</v>
      </c>
      <c r="I61" s="294"/>
      <c r="J61" s="293" t="s">
        <v>666</v>
      </c>
      <c r="K61" s="543">
        <v>10581.82</v>
      </c>
      <c r="L61" s="294"/>
      <c r="M61" s="544"/>
      <c r="N61" s="544"/>
    </row>
    <row r="62" spans="1:14">
      <c r="A62" s="293" t="s">
        <v>531</v>
      </c>
      <c r="B62" s="294">
        <v>4072.37</v>
      </c>
      <c r="C62" s="294"/>
      <c r="D62" s="293" t="s">
        <v>667</v>
      </c>
      <c r="E62" s="294">
        <v>32116.27</v>
      </c>
      <c r="F62" s="294"/>
      <c r="G62" s="293" t="s">
        <v>668</v>
      </c>
      <c r="H62" s="294">
        <v>39215.22</v>
      </c>
      <c r="I62" s="294"/>
      <c r="J62" s="293" t="s">
        <v>669</v>
      </c>
      <c r="K62" s="294">
        <v>30224.29</v>
      </c>
      <c r="L62" s="294"/>
      <c r="M62" s="544"/>
      <c r="N62" s="544"/>
    </row>
    <row r="63" spans="1:14">
      <c r="A63" s="293" t="s">
        <v>535</v>
      </c>
      <c r="B63" s="294">
        <v>9231.76</v>
      </c>
      <c r="C63" s="294"/>
      <c r="D63" s="293" t="s">
        <v>479</v>
      </c>
      <c r="E63" s="294">
        <v>93024.49</v>
      </c>
      <c r="F63" s="294"/>
      <c r="G63" s="293" t="s">
        <v>529</v>
      </c>
      <c r="H63" s="294">
        <v>61335.98</v>
      </c>
      <c r="I63" s="294"/>
      <c r="J63" s="293" t="s">
        <v>530</v>
      </c>
      <c r="K63" s="294">
        <v>1058.49</v>
      </c>
      <c r="L63" s="294"/>
      <c r="M63" s="544"/>
      <c r="N63" s="544"/>
    </row>
    <row r="64" spans="1:14">
      <c r="A64" s="293" t="s">
        <v>538</v>
      </c>
      <c r="B64" s="294">
        <v>30782.080000000002</v>
      </c>
      <c r="C64" s="294"/>
      <c r="D64" s="293" t="s">
        <v>532</v>
      </c>
      <c r="E64" s="294">
        <v>18824.849999999999</v>
      </c>
      <c r="F64" s="294"/>
      <c r="G64" s="293" t="s">
        <v>533</v>
      </c>
      <c r="H64" s="294">
        <v>1638609.67</v>
      </c>
      <c r="I64" s="294"/>
      <c r="J64" s="293" t="s">
        <v>534</v>
      </c>
      <c r="K64" s="294">
        <v>18260.75</v>
      </c>
      <c r="L64" s="294"/>
      <c r="M64" s="544"/>
      <c r="N64" s="544"/>
    </row>
    <row r="65" spans="1:14">
      <c r="A65" s="293" t="s">
        <v>414</v>
      </c>
      <c r="B65" s="294">
        <v>77467.05</v>
      </c>
      <c r="C65" s="294"/>
      <c r="D65" s="293" t="s">
        <v>536</v>
      </c>
      <c r="E65" s="294">
        <v>19309.7</v>
      </c>
      <c r="F65" s="294"/>
      <c r="G65" s="293" t="s">
        <v>451</v>
      </c>
      <c r="H65" s="294">
        <v>5428.79</v>
      </c>
      <c r="I65" s="294"/>
      <c r="J65" s="293" t="s">
        <v>537</v>
      </c>
      <c r="K65" s="294">
        <v>36461.199999999997</v>
      </c>
      <c r="L65" s="294"/>
      <c r="M65" s="544"/>
      <c r="N65" s="544"/>
    </row>
    <row r="66" spans="1:14" ht="24" customHeight="1">
      <c r="A66" s="293" t="s">
        <v>544</v>
      </c>
      <c r="B66" s="294">
        <v>29986.65</v>
      </c>
      <c r="C66" s="294"/>
      <c r="D66" s="293" t="s">
        <v>539</v>
      </c>
      <c r="E66" s="294">
        <v>2953.66</v>
      </c>
      <c r="F66" s="294"/>
      <c r="G66" s="293" t="s">
        <v>540</v>
      </c>
      <c r="H66" s="294">
        <v>10112.77</v>
      </c>
      <c r="I66" s="294"/>
      <c r="J66" s="293" t="s">
        <v>541</v>
      </c>
      <c r="K66" s="294">
        <v>13399.25</v>
      </c>
      <c r="L66" s="294"/>
      <c r="M66" s="544"/>
      <c r="N66" s="544"/>
    </row>
    <row r="67" spans="1:14">
      <c r="A67" s="293" t="s">
        <v>418</v>
      </c>
      <c r="B67" s="294">
        <v>4788.63</v>
      </c>
      <c r="C67" s="294"/>
      <c r="D67" s="293" t="s">
        <v>542</v>
      </c>
      <c r="E67" s="294">
        <v>1071.18</v>
      </c>
      <c r="F67" s="294"/>
      <c r="G67" s="293" t="s">
        <v>543</v>
      </c>
      <c r="H67" s="294">
        <v>58515.43</v>
      </c>
      <c r="I67" s="294"/>
      <c r="J67" s="293" t="s">
        <v>404</v>
      </c>
      <c r="K67" s="294">
        <v>21097.119999999999</v>
      </c>
      <c r="L67" s="294"/>
      <c r="M67" s="544"/>
      <c r="N67" s="544"/>
    </row>
    <row r="68" spans="1:14">
      <c r="A68" s="293" t="s">
        <v>551</v>
      </c>
      <c r="B68" s="294">
        <v>206810.11</v>
      </c>
      <c r="C68" s="294"/>
      <c r="D68" s="293" t="s">
        <v>545</v>
      </c>
      <c r="E68" s="294">
        <v>70295.22</v>
      </c>
      <c r="F68" s="294"/>
      <c r="G68" s="293" t="s">
        <v>546</v>
      </c>
      <c r="H68" s="294">
        <v>98687.76</v>
      </c>
      <c r="I68" s="294"/>
      <c r="J68" s="293" t="s">
        <v>547</v>
      </c>
      <c r="K68" s="294">
        <v>179289.09</v>
      </c>
      <c r="L68" s="294"/>
      <c r="M68" s="544"/>
      <c r="N68" s="544"/>
    </row>
    <row r="69" spans="1:14">
      <c r="A69" s="545" t="s">
        <v>434</v>
      </c>
      <c r="B69" s="294">
        <v>106759.59</v>
      </c>
      <c r="C69" s="294"/>
      <c r="D69" s="293" t="s">
        <v>548</v>
      </c>
      <c r="E69" s="294">
        <v>141747.18</v>
      </c>
      <c r="F69" s="294"/>
      <c r="G69" s="293" t="s">
        <v>549</v>
      </c>
      <c r="H69" s="294">
        <v>6899.28</v>
      </c>
      <c r="I69" s="294"/>
      <c r="J69" s="293" t="s">
        <v>550</v>
      </c>
      <c r="K69" s="294">
        <v>592297.68999999994</v>
      </c>
      <c r="L69" s="294"/>
      <c r="M69" s="544"/>
      <c r="N69" s="544"/>
    </row>
    <row r="70" spans="1:14">
      <c r="A70" s="293" t="s">
        <v>555</v>
      </c>
      <c r="B70" s="294">
        <v>70732.55</v>
      </c>
      <c r="C70" s="294"/>
      <c r="D70" s="293" t="s">
        <v>552</v>
      </c>
      <c r="E70" s="294">
        <v>7422.18</v>
      </c>
      <c r="F70" s="294"/>
      <c r="G70" s="293" t="s">
        <v>553</v>
      </c>
      <c r="H70" s="294">
        <v>3108.95</v>
      </c>
      <c r="I70" s="294"/>
      <c r="J70" s="293" t="s">
        <v>554</v>
      </c>
      <c r="K70" s="294">
        <v>134378.87</v>
      </c>
      <c r="L70" s="294"/>
      <c r="M70" s="544"/>
      <c r="N70" s="544"/>
    </row>
    <row r="71" spans="1:14" ht="24" customHeight="1">
      <c r="A71" s="293" t="s">
        <v>559</v>
      </c>
      <c r="B71" s="294">
        <v>144830.74</v>
      </c>
      <c r="C71" s="294"/>
      <c r="D71" s="293" t="s">
        <v>556</v>
      </c>
      <c r="E71" s="294">
        <v>39918.800000000003</v>
      </c>
      <c r="F71" s="294"/>
      <c r="G71" s="293" t="s">
        <v>557</v>
      </c>
      <c r="H71" s="294">
        <v>34328.379999999997</v>
      </c>
      <c r="I71" s="294"/>
      <c r="J71" s="293" t="s">
        <v>558</v>
      </c>
      <c r="K71" s="294">
        <v>2842.75</v>
      </c>
      <c r="L71" s="294"/>
      <c r="M71" s="544"/>
      <c r="N71" s="544"/>
    </row>
    <row r="72" spans="1:14">
      <c r="A72" s="293" t="s">
        <v>563</v>
      </c>
      <c r="B72" s="294">
        <v>935594.07</v>
      </c>
      <c r="C72" s="294"/>
      <c r="D72" s="293" t="s">
        <v>560</v>
      </c>
      <c r="E72" s="294">
        <v>395841.19</v>
      </c>
      <c r="F72" s="294"/>
      <c r="G72" s="293" t="s">
        <v>561</v>
      </c>
      <c r="H72" s="294">
        <v>10860.71</v>
      </c>
      <c r="I72" s="294"/>
      <c r="J72" s="293" t="s">
        <v>562</v>
      </c>
      <c r="K72" s="294">
        <v>12591.08</v>
      </c>
      <c r="L72" s="294"/>
      <c r="M72" s="544"/>
      <c r="N72" s="544"/>
    </row>
    <row r="73" spans="1:14">
      <c r="A73" s="293" t="s">
        <v>566</v>
      </c>
      <c r="B73" s="294">
        <v>13497.46</v>
      </c>
      <c r="C73" s="294"/>
      <c r="D73" s="293" t="s">
        <v>564</v>
      </c>
      <c r="E73" s="294">
        <v>2148.6999999999998</v>
      </c>
      <c r="F73" s="294"/>
      <c r="G73" s="293" t="s">
        <v>565</v>
      </c>
      <c r="H73" s="294">
        <v>1362.71</v>
      </c>
      <c r="I73" s="294"/>
      <c r="J73" s="293" t="s">
        <v>843</v>
      </c>
      <c r="K73" s="294">
        <v>20694.669999999998</v>
      </c>
      <c r="L73" s="294"/>
      <c r="M73" s="544"/>
      <c r="N73" s="544"/>
    </row>
    <row r="74" spans="1:14">
      <c r="A74" s="545" t="s">
        <v>841</v>
      </c>
      <c r="B74" s="294">
        <v>4050.19</v>
      </c>
      <c r="C74" s="294"/>
      <c r="D74" s="293" t="s">
        <v>500</v>
      </c>
      <c r="E74" s="294">
        <v>351.77</v>
      </c>
      <c r="F74" s="294"/>
      <c r="G74" s="293" t="s">
        <v>567</v>
      </c>
      <c r="H74" s="294">
        <v>5216.46</v>
      </c>
      <c r="I74" s="294"/>
      <c r="J74" s="293" t="s">
        <v>568</v>
      </c>
      <c r="K74" s="294">
        <v>63101.22</v>
      </c>
      <c r="L74" s="294"/>
      <c r="M74" s="544"/>
      <c r="N74" s="544"/>
    </row>
    <row r="75" spans="1:14">
      <c r="A75" s="293" t="s">
        <v>569</v>
      </c>
      <c r="B75" s="294">
        <v>33041.72</v>
      </c>
      <c r="C75" s="294"/>
      <c r="D75" s="293" t="s">
        <v>570</v>
      </c>
      <c r="E75" s="294">
        <v>9675.4699999999993</v>
      </c>
      <c r="F75" s="294"/>
      <c r="G75" s="293" t="s">
        <v>571</v>
      </c>
      <c r="H75" s="294">
        <v>10559.61</v>
      </c>
      <c r="I75" s="294"/>
      <c r="J75" s="293" t="s">
        <v>572</v>
      </c>
      <c r="K75" s="294">
        <v>2402.1799999999998</v>
      </c>
      <c r="L75" s="294"/>
      <c r="M75" s="544"/>
      <c r="N75" s="544"/>
    </row>
    <row r="76" spans="1:14" ht="24" customHeight="1">
      <c r="A76" s="293" t="s">
        <v>573</v>
      </c>
      <c r="B76" s="294">
        <v>2535.35</v>
      </c>
      <c r="C76" s="294"/>
      <c r="D76" s="293" t="s">
        <v>574</v>
      </c>
      <c r="E76" s="294">
        <v>128981.77</v>
      </c>
      <c r="F76" s="294"/>
      <c r="G76" s="293" t="s">
        <v>575</v>
      </c>
      <c r="H76" s="294">
        <v>16983.560000000001</v>
      </c>
      <c r="I76" s="294"/>
      <c r="J76" s="293" t="s">
        <v>576</v>
      </c>
      <c r="K76" s="294">
        <v>48000.14</v>
      </c>
      <c r="L76" s="294"/>
      <c r="M76" s="544"/>
      <c r="N76" s="544"/>
    </row>
    <row r="77" spans="1:14">
      <c r="A77" s="293" t="s">
        <v>577</v>
      </c>
      <c r="B77" s="294">
        <v>30886.66</v>
      </c>
      <c r="C77" s="294"/>
      <c r="D77" s="293" t="s">
        <v>578</v>
      </c>
      <c r="E77" s="294">
        <v>29929.599999999999</v>
      </c>
      <c r="F77" s="294"/>
      <c r="G77" s="293" t="s">
        <v>579</v>
      </c>
      <c r="H77" s="294">
        <v>33662.870000000003</v>
      </c>
      <c r="I77" s="294"/>
      <c r="J77" s="293" t="s">
        <v>432</v>
      </c>
      <c r="K77" s="294">
        <v>20862.61</v>
      </c>
      <c r="L77" s="294"/>
      <c r="M77" s="544"/>
      <c r="N77" s="544"/>
    </row>
    <row r="78" spans="1:14">
      <c r="A78" s="293" t="s">
        <v>580</v>
      </c>
      <c r="B78" s="294">
        <v>1882.48</v>
      </c>
      <c r="C78" s="294"/>
      <c r="D78" s="293" t="s">
        <v>581</v>
      </c>
      <c r="E78" s="294">
        <v>22003.49</v>
      </c>
      <c r="F78" s="294"/>
      <c r="G78" s="293" t="s">
        <v>582</v>
      </c>
      <c r="H78" s="294">
        <v>1762.07</v>
      </c>
      <c r="I78" s="294"/>
      <c r="J78" s="293" t="s">
        <v>583</v>
      </c>
      <c r="K78" s="294">
        <v>24811.37</v>
      </c>
      <c r="L78" s="294"/>
      <c r="M78" s="544"/>
      <c r="N78" s="544"/>
    </row>
    <row r="79" spans="1:14">
      <c r="A79" s="293" t="s">
        <v>584</v>
      </c>
      <c r="B79" s="294">
        <v>11364.64</v>
      </c>
      <c r="C79" s="294"/>
      <c r="D79" s="293" t="s">
        <v>585</v>
      </c>
      <c r="E79" s="294">
        <v>15855.33</v>
      </c>
      <c r="F79" s="294"/>
      <c r="G79" s="536" t="s">
        <v>586</v>
      </c>
      <c r="H79" s="551">
        <v>38879.279999999999</v>
      </c>
      <c r="I79" s="294"/>
      <c r="J79" s="293" t="s">
        <v>587</v>
      </c>
      <c r="K79" s="294">
        <v>81612.289999999994</v>
      </c>
      <c r="L79" s="294"/>
      <c r="M79" s="544"/>
      <c r="N79" s="544"/>
    </row>
    <row r="80" spans="1:14">
      <c r="A80" s="293" t="s">
        <v>588</v>
      </c>
      <c r="B80" s="294">
        <v>2760.32</v>
      </c>
      <c r="C80" s="294"/>
      <c r="D80" s="293" t="s">
        <v>589</v>
      </c>
      <c r="E80" s="294">
        <v>23068.33</v>
      </c>
      <c r="F80" s="294"/>
      <c r="G80" s="293" t="s">
        <v>590</v>
      </c>
      <c r="H80" s="294">
        <v>972.92</v>
      </c>
      <c r="I80" s="294"/>
      <c r="J80" s="293" t="s">
        <v>591</v>
      </c>
      <c r="K80" s="294">
        <v>1685.98</v>
      </c>
      <c r="L80" s="294"/>
      <c r="M80" s="544"/>
      <c r="N80" s="544"/>
    </row>
    <row r="81" spans="1:15" ht="24" customHeight="1">
      <c r="A81" s="293" t="s">
        <v>592</v>
      </c>
      <c r="B81" s="294">
        <v>69094.09</v>
      </c>
      <c r="C81" s="294"/>
      <c r="D81" s="293" t="s">
        <v>593</v>
      </c>
      <c r="E81" s="294">
        <v>5729.85</v>
      </c>
      <c r="F81" s="294"/>
      <c r="G81" s="293" t="s">
        <v>594</v>
      </c>
      <c r="H81" s="294">
        <v>1169.45</v>
      </c>
      <c r="I81" s="294"/>
      <c r="J81" s="293" t="s">
        <v>595</v>
      </c>
      <c r="K81" s="294">
        <v>2744.54</v>
      </c>
      <c r="L81" s="294"/>
      <c r="M81" s="544"/>
      <c r="N81" s="544"/>
    </row>
    <row r="82" spans="1:15">
      <c r="A82" s="293" t="s">
        <v>842</v>
      </c>
      <c r="B82" s="294">
        <v>7859.51</v>
      </c>
      <c r="C82" s="294"/>
      <c r="D82" s="293" t="s">
        <v>597</v>
      </c>
      <c r="E82" s="294">
        <v>19905.509999999998</v>
      </c>
      <c r="F82" s="294"/>
      <c r="G82" s="293" t="s">
        <v>598</v>
      </c>
      <c r="H82" s="294">
        <v>35114.35</v>
      </c>
      <c r="I82" s="294"/>
      <c r="J82" s="293" t="s">
        <v>599</v>
      </c>
      <c r="K82" s="294">
        <v>38838.080000000002</v>
      </c>
      <c r="L82" s="294"/>
      <c r="M82" s="544"/>
      <c r="N82" s="544"/>
    </row>
    <row r="83" spans="1:15">
      <c r="A83" s="293" t="s">
        <v>596</v>
      </c>
      <c r="B83" s="294">
        <v>36128.5</v>
      </c>
      <c r="C83" s="294"/>
      <c r="D83" s="293" t="s">
        <v>600</v>
      </c>
      <c r="E83" s="294">
        <v>26212.16</v>
      </c>
      <c r="F83" s="294"/>
      <c r="G83" s="293" t="s">
        <v>601</v>
      </c>
      <c r="H83" s="294">
        <v>74358.070000000007</v>
      </c>
      <c r="I83" s="294"/>
      <c r="J83" s="293" t="s">
        <v>602</v>
      </c>
      <c r="K83" s="294">
        <v>808627.9</v>
      </c>
      <c r="L83" s="294"/>
      <c r="M83" s="544"/>
      <c r="N83" s="544"/>
    </row>
    <row r="84" spans="1:15">
      <c r="A84" s="293" t="s">
        <v>603</v>
      </c>
      <c r="B84" s="294">
        <v>14058.42</v>
      </c>
      <c r="C84" s="294"/>
      <c r="D84" s="293" t="s">
        <v>604</v>
      </c>
      <c r="E84" s="294">
        <v>14999.64</v>
      </c>
      <c r="F84" s="294"/>
      <c r="G84" s="293" t="s">
        <v>605</v>
      </c>
      <c r="H84" s="294">
        <v>3175.52</v>
      </c>
      <c r="I84" s="294"/>
      <c r="J84" s="293" t="s">
        <v>606</v>
      </c>
      <c r="K84" s="294">
        <v>257431.15</v>
      </c>
      <c r="L84" s="294"/>
      <c r="M84" s="544"/>
      <c r="N84" s="544"/>
    </row>
    <row r="85" spans="1:15">
      <c r="A85" s="293" t="s">
        <v>450</v>
      </c>
      <c r="B85" s="294">
        <v>2170.88</v>
      </c>
      <c r="C85" s="294"/>
      <c r="D85" s="293" t="s">
        <v>399</v>
      </c>
      <c r="E85" s="294">
        <v>77460.67</v>
      </c>
      <c r="F85" s="294"/>
      <c r="G85" s="293" t="s">
        <v>486</v>
      </c>
      <c r="H85" s="294">
        <v>133811.54999999999</v>
      </c>
      <c r="I85" s="294"/>
      <c r="J85" s="293" t="s">
        <v>607</v>
      </c>
      <c r="K85" s="294">
        <v>1920.52</v>
      </c>
      <c r="L85" s="294"/>
      <c r="M85" s="544"/>
      <c r="N85" s="544"/>
    </row>
    <row r="86" spans="1:15" ht="24" customHeight="1">
      <c r="A86" s="293" t="s">
        <v>608</v>
      </c>
      <c r="B86" s="294">
        <v>1343.73</v>
      </c>
      <c r="C86" s="294"/>
      <c r="D86" s="293" t="s">
        <v>609</v>
      </c>
      <c r="E86" s="294">
        <v>12467.46</v>
      </c>
      <c r="F86" s="294"/>
      <c r="G86" s="293" t="s">
        <v>610</v>
      </c>
      <c r="H86" s="294">
        <v>1847.64</v>
      </c>
      <c r="I86" s="294"/>
      <c r="J86" s="293" t="s">
        <v>611</v>
      </c>
      <c r="K86" s="294">
        <v>13443.59</v>
      </c>
      <c r="L86" s="294"/>
      <c r="M86" s="544"/>
      <c r="N86" s="544"/>
    </row>
    <row r="87" spans="1:15">
      <c r="A87" s="293" t="s">
        <v>612</v>
      </c>
      <c r="B87" s="294">
        <v>35703.78</v>
      </c>
      <c r="C87" s="294"/>
      <c r="D87" s="293" t="s">
        <v>613</v>
      </c>
      <c r="E87" s="294">
        <v>95268.23</v>
      </c>
      <c r="F87" s="294"/>
      <c r="G87" s="293" t="s">
        <v>614</v>
      </c>
      <c r="H87" s="294">
        <v>16295.87</v>
      </c>
      <c r="I87" s="294"/>
      <c r="J87" s="293" t="s">
        <v>615</v>
      </c>
      <c r="K87" s="294">
        <v>408007.61</v>
      </c>
      <c r="L87" s="294"/>
      <c r="M87" s="544"/>
      <c r="N87" s="544"/>
    </row>
    <row r="88" spans="1:15">
      <c r="A88" s="293" t="s">
        <v>616</v>
      </c>
      <c r="B88" s="294">
        <v>28604.87</v>
      </c>
      <c r="C88" s="294"/>
      <c r="D88" s="293" t="s">
        <v>617</v>
      </c>
      <c r="E88" s="294">
        <v>11228.35</v>
      </c>
      <c r="F88" s="294"/>
      <c r="G88" s="293" t="s">
        <v>618</v>
      </c>
      <c r="H88" s="294">
        <v>18685.349999999999</v>
      </c>
      <c r="I88" s="294"/>
      <c r="J88" s="293" t="s">
        <v>440</v>
      </c>
      <c r="K88" s="294">
        <v>35675.269999999997</v>
      </c>
      <c r="L88" s="294"/>
      <c r="M88" s="544"/>
      <c r="N88" s="544"/>
    </row>
    <row r="89" spans="1:15">
      <c r="A89" s="293" t="s">
        <v>619</v>
      </c>
      <c r="B89" s="294">
        <v>1898.3</v>
      </c>
      <c r="C89" s="294"/>
      <c r="D89" s="293" t="s">
        <v>620</v>
      </c>
      <c r="E89" s="294">
        <v>1305071.01</v>
      </c>
      <c r="F89" s="294"/>
      <c r="G89" s="293" t="s">
        <v>621</v>
      </c>
      <c r="H89" s="294">
        <v>5907.32</v>
      </c>
      <c r="I89" s="294"/>
      <c r="J89" s="293" t="s">
        <v>622</v>
      </c>
      <c r="K89" s="294">
        <v>2779.39</v>
      </c>
      <c r="L89" s="294"/>
      <c r="M89" s="544"/>
      <c r="N89" s="544"/>
    </row>
    <row r="90" spans="1:15">
      <c r="A90" s="293" t="s">
        <v>623</v>
      </c>
      <c r="B90" s="294">
        <v>40036.06</v>
      </c>
      <c r="C90" s="294"/>
      <c r="D90" s="293" t="s">
        <v>624</v>
      </c>
      <c r="E90" s="294">
        <v>13937.97</v>
      </c>
      <c r="F90" s="294"/>
      <c r="G90" s="293" t="s">
        <v>625</v>
      </c>
      <c r="H90" s="294">
        <v>35659.449999999997</v>
      </c>
      <c r="I90" s="294"/>
      <c r="J90" s="293" t="s">
        <v>626</v>
      </c>
      <c r="K90" s="294">
        <v>24196.55</v>
      </c>
      <c r="L90" s="294"/>
      <c r="M90" s="544"/>
      <c r="N90" s="544"/>
    </row>
    <row r="91" spans="1:15" ht="24" customHeight="1">
      <c r="A91" s="293" t="s">
        <v>627</v>
      </c>
      <c r="B91" s="294">
        <v>56344.55</v>
      </c>
      <c r="C91" s="294"/>
      <c r="D91" s="293" t="s">
        <v>628</v>
      </c>
      <c r="E91" s="294">
        <v>11754.45</v>
      </c>
      <c r="F91" s="294"/>
      <c r="G91" s="293" t="s">
        <v>629</v>
      </c>
      <c r="H91" s="294">
        <v>1052.1500000000001</v>
      </c>
      <c r="I91" s="294"/>
      <c r="J91" s="293" t="s">
        <v>630</v>
      </c>
      <c r="K91" s="294">
        <v>17211.71</v>
      </c>
      <c r="L91" s="294"/>
      <c r="M91" s="544"/>
      <c r="N91" s="544"/>
    </row>
    <row r="92" spans="1:15">
      <c r="A92" s="293" t="s">
        <v>631</v>
      </c>
      <c r="B92" s="294">
        <v>32315.94</v>
      </c>
      <c r="C92" s="294"/>
      <c r="D92" s="293" t="s">
        <v>632</v>
      </c>
      <c r="E92" s="294">
        <v>18007.169999999998</v>
      </c>
      <c r="F92" s="294"/>
      <c r="G92" s="293" t="s">
        <v>633</v>
      </c>
      <c r="H92" s="294">
        <v>13659.1</v>
      </c>
      <c r="I92" s="294"/>
      <c r="J92" s="293" t="s">
        <v>634</v>
      </c>
      <c r="K92" s="294">
        <v>65503.45</v>
      </c>
      <c r="L92" s="294"/>
      <c r="M92" s="544"/>
      <c r="N92" s="544"/>
    </row>
    <row r="93" spans="1:15">
      <c r="A93" s="293" t="s">
        <v>635</v>
      </c>
      <c r="B93" s="294">
        <v>128864.53</v>
      </c>
      <c r="C93" s="294"/>
      <c r="D93" s="293" t="s">
        <v>636</v>
      </c>
      <c r="E93" s="294">
        <v>26009.34</v>
      </c>
      <c r="F93" s="294"/>
      <c r="G93" s="293" t="s">
        <v>637</v>
      </c>
      <c r="H93" s="294">
        <v>2922</v>
      </c>
      <c r="I93" s="294"/>
      <c r="J93" s="293" t="s">
        <v>638</v>
      </c>
      <c r="K93" s="294">
        <v>2503.64</v>
      </c>
      <c r="L93" s="294"/>
      <c r="M93" s="544"/>
      <c r="N93" s="544"/>
    </row>
    <row r="94" spans="1:15">
      <c r="A94" s="293" t="s">
        <v>639</v>
      </c>
      <c r="B94" s="294">
        <v>671815.11</v>
      </c>
      <c r="C94" s="294"/>
      <c r="D94" s="293" t="s">
        <v>640</v>
      </c>
      <c r="E94" s="294">
        <v>12179.07</v>
      </c>
      <c r="F94" s="294"/>
      <c r="G94" s="293" t="s">
        <v>641</v>
      </c>
      <c r="H94" s="294">
        <v>24858.9</v>
      </c>
      <c r="I94" s="294"/>
      <c r="J94" s="773" t="s">
        <v>448</v>
      </c>
      <c r="K94" s="294">
        <v>50557.64</v>
      </c>
      <c r="L94" s="294"/>
      <c r="M94" s="544"/>
      <c r="N94" s="544"/>
      <c r="O94" s="871"/>
    </row>
    <row r="95" spans="1:15">
      <c r="A95" s="293" t="s">
        <v>642</v>
      </c>
      <c r="B95" s="294">
        <v>26611.5</v>
      </c>
      <c r="C95" s="294"/>
      <c r="D95" s="293" t="s">
        <v>643</v>
      </c>
      <c r="E95" s="294">
        <v>1876.16</v>
      </c>
      <c r="F95" s="294"/>
      <c r="G95" s="293" t="s">
        <v>508</v>
      </c>
      <c r="H95" s="294">
        <v>343787.67</v>
      </c>
      <c r="I95" s="294"/>
      <c r="J95" s="536" t="s">
        <v>644</v>
      </c>
      <c r="K95" s="294">
        <v>71214.28</v>
      </c>
      <c r="L95" s="294"/>
      <c r="M95" s="544"/>
      <c r="N95" s="544"/>
    </row>
    <row r="96" spans="1:15" ht="24" customHeight="1">
      <c r="A96" s="293" t="s">
        <v>645</v>
      </c>
      <c r="B96" s="294">
        <v>1270.82</v>
      </c>
      <c r="C96" s="294"/>
      <c r="D96" s="293" t="s">
        <v>646</v>
      </c>
      <c r="E96" s="294">
        <v>1410.3</v>
      </c>
      <c r="F96" s="294"/>
      <c r="G96" s="293" t="s">
        <v>647</v>
      </c>
      <c r="H96" s="294">
        <v>121977.93</v>
      </c>
      <c r="I96" s="294"/>
      <c r="J96" s="536" t="s">
        <v>835</v>
      </c>
      <c r="K96" s="294">
        <v>323356.07</v>
      </c>
      <c r="M96" s="544"/>
      <c r="N96" s="544"/>
    </row>
    <row r="97" spans="1:14">
      <c r="A97" s="293" t="s">
        <v>648</v>
      </c>
      <c r="B97" s="294">
        <v>4424.1499999999996</v>
      </c>
      <c r="C97" s="294"/>
      <c r="D97" s="293" t="s">
        <v>649</v>
      </c>
      <c r="E97" s="294">
        <v>3505.09</v>
      </c>
      <c r="F97" s="294"/>
      <c r="G97" s="293" t="s">
        <v>650</v>
      </c>
      <c r="H97" s="294">
        <v>21474.26</v>
      </c>
      <c r="I97" s="294"/>
      <c r="M97" s="544"/>
      <c r="N97" s="544"/>
    </row>
    <row r="98" spans="1:14">
      <c r="A98" s="293" t="s">
        <v>651</v>
      </c>
      <c r="B98" s="294">
        <v>71173.06</v>
      </c>
      <c r="C98" s="294"/>
      <c r="D98" s="293" t="s">
        <v>652</v>
      </c>
      <c r="E98" s="294">
        <v>15196.14</v>
      </c>
      <c r="F98" s="294"/>
      <c r="G98" s="293" t="s">
        <v>653</v>
      </c>
      <c r="H98" s="294">
        <v>14318.3</v>
      </c>
      <c r="I98" s="294"/>
      <c r="J98" s="546" t="s">
        <v>654</v>
      </c>
      <c r="K98" s="547">
        <f>SUM(B61:B101,E61:E101,H61:H101,K61:K96)</f>
        <v>12665419.149999993</v>
      </c>
      <c r="M98" s="544"/>
      <c r="N98" s="544"/>
    </row>
    <row r="99" spans="1:14">
      <c r="A99" s="293" t="s">
        <v>655</v>
      </c>
      <c r="B99" s="294">
        <v>55289.22</v>
      </c>
      <c r="C99" s="294"/>
      <c r="D99" s="293" t="s">
        <v>656</v>
      </c>
      <c r="E99" s="294">
        <v>23822.6</v>
      </c>
      <c r="F99" s="294"/>
      <c r="G99" s="293" t="s">
        <v>657</v>
      </c>
      <c r="H99" s="294">
        <v>5932.68</v>
      </c>
      <c r="I99" s="294"/>
      <c r="J99" s="546" t="s">
        <v>24</v>
      </c>
      <c r="K99" s="547">
        <f>E52</f>
        <v>178800349.06999999</v>
      </c>
      <c r="M99" s="552"/>
      <c r="N99" s="544"/>
    </row>
    <row r="100" spans="1:14">
      <c r="A100" s="293" t="s">
        <v>658</v>
      </c>
      <c r="B100" s="294">
        <v>34959.08</v>
      </c>
      <c r="C100" s="294"/>
      <c r="D100" s="293" t="s">
        <v>659</v>
      </c>
      <c r="E100" s="294">
        <v>1793.77</v>
      </c>
      <c r="F100" s="294"/>
      <c r="G100" s="293" t="s">
        <v>660</v>
      </c>
      <c r="H100" s="294">
        <v>14625.69</v>
      </c>
      <c r="I100" s="294"/>
      <c r="J100" s="546" t="s">
        <v>29</v>
      </c>
      <c r="K100" s="547">
        <f>H45</f>
        <v>125450578.39999999</v>
      </c>
      <c r="M100" s="544"/>
      <c r="N100" s="544"/>
    </row>
    <row r="101" spans="1:14">
      <c r="A101" s="293" t="s">
        <v>661</v>
      </c>
      <c r="B101" s="553">
        <v>153815.34</v>
      </c>
      <c r="C101" s="294"/>
      <c r="D101" s="293" t="s">
        <v>662</v>
      </c>
      <c r="E101" s="294">
        <v>57710.48</v>
      </c>
      <c r="G101" s="293" t="s">
        <v>663</v>
      </c>
      <c r="H101" s="294">
        <v>148171.04</v>
      </c>
      <c r="I101" s="294"/>
      <c r="K101" s="551"/>
      <c r="M101" s="544"/>
      <c r="N101" s="544"/>
    </row>
    <row r="102" spans="1:14">
      <c r="A102" s="293"/>
      <c r="B102" s="294"/>
      <c r="C102" s="294"/>
      <c r="D102" s="293"/>
      <c r="E102" s="294"/>
      <c r="F102" s="294"/>
      <c r="G102" s="293"/>
      <c r="H102" s="294"/>
      <c r="I102" s="294"/>
      <c r="J102" s="546" t="s">
        <v>30</v>
      </c>
      <c r="K102" s="547">
        <f>SUM(K98:K100)</f>
        <v>316916346.62</v>
      </c>
      <c r="M102" s="544"/>
      <c r="N102" s="544"/>
    </row>
    <row r="103" spans="1:14" ht="6" customHeight="1">
      <c r="A103" s="293"/>
      <c r="B103" s="294"/>
      <c r="C103" s="294"/>
      <c r="D103" s="293"/>
      <c r="E103" s="294"/>
      <c r="F103" s="294"/>
      <c r="G103" s="293"/>
      <c r="H103" s="294"/>
      <c r="I103" s="294"/>
      <c r="J103" s="548"/>
      <c r="K103" s="870"/>
      <c r="M103" s="544"/>
      <c r="N103" s="544"/>
    </row>
    <row r="104" spans="1:14" s="873" customFormat="1">
      <c r="A104" s="1113" t="s">
        <v>1</v>
      </c>
      <c r="B104" s="877"/>
      <c r="C104" s="877"/>
      <c r="D104" s="876"/>
      <c r="E104" s="877"/>
      <c r="F104" s="877"/>
      <c r="G104" s="876"/>
      <c r="H104" s="877"/>
      <c r="I104" s="872"/>
      <c r="M104" s="874"/>
      <c r="N104" s="874"/>
    </row>
    <row r="105" spans="1:14" s="873" customFormat="1" ht="30" customHeight="1">
      <c r="A105" s="1427" t="s">
        <v>1148</v>
      </c>
      <c r="B105" s="1427"/>
      <c r="C105" s="1427"/>
      <c r="D105" s="1427"/>
      <c r="E105" s="1427"/>
      <c r="F105" s="1427"/>
      <c r="G105" s="1427"/>
      <c r="H105" s="1427"/>
      <c r="I105" s="1427"/>
      <c r="J105" s="1427"/>
      <c r="K105" s="1427"/>
      <c r="M105" s="874"/>
      <c r="N105" s="874"/>
    </row>
    <row r="106" spans="1:14" s="873" customFormat="1" ht="30" customHeight="1">
      <c r="A106" s="1426" t="s">
        <v>1034</v>
      </c>
      <c r="B106" s="1426"/>
      <c r="C106" s="1426"/>
      <c r="D106" s="1426"/>
      <c r="E106" s="1426"/>
      <c r="F106" s="1426"/>
      <c r="G106" s="1426"/>
      <c r="H106" s="1426"/>
      <c r="I106" s="1426"/>
      <c r="J106" s="1426"/>
      <c r="K106" s="1426"/>
      <c r="M106" s="874"/>
      <c r="N106" s="874"/>
    </row>
    <row r="107" spans="1:14" s="873" customFormat="1">
      <c r="A107" s="1112" t="s">
        <v>1076</v>
      </c>
      <c r="C107" s="1113"/>
      <c r="M107" s="875"/>
    </row>
    <row r="108" spans="1:14" s="873" customFormat="1">
      <c r="A108" s="1118" t="s">
        <v>1153</v>
      </c>
      <c r="C108" s="1113"/>
      <c r="M108" s="875"/>
    </row>
  </sheetData>
  <customSheetViews>
    <customSheetView guid="{E6BBE5A7-0B25-4EE8-BA45-5EA5DBAF3AD4}" showPageBreaks="1" printArea="1" topLeftCell="D1">
      <selection activeCell="E31" sqref="E31"/>
      <rowBreaks count="1" manualBreakCount="1">
        <brk id="52" max="16383" man="1"/>
      </rowBreaks>
      <pageMargins left="0.5" right="0.5" top="0.5" bottom="0.25" header="0.5" footer="0.5"/>
      <printOptions horizontalCentered="1"/>
      <pageSetup scale="63" orientation="landscape" r:id="rId1"/>
      <headerFooter alignWithMargins="0"/>
    </customSheetView>
  </customSheetViews>
  <mergeCells count="2">
    <mergeCell ref="A106:K106"/>
    <mergeCell ref="A105:K105"/>
  </mergeCells>
  <hyperlinks>
    <hyperlink ref="M1" location="TOC!A1" display="Back"/>
  </hyperlinks>
  <pageMargins left="0.65" right="0.25" top="0.35" bottom="0" header="0.25" footer="0"/>
  <pageSetup scale="72" fitToHeight="2" orientation="landscape" r:id="rId2"/>
  <headerFooter scaleWithDoc="0">
    <oddHeader>&amp;R&amp;P</oddHeader>
  </headerFooter>
  <rowBreaks count="1" manualBreakCount="1">
    <brk id="55" max="11" man="1"/>
  </rowBreak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3"/>
  <sheetViews>
    <sheetView workbookViewId="0"/>
  </sheetViews>
  <sheetFormatPr defaultColWidth="9.140625" defaultRowHeight="12.75"/>
  <cols>
    <col min="1" max="1" width="24.7109375" style="30" customWidth="1"/>
    <col min="2" max="2" width="11.7109375" style="30" customWidth="1"/>
    <col min="3" max="3" width="17.7109375" style="30" customWidth="1"/>
    <col min="4" max="4" width="13.7109375" style="30" customWidth="1"/>
    <col min="5" max="5" width="11.7109375" style="30" customWidth="1"/>
    <col min="6" max="6" width="1.7109375" style="30" customWidth="1"/>
    <col min="7" max="7" width="11.7109375" style="30" customWidth="1"/>
    <col min="8" max="8" width="17.7109375" style="30" customWidth="1"/>
    <col min="9" max="9" width="12.7109375" style="30" customWidth="1"/>
    <col min="10" max="10" width="11.7109375" style="30" customWidth="1"/>
    <col min="11" max="11" width="1.7109375" style="30" customWidth="1"/>
    <col min="12" max="12" width="5.28515625" style="30" bestFit="1" customWidth="1"/>
    <col min="13" max="16384" width="9.140625" style="30"/>
  </cols>
  <sheetData>
    <row r="1" spans="1:12" ht="18">
      <c r="A1" s="601" t="s">
        <v>857</v>
      </c>
      <c r="B1" s="28"/>
      <c r="C1" s="28"/>
      <c r="D1" s="28"/>
      <c r="E1" s="29"/>
      <c r="F1" s="29"/>
      <c r="L1" s="1276" t="s">
        <v>1194</v>
      </c>
    </row>
    <row r="2" spans="1:12" ht="15.75">
      <c r="A2" s="27" t="s">
        <v>865</v>
      </c>
      <c r="B2" s="28"/>
      <c r="C2" s="28"/>
      <c r="D2" s="28"/>
      <c r="E2" s="29"/>
      <c r="F2" s="29"/>
    </row>
    <row r="3" spans="1:12">
      <c r="A3" s="295" t="s">
        <v>1073</v>
      </c>
      <c r="B3" s="398"/>
      <c r="C3" s="398"/>
      <c r="D3" s="398"/>
      <c r="E3" s="399"/>
      <c r="F3" s="399"/>
    </row>
    <row r="4" spans="1:12" ht="9" customHeight="1" thickBot="1">
      <c r="A4" s="429"/>
      <c r="B4" s="398"/>
      <c r="C4" s="398"/>
      <c r="D4" s="398"/>
      <c r="E4" s="399"/>
      <c r="F4" s="399"/>
    </row>
    <row r="5" spans="1:12" ht="13.9" customHeight="1">
      <c r="A5" s="1255"/>
      <c r="B5" s="1430" t="s">
        <v>866</v>
      </c>
      <c r="C5" s="1430"/>
      <c r="D5" s="1430"/>
      <c r="E5" s="1431"/>
      <c r="F5" s="402"/>
      <c r="G5" s="1432" t="s">
        <v>866</v>
      </c>
      <c r="H5" s="1430"/>
      <c r="I5" s="1430"/>
      <c r="J5" s="1433"/>
    </row>
    <row r="6" spans="1:12" ht="12.75" customHeight="1">
      <c r="A6" s="1256"/>
      <c r="B6" s="1434" t="s">
        <v>867</v>
      </c>
      <c r="C6" s="1434"/>
      <c r="D6" s="1434"/>
      <c r="E6" s="1435"/>
      <c r="F6" s="403"/>
      <c r="G6" s="1436" t="s">
        <v>868</v>
      </c>
      <c r="H6" s="1434"/>
      <c r="I6" s="1434"/>
      <c r="J6" s="1437"/>
    </row>
    <row r="7" spans="1:12">
      <c r="A7" s="1256"/>
      <c r="B7" s="385"/>
      <c r="C7" s="385"/>
      <c r="D7" s="385"/>
      <c r="E7" s="391"/>
      <c r="F7" s="403"/>
      <c r="G7" s="387"/>
      <c r="H7" s="385"/>
      <c r="I7" s="385"/>
      <c r="J7" s="386"/>
    </row>
    <row r="8" spans="1:12">
      <c r="A8" s="1256" t="s">
        <v>859</v>
      </c>
      <c r="B8" s="388" t="s">
        <v>379</v>
      </c>
      <c r="C8" s="1254" t="s">
        <v>37</v>
      </c>
      <c r="D8" s="386" t="s">
        <v>38</v>
      </c>
      <c r="E8" s="391" t="s">
        <v>1190</v>
      </c>
      <c r="F8" s="403"/>
      <c r="G8" s="1252" t="s">
        <v>379</v>
      </c>
      <c r="H8" s="1254" t="s">
        <v>37</v>
      </c>
      <c r="I8" s="386" t="s">
        <v>38</v>
      </c>
      <c r="J8" s="386" t="s">
        <v>1190</v>
      </c>
    </row>
    <row r="9" spans="1:12">
      <c r="A9" s="1257" t="s">
        <v>860</v>
      </c>
      <c r="B9" s="384" t="s">
        <v>380</v>
      </c>
      <c r="C9" s="384" t="s">
        <v>1191</v>
      </c>
      <c r="D9" s="384" t="s">
        <v>40</v>
      </c>
      <c r="E9" s="390" t="s">
        <v>1189</v>
      </c>
      <c r="F9" s="404"/>
      <c r="G9" s="1253" t="s">
        <v>380</v>
      </c>
      <c r="H9" s="384" t="s">
        <v>1191</v>
      </c>
      <c r="I9" s="384" t="s">
        <v>40</v>
      </c>
      <c r="J9" s="392" t="s">
        <v>1189</v>
      </c>
    </row>
    <row r="10" spans="1:12" ht="9" customHeight="1">
      <c r="A10" s="1256"/>
      <c r="B10" s="385"/>
      <c r="C10" s="388"/>
      <c r="D10" s="388"/>
      <c r="E10" s="391"/>
      <c r="F10" s="403"/>
      <c r="G10" s="387"/>
      <c r="H10" s="388"/>
      <c r="I10" s="388"/>
      <c r="J10" s="386"/>
    </row>
    <row r="11" spans="1:12">
      <c r="A11" s="1258" t="s">
        <v>858</v>
      </c>
      <c r="B11" s="405">
        <v>493</v>
      </c>
      <c r="C11" s="406">
        <v>986756</v>
      </c>
      <c r="D11" s="406">
        <v>1804760</v>
      </c>
      <c r="E11" s="408">
        <f t="shared" ref="E11:E18" si="0">D11/$D$24</f>
        <v>3.1724607397935699E-3</v>
      </c>
      <c r="F11" s="409"/>
      <c r="G11" s="410">
        <v>1992</v>
      </c>
      <c r="H11" s="406">
        <v>1395414.21</v>
      </c>
      <c r="I11" s="406">
        <v>36868.129999999997</v>
      </c>
      <c r="J11" s="411">
        <f>I11/$I$24</f>
        <v>1.4682952280290987E-3</v>
      </c>
    </row>
    <row r="12" spans="1:12">
      <c r="A12" s="1258" t="s">
        <v>43</v>
      </c>
      <c r="B12" s="405">
        <v>32</v>
      </c>
      <c r="C12" s="407">
        <v>1111633</v>
      </c>
      <c r="D12" s="405">
        <v>25010</v>
      </c>
      <c r="E12" s="408">
        <f t="shared" si="0"/>
        <v>4.3963320941420012E-5</v>
      </c>
      <c r="F12" s="409"/>
      <c r="G12" s="410">
        <v>56</v>
      </c>
      <c r="H12" s="407">
        <v>2039506.66</v>
      </c>
      <c r="I12" s="405">
        <v>45889.95</v>
      </c>
      <c r="J12" s="411">
        <f t="shared" ref="J12:J18" si="1">I12/$I$24</f>
        <v>1.8275945809970275E-3</v>
      </c>
    </row>
    <row r="13" spans="1:12">
      <c r="A13" s="1258" t="s">
        <v>44</v>
      </c>
      <c r="B13" s="405">
        <v>51</v>
      </c>
      <c r="C13" s="407">
        <v>3686474</v>
      </c>
      <c r="D13" s="405">
        <v>80062</v>
      </c>
      <c r="E13" s="408">
        <f t="shared" si="0"/>
        <v>1.4073536190371727E-4</v>
      </c>
      <c r="F13" s="409"/>
      <c r="G13" s="410">
        <v>72</v>
      </c>
      <c r="H13" s="407">
        <v>5332764.01</v>
      </c>
      <c r="I13" s="405">
        <v>119986.47</v>
      </c>
      <c r="J13" s="411">
        <f t="shared" si="1"/>
        <v>4.7785326060490897E-3</v>
      </c>
    </row>
    <row r="14" spans="1:12">
      <c r="A14" s="1258" t="s">
        <v>45</v>
      </c>
      <c r="B14" s="405">
        <v>149</v>
      </c>
      <c r="C14" s="407">
        <v>41882949</v>
      </c>
      <c r="D14" s="405">
        <v>910676</v>
      </c>
      <c r="E14" s="408">
        <f t="shared" si="0"/>
        <v>1.6008133251358902E-3</v>
      </c>
      <c r="F14" s="409"/>
      <c r="G14" s="410">
        <v>165</v>
      </c>
      <c r="H14" s="407">
        <v>41724285.950000003</v>
      </c>
      <c r="I14" s="405">
        <v>938795.72</v>
      </c>
      <c r="J14" s="411">
        <f t="shared" si="1"/>
        <v>3.7388098495099754E-2</v>
      </c>
    </row>
    <row r="15" spans="1:12">
      <c r="A15" s="1258" t="s">
        <v>46</v>
      </c>
      <c r="B15" s="405">
        <v>86</v>
      </c>
      <c r="C15" s="407">
        <v>62152933</v>
      </c>
      <c r="D15" s="405">
        <v>1527659</v>
      </c>
      <c r="E15" s="408">
        <f t="shared" si="0"/>
        <v>2.6853643704937528E-3</v>
      </c>
      <c r="F15" s="409"/>
      <c r="G15" s="410">
        <v>46</v>
      </c>
      <c r="H15" s="407">
        <v>34250006.990000002</v>
      </c>
      <c r="I15" s="405">
        <v>770625.27</v>
      </c>
      <c r="J15" s="411">
        <f t="shared" si="1"/>
        <v>3.0690610197469628E-2</v>
      </c>
    </row>
    <row r="16" spans="1:12">
      <c r="A16" s="1258" t="s">
        <v>47</v>
      </c>
      <c r="B16" s="405">
        <v>113</v>
      </c>
      <c r="C16" s="407">
        <v>163046061</v>
      </c>
      <c r="D16" s="405">
        <v>3625326</v>
      </c>
      <c r="E16" s="408">
        <f t="shared" si="0"/>
        <v>6.3727057359166117E-3</v>
      </c>
      <c r="F16" s="409"/>
      <c r="G16" s="410">
        <v>34</v>
      </c>
      <c r="H16" s="407">
        <v>44473823.340000004</v>
      </c>
      <c r="I16" s="405">
        <v>1000660.09</v>
      </c>
      <c r="J16" s="411">
        <f t="shared" si="1"/>
        <v>3.9851883863547419E-2</v>
      </c>
    </row>
    <row r="17" spans="1:10">
      <c r="A17" s="1258" t="s">
        <v>48</v>
      </c>
      <c r="B17" s="405">
        <v>274</v>
      </c>
      <c r="C17" s="407">
        <v>1420738603</v>
      </c>
      <c r="D17" s="405">
        <v>31655700</v>
      </c>
      <c r="E17" s="408">
        <f t="shared" si="0"/>
        <v>5.5645329817085545E-2</v>
      </c>
      <c r="F17" s="409"/>
      <c r="G17" s="410">
        <v>42</v>
      </c>
      <c r="H17" s="407">
        <v>183996784.72</v>
      </c>
      <c r="I17" s="405">
        <v>4139926.58</v>
      </c>
      <c r="J17" s="411">
        <f t="shared" si="1"/>
        <v>0.16487504090402272</v>
      </c>
    </row>
    <row r="18" spans="1:10">
      <c r="A18" s="1258" t="s">
        <v>49</v>
      </c>
      <c r="B18" s="405">
        <v>338</v>
      </c>
      <c r="C18" s="407">
        <v>24315289367</v>
      </c>
      <c r="D18" s="405">
        <v>654004800</v>
      </c>
      <c r="E18" s="408">
        <f t="shared" si="0"/>
        <v>1.1496290651591046</v>
      </c>
      <c r="F18" s="409"/>
      <c r="G18" s="410">
        <v>20</v>
      </c>
      <c r="H18" s="407">
        <v>643579789.23000002</v>
      </c>
      <c r="I18" s="405">
        <v>14480545.02</v>
      </c>
      <c r="J18" s="411">
        <f t="shared" si="1"/>
        <v>0.57669632693946049</v>
      </c>
    </row>
    <row r="19" spans="1:10" ht="9" customHeight="1">
      <c r="A19" s="1258"/>
      <c r="B19" s="407"/>
      <c r="C19" s="407"/>
      <c r="D19" s="407"/>
      <c r="E19" s="412"/>
      <c r="F19" s="413"/>
      <c r="G19" s="414"/>
      <c r="H19" s="407"/>
      <c r="I19" s="407"/>
      <c r="J19" s="415"/>
    </row>
    <row r="20" spans="1:10">
      <c r="A20" s="1259" t="s">
        <v>50</v>
      </c>
      <c r="B20" s="416">
        <f>SUM(B11:B18)</f>
        <v>1536</v>
      </c>
      <c r="C20" s="417">
        <f>SUM(C11:C18)</f>
        <v>26008894776</v>
      </c>
      <c r="D20" s="417">
        <f>SUM(D11:D18)</f>
        <v>693633993</v>
      </c>
      <c r="E20" s="418">
        <f>SUM(E11:E18)</f>
        <v>1.2192904378303751</v>
      </c>
      <c r="F20" s="419"/>
      <c r="G20" s="420">
        <f>SUM(G11:G18)</f>
        <v>2427</v>
      </c>
      <c r="H20" s="417">
        <f>SUM(H11:H18)</f>
        <v>956792375.11000001</v>
      </c>
      <c r="I20" s="417">
        <f>SUM(I11:I18)</f>
        <v>21533297.23</v>
      </c>
      <c r="J20" s="421">
        <f>SUM(J11:J18)</f>
        <v>0.85757638281467519</v>
      </c>
    </row>
    <row r="21" spans="1:10">
      <c r="A21" s="1260"/>
      <c r="B21" s="407"/>
      <c r="C21" s="407"/>
      <c r="D21" s="407"/>
      <c r="E21" s="412"/>
      <c r="F21" s="415"/>
      <c r="G21" s="414"/>
      <c r="H21" s="407"/>
      <c r="I21" s="407"/>
      <c r="J21" s="415"/>
    </row>
    <row r="22" spans="1:10">
      <c r="A22" s="389" t="s">
        <v>51</v>
      </c>
      <c r="B22" s="422">
        <v>-16</v>
      </c>
      <c r="C22" s="423">
        <v>-625470949.08000195</v>
      </c>
      <c r="D22" s="423">
        <v>-124750672.44</v>
      </c>
      <c r="E22" s="408">
        <f>D22/$D$24</f>
        <v>-0.21929043783037508</v>
      </c>
      <c r="F22" s="424"/>
      <c r="G22" s="425">
        <v>-23</v>
      </c>
      <c r="H22" s="423">
        <v>159190404</v>
      </c>
      <c r="I22" s="423">
        <v>3576183</v>
      </c>
      <c r="J22" s="411">
        <f>I22/$I$24</f>
        <v>0.14242361718532476</v>
      </c>
    </row>
    <row r="23" spans="1:10">
      <c r="A23" s="389"/>
      <c r="B23" s="407"/>
      <c r="C23" s="407"/>
      <c r="D23" s="407"/>
      <c r="E23" s="426"/>
      <c r="F23" s="424"/>
      <c r="G23" s="414"/>
      <c r="H23" s="407"/>
      <c r="I23" s="407"/>
      <c r="J23" s="427"/>
    </row>
    <row r="24" spans="1:10" ht="13.5" thickBot="1">
      <c r="A24" s="1261" t="s">
        <v>864</v>
      </c>
      <c r="B24" s="430">
        <f>SUM(B20,B22)</f>
        <v>1520</v>
      </c>
      <c r="C24" s="431">
        <f>SUM(C20,C22)</f>
        <v>25383423826.919998</v>
      </c>
      <c r="D24" s="431">
        <f>SUM(D20,D22)</f>
        <v>568883320.55999994</v>
      </c>
      <c r="E24" s="432">
        <f>SUM(E20,E22)</f>
        <v>1</v>
      </c>
      <c r="F24" s="433"/>
      <c r="G24" s="430">
        <f>SUM(G20,G22)</f>
        <v>2404</v>
      </c>
      <c r="H24" s="431">
        <f>SUM(H20,H22)</f>
        <v>1115982779.1100001</v>
      </c>
      <c r="I24" s="431">
        <f>SUM(I20,I22)</f>
        <v>25109480.23</v>
      </c>
      <c r="J24" s="432">
        <f>SUM(J20,J22)</f>
        <v>1</v>
      </c>
    </row>
    <row r="25" spans="1:10" ht="21" customHeight="1" thickTop="1">
      <c r="A25" s="367"/>
      <c r="B25" s="66"/>
      <c r="C25" s="66"/>
      <c r="D25" s="66"/>
      <c r="E25" s="67"/>
      <c r="F25" s="67"/>
    </row>
    <row r="26" spans="1:10" ht="15.75">
      <c r="A26" s="963" t="s">
        <v>1192</v>
      </c>
      <c r="B26" s="66"/>
      <c r="C26" s="66"/>
      <c r="D26" s="66"/>
      <c r="E26" s="854"/>
      <c r="F26" s="67"/>
    </row>
    <row r="27" spans="1:10" s="853" customFormat="1" ht="6" customHeight="1" thickBot="1">
      <c r="A27" s="964"/>
      <c r="B27" s="397"/>
      <c r="C27" s="397"/>
      <c r="D27" s="397"/>
      <c r="E27" s="858"/>
      <c r="F27" s="858"/>
    </row>
    <row r="28" spans="1:10" s="853" customFormat="1" ht="18" customHeight="1">
      <c r="A28" s="1268" t="s">
        <v>876</v>
      </c>
      <c r="B28" s="965"/>
      <c r="C28" s="965"/>
      <c r="D28" s="966" t="s">
        <v>875</v>
      </c>
      <c r="E28" s="855"/>
      <c r="F28" s="855"/>
    </row>
    <row r="29" spans="1:10">
      <c r="A29" s="644" t="s">
        <v>298</v>
      </c>
      <c r="B29" s="397"/>
      <c r="C29" s="1295"/>
      <c r="D29" s="1295">
        <v>61426024.75</v>
      </c>
      <c r="E29" s="856"/>
      <c r="F29" s="67"/>
    </row>
    <row r="30" spans="1:10">
      <c r="A30" s="644" t="s">
        <v>889</v>
      </c>
      <c r="B30" s="968"/>
      <c r="C30" s="968"/>
      <c r="D30" s="967">
        <v>6322902</v>
      </c>
      <c r="E30" s="857"/>
      <c r="F30" s="67"/>
    </row>
    <row r="31" spans="1:10" ht="9" customHeight="1">
      <c r="A31" s="651"/>
      <c r="B31" s="397"/>
      <c r="C31" s="612"/>
      <c r="D31" s="652"/>
      <c r="E31" s="613"/>
      <c r="F31" s="67"/>
    </row>
    <row r="32" spans="1:10" s="864" customFormat="1" ht="13.15" customHeight="1">
      <c r="A32" s="859" t="s">
        <v>1</v>
      </c>
      <c r="B32" s="860"/>
      <c r="C32" s="861"/>
      <c r="D32" s="862"/>
      <c r="E32" s="863"/>
      <c r="F32" s="863"/>
    </row>
    <row r="33" spans="1:10" s="864" customFormat="1" ht="26.25" customHeight="1">
      <c r="A33" s="1438" t="s">
        <v>873</v>
      </c>
      <c r="B33" s="1439"/>
      <c r="C33" s="1439"/>
      <c r="D33" s="1439"/>
      <c r="E33" s="1439"/>
      <c r="F33" s="1439"/>
      <c r="G33" s="1439"/>
      <c r="H33" s="1439"/>
      <c r="I33" s="1439"/>
      <c r="J33" s="1439"/>
    </row>
    <row r="34" spans="1:10" s="864" customFormat="1" ht="26.25" customHeight="1">
      <c r="A34" s="1438" t="s">
        <v>872</v>
      </c>
      <c r="B34" s="1439"/>
      <c r="C34" s="1439"/>
      <c r="D34" s="1439"/>
      <c r="E34" s="1439"/>
      <c r="F34" s="1439"/>
      <c r="G34" s="1439"/>
      <c r="H34" s="1439"/>
      <c r="I34" s="1439"/>
      <c r="J34" s="1439"/>
    </row>
    <row r="35" spans="1:10" s="864" customFormat="1" ht="38.25" customHeight="1">
      <c r="A35" s="1438" t="s">
        <v>1074</v>
      </c>
      <c r="B35" s="1439"/>
      <c r="C35" s="1439"/>
      <c r="D35" s="1439"/>
      <c r="E35" s="1439"/>
      <c r="F35" s="1439"/>
      <c r="G35" s="1439"/>
      <c r="H35" s="1439"/>
      <c r="I35" s="1439"/>
      <c r="J35" s="1439"/>
    </row>
    <row r="36" spans="1:10" s="864" customFormat="1" ht="15" customHeight="1">
      <c r="A36" s="1262" t="s">
        <v>869</v>
      </c>
      <c r="B36" s="1263"/>
      <c r="C36" s="1263"/>
      <c r="D36" s="1263"/>
      <c r="E36" s="1264"/>
      <c r="F36" s="1264"/>
      <c r="G36" s="1263"/>
      <c r="H36" s="1263"/>
      <c r="I36" s="1264"/>
      <c r="J36" s="1265"/>
    </row>
    <row r="37" spans="1:10" s="864" customFormat="1" ht="13.9" customHeight="1">
      <c r="A37" s="1266" t="s">
        <v>870</v>
      </c>
      <c r="B37" s="1263"/>
      <c r="C37" s="1263"/>
      <c r="D37" s="1263"/>
      <c r="E37" s="1264"/>
      <c r="F37" s="1264"/>
      <c r="G37" s="1263"/>
      <c r="H37" s="1263"/>
      <c r="I37" s="1264"/>
      <c r="J37" s="1265"/>
    </row>
    <row r="38" spans="1:10" s="864" customFormat="1" ht="14.45" customHeight="1">
      <c r="A38" s="1266" t="s">
        <v>871</v>
      </c>
      <c r="B38" s="1263"/>
      <c r="C38" s="1263"/>
      <c r="D38" s="1263"/>
      <c r="E38" s="1264"/>
      <c r="F38" s="1264"/>
      <c r="G38" s="1263"/>
      <c r="H38" s="1263"/>
      <c r="I38" s="1264"/>
      <c r="J38" s="1263"/>
    </row>
    <row r="39" spans="1:10" s="864" customFormat="1">
      <c r="A39" s="1266" t="s">
        <v>1202</v>
      </c>
      <c r="B39" s="1263"/>
      <c r="C39" s="1263"/>
      <c r="D39" s="1263"/>
      <c r="E39" s="1264"/>
      <c r="F39" s="1264"/>
      <c r="G39" s="1267"/>
      <c r="H39" s="1267"/>
      <c r="I39" s="1267"/>
      <c r="J39" s="1267"/>
    </row>
    <row r="40" spans="1:10" s="1068" customFormat="1" ht="12.75" customHeight="1">
      <c r="A40" s="1120" t="s">
        <v>1203</v>
      </c>
      <c r="B40" s="1072"/>
      <c r="C40" s="1072"/>
      <c r="D40" s="1072"/>
    </row>
    <row r="41" spans="1:10">
      <c r="A41" s="295"/>
      <c r="B41" s="398"/>
      <c r="C41" s="398"/>
      <c r="D41" s="398"/>
      <c r="E41" s="399"/>
      <c r="F41" s="399"/>
    </row>
    <row r="42" spans="1:10">
      <c r="A42" s="1428"/>
      <c r="B42" s="1428"/>
      <c r="C42" s="1428"/>
      <c r="D42" s="1428"/>
      <c r="E42" s="1428"/>
      <c r="F42" s="1428"/>
    </row>
    <row r="43" spans="1:10">
      <c r="A43" s="1429"/>
      <c r="B43" s="1429"/>
      <c r="C43" s="1429"/>
      <c r="D43" s="1429"/>
      <c r="E43" s="1429"/>
      <c r="F43" s="1429"/>
    </row>
  </sheetData>
  <mergeCells count="9">
    <mergeCell ref="A42:F42"/>
    <mergeCell ref="A43:F43"/>
    <mergeCell ref="B5:E5"/>
    <mergeCell ref="G5:J5"/>
    <mergeCell ref="B6:E6"/>
    <mergeCell ref="G6:J6"/>
    <mergeCell ref="A33:J33"/>
    <mergeCell ref="A34:J34"/>
    <mergeCell ref="A35:J35"/>
  </mergeCells>
  <hyperlinks>
    <hyperlink ref="L1" location="TOC!A1" display="Back"/>
  </hyperlinks>
  <pageMargins left="0.5" right="0.25" top="0.5" bottom="0.25" header="0.25" footer="0"/>
  <pageSetup scale="97" orientation="landscape" r:id="rId1"/>
  <headerFooter scaleWithDoc="0">
    <oddHeader>&amp;R&amp;P</odd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42"/>
  <sheetViews>
    <sheetView workbookViewId="0">
      <selection activeCell="B1" sqref="B1"/>
    </sheetView>
  </sheetViews>
  <sheetFormatPr defaultColWidth="8.7109375" defaultRowHeight="12.75"/>
  <cols>
    <col min="1" max="1" width="1.42578125" style="970" customWidth="1"/>
    <col min="2" max="2" width="8.7109375" style="970" customWidth="1"/>
    <col min="3" max="3" width="16.7109375" style="972" customWidth="1"/>
    <col min="4" max="4" width="17.7109375" style="972" customWidth="1"/>
    <col min="5" max="5" width="14.7109375" style="972" customWidth="1"/>
    <col min="6" max="6" width="13.7109375" style="972" customWidth="1"/>
    <col min="7" max="7" width="14.7109375" style="972" customWidth="1"/>
    <col min="8" max="8" width="16.7109375" style="972" customWidth="1"/>
    <col min="9" max="9" width="5.42578125" style="970" customWidth="1"/>
    <col min="10" max="16384" width="8.7109375" style="970"/>
  </cols>
  <sheetData>
    <row r="1" spans="2:9" ht="18">
      <c r="B1" s="1222" t="s">
        <v>783</v>
      </c>
      <c r="I1" s="1276" t="s">
        <v>1194</v>
      </c>
    </row>
    <row r="2" spans="2:9" ht="15.75">
      <c r="B2" s="1440" t="s">
        <v>1027</v>
      </c>
      <c r="C2" s="1440"/>
      <c r="D2" s="1440"/>
      <c r="E2" s="1440"/>
      <c r="F2" s="1440"/>
      <c r="G2" s="1440"/>
      <c r="H2" s="1440"/>
    </row>
    <row r="3" spans="2:9" ht="6" customHeight="1" thickBot="1">
      <c r="B3" s="1223"/>
      <c r="C3" s="1306"/>
      <c r="D3" s="1306"/>
      <c r="E3" s="1306"/>
      <c r="F3" s="1306"/>
      <c r="G3" s="1306"/>
      <c r="H3" s="1306"/>
    </row>
    <row r="4" spans="2:9" s="971" customFormat="1" ht="26.1" customHeight="1">
      <c r="B4" s="1224" t="s">
        <v>733</v>
      </c>
      <c r="C4" s="1224" t="s">
        <v>1112</v>
      </c>
      <c r="D4" s="1224" t="s">
        <v>1111</v>
      </c>
      <c r="E4" s="1224" t="s">
        <v>1110</v>
      </c>
      <c r="F4" s="1224" t="s">
        <v>1109</v>
      </c>
      <c r="G4" s="1224" t="s">
        <v>1019</v>
      </c>
      <c r="H4" s="1224" t="s">
        <v>1108</v>
      </c>
    </row>
    <row r="5" spans="2:9" ht="15" customHeight="1"/>
    <row r="6" spans="2:9">
      <c r="B6" s="1220" t="s">
        <v>1028</v>
      </c>
      <c r="C6" s="1347"/>
      <c r="D6" s="1347"/>
      <c r="E6" s="1347"/>
      <c r="F6" s="1347"/>
      <c r="G6" s="1347"/>
      <c r="H6" s="1347"/>
    </row>
    <row r="7" spans="2:9" hidden="1">
      <c r="B7" s="973">
        <v>2015</v>
      </c>
      <c r="C7" s="1348">
        <v>1031975708795</v>
      </c>
      <c r="D7" s="1348">
        <v>84093951055.669998</v>
      </c>
      <c r="E7" s="1348">
        <v>10873635297.74</v>
      </c>
      <c r="F7" s="1348">
        <v>1266956460</v>
      </c>
      <c r="G7" s="1348">
        <v>44154961529</v>
      </c>
      <c r="H7" s="1348">
        <v>1172365213137.4099</v>
      </c>
      <c r="I7" s="974"/>
    </row>
    <row r="8" spans="2:9" s="976" customFormat="1">
      <c r="B8" s="1039">
        <v>2016</v>
      </c>
      <c r="C8" s="975">
        <v>1060436113127</v>
      </c>
      <c r="D8" s="975">
        <v>88866533959.080002</v>
      </c>
      <c r="E8" s="975">
        <v>10916098009.690001</v>
      </c>
      <c r="F8" s="975">
        <v>1349538948</v>
      </c>
      <c r="G8" s="975">
        <v>46266995318</v>
      </c>
      <c r="H8" s="975">
        <f>SUM(C8:G8)</f>
        <v>1207835279361.77</v>
      </c>
      <c r="I8" s="974"/>
    </row>
    <row r="9" spans="2:9" s="976" customFormat="1">
      <c r="B9" s="1039">
        <v>2017</v>
      </c>
      <c r="C9" s="975">
        <v>1091729146412</v>
      </c>
      <c r="D9" s="975">
        <v>92876379259.282059</v>
      </c>
      <c r="E9" s="975">
        <v>10937094637.461905</v>
      </c>
      <c r="F9" s="975">
        <v>1412648166</v>
      </c>
      <c r="G9" s="975">
        <v>48006343392</v>
      </c>
      <c r="H9" s="975">
        <f>SUM(C9:G9)</f>
        <v>1244961611866.7439</v>
      </c>
      <c r="I9" s="974"/>
    </row>
    <row r="10" spans="2:9" s="976" customFormat="1">
      <c r="B10" s="1039">
        <v>2018</v>
      </c>
      <c r="C10" s="975">
        <v>1130944150751.6799</v>
      </c>
      <c r="D10" s="975">
        <v>97202215738.300018</v>
      </c>
      <c r="E10" s="975">
        <v>11207635106.190001</v>
      </c>
      <c r="F10" s="975">
        <v>1360441391</v>
      </c>
      <c r="G10" s="975">
        <v>50028306681.440002</v>
      </c>
      <c r="H10" s="975">
        <f>SUM(C10:G10)</f>
        <v>1290742749668.6099</v>
      </c>
      <c r="I10" s="974"/>
    </row>
    <row r="11" spans="2:9" s="976" customFormat="1">
      <c r="B11" s="1040">
        <v>2019</v>
      </c>
      <c r="C11" s="975">
        <v>1172449791555</v>
      </c>
      <c r="D11" s="975">
        <v>98726651736.200012</v>
      </c>
      <c r="E11" s="975">
        <v>11567370427.889999</v>
      </c>
      <c r="F11" s="975">
        <v>1344289010.71</v>
      </c>
      <c r="G11" s="975">
        <v>49209543842.540001</v>
      </c>
      <c r="H11" s="975">
        <f>SUM(C11:G11)</f>
        <v>1333297646572.3398</v>
      </c>
      <c r="I11" s="974"/>
    </row>
    <row r="12" spans="2:9" s="976" customFormat="1">
      <c r="B12" s="1039">
        <f>B11+1</f>
        <v>2020</v>
      </c>
      <c r="C12" s="975">
        <f>'6.2'!F196</f>
        <v>1218079093524.8401</v>
      </c>
      <c r="D12" s="975">
        <f>'6.4'!B201</f>
        <v>100052236312.57999</v>
      </c>
      <c r="E12" s="975">
        <f>'6.4'!F201</f>
        <v>11991123882.619999</v>
      </c>
      <c r="F12" s="975">
        <f>'6.4'!J201</f>
        <v>1433318097.3</v>
      </c>
      <c r="G12" s="975">
        <f>'6.4'!N201</f>
        <v>51149852246.5</v>
      </c>
      <c r="H12" s="975">
        <f>SUM(C12:G12)</f>
        <v>1382705624063.8403</v>
      </c>
      <c r="I12" s="974"/>
    </row>
    <row r="13" spans="2:9">
      <c r="B13" s="976"/>
      <c r="C13" s="1349"/>
      <c r="D13" s="1349"/>
      <c r="E13" s="1349"/>
      <c r="F13" s="1349"/>
      <c r="G13" s="1349"/>
      <c r="H13" s="1349"/>
    </row>
    <row r="14" spans="2:9">
      <c r="B14" s="1220" t="s">
        <v>1029</v>
      </c>
      <c r="C14" s="1350"/>
      <c r="D14" s="1350"/>
      <c r="E14" s="1350"/>
      <c r="F14" s="1350"/>
      <c r="G14" s="1350"/>
      <c r="H14" s="1350"/>
    </row>
    <row r="15" spans="2:9" hidden="1">
      <c r="B15" s="973">
        <f t="shared" ref="B15:B20" si="0">B7</f>
        <v>2015</v>
      </c>
      <c r="C15" s="1348">
        <v>10007871602.596775</v>
      </c>
      <c r="D15" s="1348">
        <v>3012973186.0262656</v>
      </c>
      <c r="E15" s="1348">
        <v>215708233.76555002</v>
      </c>
      <c r="F15" s="1348">
        <v>13274973.785999998</v>
      </c>
      <c r="G15" s="1348">
        <v>364855303.00326002</v>
      </c>
      <c r="H15" s="1348">
        <v>13614683299.177851</v>
      </c>
      <c r="I15" s="974"/>
    </row>
    <row r="16" spans="2:9" s="976" customFormat="1">
      <c r="B16" s="1039">
        <f t="shared" si="0"/>
        <v>2016</v>
      </c>
      <c r="C16" s="975">
        <v>10446834664.72967</v>
      </c>
      <c r="D16" s="975">
        <v>3108724600.9577131</v>
      </c>
      <c r="E16" s="975">
        <v>220024079.66569999</v>
      </c>
      <c r="F16" s="975">
        <v>14028692.103300003</v>
      </c>
      <c r="G16" s="975">
        <v>408732706.07139993</v>
      </c>
      <c r="H16" s="975">
        <f>SUM(C16:G16)</f>
        <v>14198344743.527782</v>
      </c>
      <c r="I16" s="974"/>
    </row>
    <row r="17" spans="2:9" s="976" customFormat="1">
      <c r="B17" s="1039">
        <f t="shared" si="0"/>
        <v>2017</v>
      </c>
      <c r="C17" s="975">
        <v>10820224510.957804</v>
      </c>
      <c r="D17" s="975">
        <v>3279499565.8478804</v>
      </c>
      <c r="E17" s="975">
        <v>232207933.77725005</v>
      </c>
      <c r="F17" s="975">
        <v>14034594.904299999</v>
      </c>
      <c r="G17" s="975">
        <v>404358032.39963996</v>
      </c>
      <c r="H17" s="975">
        <f>SUM(C17:G17)</f>
        <v>14750324637.886873</v>
      </c>
      <c r="I17" s="974"/>
    </row>
    <row r="18" spans="2:9" s="976" customFormat="1">
      <c r="B18" s="1039">
        <f t="shared" si="0"/>
        <v>2018</v>
      </c>
      <c r="C18" s="975">
        <v>11239557027.180504</v>
      </c>
      <c r="D18" s="975">
        <v>3464493881.5964141</v>
      </c>
      <c r="E18" s="975">
        <v>281779148.09530008</v>
      </c>
      <c r="F18" s="975">
        <v>13905355.629000001</v>
      </c>
      <c r="G18" s="975">
        <v>427590254.37099987</v>
      </c>
      <c r="H18" s="975">
        <f>SUM(C18:G18)</f>
        <v>15427325666.872219</v>
      </c>
      <c r="I18" s="974"/>
    </row>
    <row r="19" spans="2:9" s="976" customFormat="1">
      <c r="B19" s="1039">
        <f t="shared" si="0"/>
        <v>2019</v>
      </c>
      <c r="C19" s="975">
        <v>11654584398.700165</v>
      </c>
      <c r="D19" s="975">
        <v>3600959729.1374731</v>
      </c>
      <c r="E19" s="975">
        <v>227752597.23180002</v>
      </c>
      <c r="F19" s="975">
        <v>14010085.905490002</v>
      </c>
      <c r="G19" s="975">
        <v>409329416.85523003</v>
      </c>
      <c r="H19" s="975">
        <f>SUM(C19:G19)</f>
        <v>15906636227.83016</v>
      </c>
    </row>
    <row r="20" spans="2:9" s="976" customFormat="1">
      <c r="B20" s="1039">
        <f t="shared" si="0"/>
        <v>2020</v>
      </c>
      <c r="C20" s="975">
        <f>'6.2'!G196</f>
        <v>12096950258.460642</v>
      </c>
      <c r="D20" s="975">
        <f>'6.4'!D201</f>
        <v>3641278531.4917192</v>
      </c>
      <c r="E20" s="975">
        <f>'6.4'!H201</f>
        <v>250441104.58224204</v>
      </c>
      <c r="F20" s="975">
        <f>'6.4'!L201</f>
        <v>15272308.508099999</v>
      </c>
      <c r="G20" s="975">
        <f>'6.4'!P201</f>
        <v>426389897.02810383</v>
      </c>
      <c r="H20" s="975">
        <f>SUM(C20:G20)</f>
        <v>16430332100.070808</v>
      </c>
    </row>
    <row r="21" spans="2:9">
      <c r="B21" s="976"/>
      <c r="C21" s="1349"/>
      <c r="D21" s="1349"/>
      <c r="E21" s="1349"/>
      <c r="F21" s="1349"/>
      <c r="G21" s="1349"/>
      <c r="H21" s="1349"/>
    </row>
    <row r="22" spans="2:9">
      <c r="B22" s="1220" t="s">
        <v>1030</v>
      </c>
      <c r="C22" s="1347"/>
      <c r="D22" s="1347"/>
      <c r="E22" s="1347"/>
      <c r="F22" s="1347"/>
      <c r="G22" s="1347"/>
      <c r="H22" s="1347"/>
    </row>
    <row r="23" spans="2:9" hidden="1">
      <c r="B23" s="973">
        <f t="shared" ref="B23:B28" si="1">B15</f>
        <v>2015</v>
      </c>
      <c r="C23" s="1351">
        <f t="shared" ref="C23:H28" si="2">C15/C7*100</f>
        <v>0.9697778268717776</v>
      </c>
      <c r="D23" s="1351">
        <f t="shared" si="2"/>
        <v>3.5828655309960218</v>
      </c>
      <c r="E23" s="1351">
        <f t="shared" si="2"/>
        <v>1.9837729320421782</v>
      </c>
      <c r="F23" s="1351">
        <f t="shared" si="2"/>
        <v>1.0477845297067272</v>
      </c>
      <c r="G23" s="1351">
        <f t="shared" si="2"/>
        <v>0.82630646787820472</v>
      </c>
      <c r="H23" s="1351">
        <f t="shared" si="2"/>
        <v>1.1613005185255449</v>
      </c>
      <c r="I23" s="974"/>
    </row>
    <row r="24" spans="2:9">
      <c r="B24" s="1039">
        <f t="shared" si="1"/>
        <v>2016</v>
      </c>
      <c r="C24" s="1352">
        <f t="shared" si="2"/>
        <v>0.98514512429458689</v>
      </c>
      <c r="D24" s="1352">
        <f t="shared" si="2"/>
        <v>3.4981949474806506</v>
      </c>
      <c r="E24" s="1352">
        <f t="shared" si="2"/>
        <v>2.0155927463310519</v>
      </c>
      <c r="F24" s="1352">
        <f t="shared" si="2"/>
        <v>1.0395173940026223</v>
      </c>
      <c r="G24" s="1352">
        <f t="shared" si="2"/>
        <v>0.88342176374782644</v>
      </c>
      <c r="H24" s="1352">
        <f t="shared" si="2"/>
        <v>1.1755199559190144</v>
      </c>
      <c r="I24" s="974"/>
    </row>
    <row r="25" spans="2:9">
      <c r="B25" s="1039">
        <f t="shared" si="1"/>
        <v>2017</v>
      </c>
      <c r="C25" s="1352">
        <f t="shared" si="2"/>
        <v>0.99110887957134697</v>
      </c>
      <c r="D25" s="1352">
        <f t="shared" si="2"/>
        <v>3.5310372691128862</v>
      </c>
      <c r="E25" s="1352">
        <f t="shared" si="2"/>
        <v>2.1231226525359657</v>
      </c>
      <c r="F25" s="1352">
        <f t="shared" si="2"/>
        <v>0.99349542526500534</v>
      </c>
      <c r="G25" s="1352">
        <f t="shared" si="2"/>
        <v>0.84230125401932621</v>
      </c>
      <c r="H25" s="1352">
        <f t="shared" si="2"/>
        <v>1.1848015631397391</v>
      </c>
      <c r="I25" s="974"/>
    </row>
    <row r="26" spans="2:9">
      <c r="B26" s="1039">
        <f t="shared" si="1"/>
        <v>2018</v>
      </c>
      <c r="C26" s="1352">
        <f t="shared" si="2"/>
        <v>0.99382069571783482</v>
      </c>
      <c r="D26" s="1352">
        <f t="shared" si="2"/>
        <v>3.5642128682785983</v>
      </c>
      <c r="E26" s="1352">
        <f t="shared" si="2"/>
        <v>2.5141713254000648</v>
      </c>
      <c r="F26" s="1352">
        <f t="shared" si="2"/>
        <v>1.0221208881904711</v>
      </c>
      <c r="G26" s="1352">
        <f t="shared" si="2"/>
        <v>0.85469663623380554</v>
      </c>
      <c r="H26" s="1352">
        <f t="shared" si="2"/>
        <v>1.1952285357274397</v>
      </c>
      <c r="I26" s="974"/>
    </row>
    <row r="27" spans="2:9">
      <c r="B27" s="1039">
        <f t="shared" si="1"/>
        <v>2019</v>
      </c>
      <c r="C27" s="1352">
        <f t="shared" si="2"/>
        <v>0.99403697136087077</v>
      </c>
      <c r="D27" s="1352">
        <f t="shared" si="2"/>
        <v>3.6474038831574318</v>
      </c>
      <c r="E27" s="1352">
        <f t="shared" si="2"/>
        <v>1.9689228304011728</v>
      </c>
      <c r="F27" s="1352">
        <f t="shared" si="2"/>
        <v>1.042192995246642</v>
      </c>
      <c r="G27" s="1352">
        <f t="shared" si="2"/>
        <v>0.83180900470241403</v>
      </c>
      <c r="H27" s="1352">
        <f t="shared" si="2"/>
        <v>1.1930296486102081</v>
      </c>
      <c r="I27" s="974"/>
    </row>
    <row r="28" spans="2:9">
      <c r="B28" s="1039">
        <f t="shared" si="1"/>
        <v>2020</v>
      </c>
      <c r="C28" s="1352">
        <f t="shared" si="2"/>
        <v>0.99311697596375748</v>
      </c>
      <c r="D28" s="1352">
        <f t="shared" si="2"/>
        <v>3.6393774549084079</v>
      </c>
      <c r="E28" s="1352">
        <f t="shared" si="2"/>
        <v>2.0885540591006051</v>
      </c>
      <c r="F28" s="1352">
        <f t="shared" si="2"/>
        <v>1.0655212221815293</v>
      </c>
      <c r="G28" s="1352">
        <f t="shared" si="2"/>
        <v>0.8336092447994905</v>
      </c>
      <c r="H28" s="1352">
        <f t="shared" si="2"/>
        <v>1.1882740486569547</v>
      </c>
    </row>
    <row r="29" spans="2:9" s="976" customFormat="1">
      <c r="C29" s="1353"/>
      <c r="D29" s="1353"/>
      <c r="E29" s="1353"/>
      <c r="F29" s="1353"/>
      <c r="G29" s="1353"/>
      <c r="H29" s="1353"/>
    </row>
    <row r="30" spans="2:9" s="1221" customFormat="1">
      <c r="B30" s="1221" t="s">
        <v>19</v>
      </c>
    </row>
    <row r="31" spans="2:9" s="1221" customFormat="1">
      <c r="B31" s="1441" t="s">
        <v>1031</v>
      </c>
      <c r="C31" s="1441"/>
      <c r="D31" s="1441"/>
      <c r="E31" s="1441"/>
      <c r="F31" s="1441"/>
      <c r="G31" s="1441"/>
      <c r="H31" s="1441"/>
    </row>
    <row r="32" spans="2:9">
      <c r="B32" s="1120" t="s">
        <v>1152</v>
      </c>
      <c r="C32" s="1353"/>
      <c r="D32" s="1353"/>
      <c r="E32" s="1353"/>
      <c r="F32" s="1353"/>
      <c r="G32" s="1353"/>
      <c r="H32" s="1353"/>
    </row>
    <row r="33" spans="3:8" s="977" customFormat="1">
      <c r="C33" s="1354"/>
      <c r="D33" s="1354"/>
      <c r="E33" s="1354"/>
      <c r="F33" s="1354"/>
      <c r="G33" s="1354"/>
      <c r="H33" s="1354"/>
    </row>
    <row r="34" spans="3:8" s="977" customFormat="1">
      <c r="C34" s="1354"/>
      <c r="D34" s="1354"/>
      <c r="E34" s="1354"/>
      <c r="F34" s="1354"/>
      <c r="G34" s="1354"/>
      <c r="H34" s="1354"/>
    </row>
    <row r="35" spans="3:8" s="977" customFormat="1">
      <c r="C35" s="1355"/>
      <c r="D35" s="1355"/>
      <c r="E35" s="1355"/>
      <c r="F35" s="1355"/>
      <c r="G35" s="1355"/>
      <c r="H35" s="1355"/>
    </row>
    <row r="36" spans="3:8" s="977" customFormat="1">
      <c r="C36" s="1354"/>
      <c r="D36" s="1354"/>
      <c r="E36" s="1354"/>
      <c r="F36" s="1354"/>
      <c r="G36" s="1354"/>
      <c r="H36" s="1354"/>
    </row>
    <row r="37" spans="3:8" s="977" customFormat="1">
      <c r="C37" s="1356"/>
      <c r="D37" s="1356"/>
      <c r="E37" s="1356"/>
      <c r="F37" s="1356"/>
      <c r="G37" s="1356"/>
      <c r="H37" s="1356"/>
    </row>
    <row r="38" spans="3:8" s="977" customFormat="1">
      <c r="C38" s="1356"/>
      <c r="D38" s="1356"/>
      <c r="E38" s="1356"/>
      <c r="F38" s="1356"/>
      <c r="G38" s="1356"/>
      <c r="H38" s="1356"/>
    </row>
    <row r="39" spans="3:8" s="977" customFormat="1">
      <c r="C39" s="1357"/>
      <c r="D39" s="1357"/>
      <c r="E39" s="1357"/>
      <c r="F39" s="1357"/>
      <c r="G39" s="1357"/>
      <c r="H39" s="1357"/>
    </row>
    <row r="40" spans="3:8" s="977" customFormat="1">
      <c r="C40" s="1358"/>
      <c r="D40" s="1358"/>
      <c r="E40" s="1358"/>
      <c r="F40" s="1358"/>
      <c r="G40" s="1358"/>
      <c r="H40" s="1358"/>
    </row>
    <row r="41" spans="3:8" s="977" customFormat="1">
      <c r="C41" s="1358"/>
      <c r="D41" s="1358"/>
      <c r="E41" s="1358"/>
      <c r="F41" s="1358"/>
      <c r="G41" s="1358"/>
      <c r="H41" s="1358"/>
    </row>
    <row r="42" spans="3:8" s="977" customFormat="1">
      <c r="C42" s="972"/>
      <c r="D42" s="972"/>
      <c r="E42" s="972"/>
      <c r="F42" s="972"/>
      <c r="G42" s="972"/>
      <c r="H42" s="972"/>
    </row>
  </sheetData>
  <mergeCells count="2">
    <mergeCell ref="B2:H2"/>
    <mergeCell ref="B31:H31"/>
  </mergeCells>
  <hyperlinks>
    <hyperlink ref="I1" location="TOC!A1" display="Back"/>
  </hyperlinks>
  <pageMargins left="0.5" right="0.25" top="0.5" bottom="0.25" header="0.25" footer="0"/>
  <pageSetup orientation="landscape" r:id="rId1"/>
  <headerFooter scaleWithDoc="0">
    <oddHeader>&amp;R&amp;P</oddHead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Q215"/>
  <sheetViews>
    <sheetView zoomScaleNormal="100" workbookViewId="0"/>
  </sheetViews>
  <sheetFormatPr defaultColWidth="13.7109375" defaultRowHeight="12"/>
  <cols>
    <col min="1" max="1" width="14.42578125" style="978" customWidth="1"/>
    <col min="2" max="2" width="17" style="978" bestFit="1" customWidth="1"/>
    <col min="3" max="3" width="16.7109375" style="978" customWidth="1"/>
    <col min="4" max="4" width="17" style="978" bestFit="1" customWidth="1"/>
    <col min="5" max="5" width="17.85546875" style="978" bestFit="1" customWidth="1"/>
    <col min="6" max="6" width="17.7109375" style="978" customWidth="1"/>
    <col min="7" max="7" width="15.5703125" style="978" bestFit="1" customWidth="1"/>
    <col min="8" max="8" width="11.7109375" style="979" customWidth="1"/>
    <col min="9" max="9" width="7" style="1077" bestFit="1" customWidth="1"/>
    <col min="10" max="10" width="16" style="1078" bestFit="1" customWidth="1"/>
    <col min="11" max="11" width="2.7109375" style="980" customWidth="1"/>
    <col min="12" max="69" width="13.7109375" style="980" customWidth="1"/>
    <col min="70" max="16384" width="13.7109375" style="978"/>
  </cols>
  <sheetData>
    <row r="1" spans="1:68" ht="15.75">
      <c r="A1" s="1239" t="s">
        <v>987</v>
      </c>
      <c r="I1" s="1276" t="s">
        <v>1194</v>
      </c>
    </row>
    <row r="2" spans="1:68" ht="12.75">
      <c r="A2" s="1275" t="s">
        <v>1120</v>
      </c>
      <c r="B2" s="1275"/>
      <c r="C2" s="1275"/>
      <c r="D2" s="1275"/>
      <c r="E2" s="1275"/>
      <c r="F2" s="1275"/>
      <c r="G2" s="1275"/>
      <c r="H2" s="1275"/>
    </row>
    <row r="3" spans="1:68" ht="9" customHeight="1" thickBot="1">
      <c r="A3" s="981"/>
      <c r="B3" s="981"/>
      <c r="C3" s="981"/>
      <c r="D3" s="981"/>
      <c r="E3" s="981"/>
      <c r="F3" s="981"/>
      <c r="G3" s="981"/>
      <c r="H3" s="981"/>
    </row>
    <row r="5" spans="1:68" s="984" customFormat="1" ht="24">
      <c r="A5" s="983" t="s">
        <v>23</v>
      </c>
      <c r="B5" s="1094" t="s">
        <v>1141</v>
      </c>
      <c r="C5" s="1094" t="s">
        <v>1142</v>
      </c>
      <c r="D5" s="1094" t="s">
        <v>1143</v>
      </c>
      <c r="E5" s="1094" t="s">
        <v>1144</v>
      </c>
      <c r="F5" s="1094" t="s">
        <v>989</v>
      </c>
      <c r="G5" s="1094" t="s">
        <v>990</v>
      </c>
      <c r="H5" s="1095" t="s">
        <v>991</v>
      </c>
      <c r="I5" s="1082"/>
      <c r="J5" s="1079"/>
      <c r="K5" s="985"/>
      <c r="L5" s="985"/>
      <c r="M5" s="985"/>
      <c r="N5" s="985"/>
      <c r="O5" s="985"/>
      <c r="P5" s="985"/>
      <c r="Q5" s="985"/>
      <c r="R5" s="985"/>
      <c r="S5" s="985"/>
      <c r="T5" s="985"/>
      <c r="U5" s="985"/>
      <c r="V5" s="985"/>
      <c r="W5" s="985"/>
      <c r="X5" s="985"/>
      <c r="Y5" s="985"/>
      <c r="Z5" s="985"/>
      <c r="AA5" s="985"/>
      <c r="AB5" s="985"/>
      <c r="AC5" s="985"/>
      <c r="AD5" s="985"/>
      <c r="AE5" s="985"/>
      <c r="AF5" s="985"/>
      <c r="AG5" s="985"/>
      <c r="AH5" s="985"/>
      <c r="AI5" s="985"/>
      <c r="AJ5" s="985"/>
      <c r="AK5" s="985"/>
      <c r="AL5" s="985"/>
      <c r="AM5" s="985"/>
      <c r="AN5" s="985"/>
      <c r="AO5" s="985"/>
      <c r="AP5" s="985"/>
      <c r="AQ5" s="985"/>
      <c r="AR5" s="985"/>
      <c r="AS5" s="985"/>
      <c r="AT5" s="985"/>
      <c r="AU5" s="985"/>
      <c r="AV5" s="985"/>
      <c r="AW5" s="985"/>
      <c r="AX5" s="985"/>
      <c r="AY5" s="985"/>
      <c r="AZ5" s="985"/>
      <c r="BA5" s="985"/>
      <c r="BB5" s="985"/>
      <c r="BC5" s="985"/>
      <c r="BD5" s="985"/>
      <c r="BE5" s="985"/>
      <c r="BF5" s="985"/>
      <c r="BG5" s="985"/>
      <c r="BH5" s="985"/>
      <c r="BI5" s="985"/>
      <c r="BJ5" s="985"/>
      <c r="BK5" s="985"/>
      <c r="BL5" s="985"/>
      <c r="BM5" s="985"/>
      <c r="BN5" s="985"/>
      <c r="BO5" s="985"/>
      <c r="BP5" s="985"/>
    </row>
    <row r="6" spans="1:68" ht="8.25" customHeight="1"/>
    <row r="7" spans="1:68" ht="12" customHeight="1">
      <c r="A7" s="978" t="s">
        <v>64</v>
      </c>
      <c r="B7" s="986">
        <v>1666781200</v>
      </c>
      <c r="C7" s="986">
        <v>1555685774</v>
      </c>
      <c r="D7" s="986">
        <v>2186578800</v>
      </c>
      <c r="E7" s="698">
        <f>IF(SUM(B7,D7)=0,"",SUM(B7,D7))</f>
        <v>3853360000</v>
      </c>
      <c r="F7" s="698">
        <f>IF(SUM(C7:D7)=0,"",SUM(C7:D7))</f>
        <v>3742264574</v>
      </c>
      <c r="G7" s="986">
        <v>22827813.9014</v>
      </c>
      <c r="H7" s="979">
        <v>2020</v>
      </c>
      <c r="I7" s="1083"/>
      <c r="J7" s="1084"/>
      <c r="K7" s="987"/>
    </row>
    <row r="8" spans="1:68" ht="12" customHeight="1">
      <c r="A8" s="978" t="s">
        <v>66</v>
      </c>
      <c r="B8" s="988">
        <v>8211619636</v>
      </c>
      <c r="C8" s="988">
        <v>6662652136</v>
      </c>
      <c r="D8" s="988">
        <v>13381401283</v>
      </c>
      <c r="E8" s="699">
        <f t="shared" ref="E8:E41" si="0">IF(SUM(B8,D8)=0,"",SUM(B8,D8))</f>
        <v>21593020919</v>
      </c>
      <c r="F8" s="699">
        <f t="shared" ref="F8:F41" si="1">IF(SUM(C8:D8)=0,"",SUM(C8:D8))</f>
        <v>20044053419</v>
      </c>
      <c r="G8" s="988">
        <v>171176216.19825998</v>
      </c>
      <c r="H8" s="979">
        <v>2020</v>
      </c>
      <c r="I8" s="1083"/>
      <c r="J8" s="1084"/>
      <c r="K8" s="987"/>
    </row>
    <row r="9" spans="1:68" ht="12" customHeight="1">
      <c r="A9" s="978" t="s">
        <v>68</v>
      </c>
      <c r="B9" s="988">
        <v>331203200</v>
      </c>
      <c r="C9" s="988">
        <v>253240100</v>
      </c>
      <c r="D9" s="988">
        <v>795850300</v>
      </c>
      <c r="E9" s="699">
        <f t="shared" si="0"/>
        <v>1127053500</v>
      </c>
      <c r="F9" s="699">
        <f t="shared" si="1"/>
        <v>1049090400</v>
      </c>
      <c r="G9" s="988">
        <v>7658359.9199999999</v>
      </c>
      <c r="H9" s="979">
        <v>2020</v>
      </c>
      <c r="I9" s="1083"/>
      <c r="J9" s="1084"/>
      <c r="K9" s="987"/>
    </row>
    <row r="10" spans="1:68" ht="12" customHeight="1">
      <c r="A10" s="978" t="s">
        <v>70</v>
      </c>
      <c r="B10" s="988">
        <v>518379438</v>
      </c>
      <c r="C10" s="988">
        <v>457750738</v>
      </c>
      <c r="D10" s="988">
        <v>787968500</v>
      </c>
      <c r="E10" s="699">
        <f t="shared" si="0"/>
        <v>1306347938</v>
      </c>
      <c r="F10" s="699">
        <f t="shared" si="1"/>
        <v>1245719238</v>
      </c>
      <c r="G10" s="988">
        <v>6353168.1138000004</v>
      </c>
      <c r="H10" s="979">
        <v>2020</v>
      </c>
      <c r="I10" s="1083"/>
      <c r="J10" s="1084"/>
      <c r="K10" s="987"/>
    </row>
    <row r="11" spans="1:68" ht="12" customHeight="1">
      <c r="A11" s="978" t="s">
        <v>72</v>
      </c>
      <c r="B11" s="988">
        <v>1037325500</v>
      </c>
      <c r="C11" s="988">
        <v>731864600</v>
      </c>
      <c r="D11" s="988">
        <v>1712314700</v>
      </c>
      <c r="E11" s="699">
        <f t="shared" si="0"/>
        <v>2749640200</v>
      </c>
      <c r="F11" s="699">
        <f t="shared" si="1"/>
        <v>2444179300</v>
      </c>
      <c r="G11" s="988">
        <v>14909493.73</v>
      </c>
      <c r="H11" s="979">
        <v>2020</v>
      </c>
      <c r="I11" s="1083"/>
      <c r="J11" s="1084"/>
      <c r="K11" s="987"/>
    </row>
    <row r="12" spans="1:68" ht="9" customHeight="1">
      <c r="B12" s="988"/>
      <c r="C12" s="988"/>
      <c r="D12" s="988"/>
      <c r="E12" s="699" t="str">
        <f t="shared" si="0"/>
        <v/>
      </c>
      <c r="F12" s="699" t="str">
        <f t="shared" si="1"/>
        <v/>
      </c>
      <c r="G12" s="988"/>
      <c r="I12" s="1083"/>
      <c r="J12" s="1084"/>
      <c r="K12" s="987"/>
    </row>
    <row r="13" spans="1:68" ht="12" customHeight="1">
      <c r="A13" s="978" t="s">
        <v>74</v>
      </c>
      <c r="B13" s="988">
        <v>613363500</v>
      </c>
      <c r="C13" s="988">
        <v>564646398</v>
      </c>
      <c r="D13" s="988">
        <v>835104419</v>
      </c>
      <c r="E13" s="699">
        <f t="shared" si="0"/>
        <v>1448467919</v>
      </c>
      <c r="F13" s="699">
        <f t="shared" si="1"/>
        <v>1399750817</v>
      </c>
      <c r="G13" s="988">
        <v>8818430.1470999997</v>
      </c>
      <c r="H13" s="979">
        <v>2020</v>
      </c>
      <c r="I13" s="1083"/>
      <c r="J13" s="1084"/>
      <c r="K13" s="987"/>
    </row>
    <row r="14" spans="1:68" ht="12" customHeight="1">
      <c r="A14" s="978" t="s">
        <v>422</v>
      </c>
      <c r="B14" s="988">
        <v>31857912600</v>
      </c>
      <c r="C14" s="988">
        <v>31857912600</v>
      </c>
      <c r="D14" s="988">
        <v>49279241300</v>
      </c>
      <c r="E14" s="699">
        <f t="shared" si="0"/>
        <v>81137153900</v>
      </c>
      <c r="F14" s="699">
        <f t="shared" si="1"/>
        <v>81137153900</v>
      </c>
      <c r="G14" s="988">
        <v>821919369.00699997</v>
      </c>
      <c r="H14" s="979">
        <v>2020</v>
      </c>
      <c r="I14" s="1083"/>
      <c r="J14" s="1084"/>
      <c r="K14" s="987"/>
    </row>
    <row r="15" spans="1:68" ht="12" customHeight="1">
      <c r="A15" s="978" t="s">
        <v>78</v>
      </c>
      <c r="B15" s="988">
        <v>3695995200</v>
      </c>
      <c r="C15" s="988">
        <v>2175656110</v>
      </c>
      <c r="D15" s="988">
        <v>5131242200</v>
      </c>
      <c r="E15" s="699">
        <f t="shared" si="0"/>
        <v>8827237400</v>
      </c>
      <c r="F15" s="699">
        <f t="shared" si="1"/>
        <v>7306898310</v>
      </c>
      <c r="G15" s="988">
        <v>46033459.350000001</v>
      </c>
      <c r="H15" s="979">
        <v>2020</v>
      </c>
      <c r="I15" s="1083"/>
      <c r="J15" s="1084"/>
      <c r="K15" s="987"/>
    </row>
    <row r="16" spans="1:68" ht="12" customHeight="1">
      <c r="A16" s="978" t="s">
        <v>80</v>
      </c>
      <c r="B16" s="988">
        <v>383209800</v>
      </c>
      <c r="C16" s="988">
        <v>355770400</v>
      </c>
      <c r="D16" s="988">
        <v>500181900</v>
      </c>
      <c r="E16" s="699">
        <f t="shared" si="0"/>
        <v>883391700</v>
      </c>
      <c r="F16" s="699">
        <f t="shared" si="1"/>
        <v>855952300</v>
      </c>
      <c r="G16" s="988">
        <v>4279761.5</v>
      </c>
      <c r="H16" s="979" t="s">
        <v>1107</v>
      </c>
      <c r="I16" s="1083"/>
      <c r="J16" s="1084"/>
      <c r="K16" s="987"/>
    </row>
    <row r="17" spans="1:11" ht="12" customHeight="1">
      <c r="A17" s="978" t="s">
        <v>992</v>
      </c>
      <c r="B17" s="988">
        <v>4183857000</v>
      </c>
      <c r="C17" s="988">
        <v>2796334000</v>
      </c>
      <c r="D17" s="988">
        <v>6165464997</v>
      </c>
      <c r="E17" s="699">
        <f t="shared" si="0"/>
        <v>10349321997</v>
      </c>
      <c r="F17" s="699">
        <f t="shared" si="1"/>
        <v>8961798997</v>
      </c>
      <c r="G17" s="988">
        <v>44808994.984999999</v>
      </c>
      <c r="H17" s="979">
        <v>2020</v>
      </c>
      <c r="I17" s="1083"/>
      <c r="J17" s="1084"/>
      <c r="K17" s="987"/>
    </row>
    <row r="18" spans="1:11" ht="9" customHeight="1">
      <c r="B18" s="1359"/>
      <c r="C18" s="1359"/>
      <c r="D18" s="1359"/>
      <c r="E18" s="699" t="str">
        <f t="shared" si="0"/>
        <v/>
      </c>
      <c r="F18" s="699" t="str">
        <f t="shared" si="1"/>
        <v/>
      </c>
      <c r="G18" s="1359"/>
      <c r="H18" s="1360"/>
      <c r="I18" s="1083"/>
      <c r="J18" s="1084"/>
      <c r="K18" s="987"/>
    </row>
    <row r="19" spans="1:11" ht="12" customHeight="1">
      <c r="A19" s="978" t="s">
        <v>83</v>
      </c>
      <c r="B19" s="988">
        <v>349884200</v>
      </c>
      <c r="C19" s="988">
        <v>202350000</v>
      </c>
      <c r="D19" s="988">
        <v>267798200</v>
      </c>
      <c r="E19" s="699">
        <f t="shared" si="0"/>
        <v>617682400</v>
      </c>
      <c r="F19" s="699">
        <f t="shared" si="1"/>
        <v>470148200</v>
      </c>
      <c r="G19" s="988">
        <v>2820889.1999999997</v>
      </c>
      <c r="H19" s="979">
        <v>2020</v>
      </c>
      <c r="I19" s="1083"/>
      <c r="J19" s="1084"/>
      <c r="K19" s="987"/>
    </row>
    <row r="20" spans="1:11" ht="12" customHeight="1">
      <c r="A20" s="978" t="s">
        <v>85</v>
      </c>
      <c r="B20" s="988">
        <v>1303255400</v>
      </c>
      <c r="C20" s="988">
        <v>1014096200</v>
      </c>
      <c r="D20" s="988">
        <v>2814469900</v>
      </c>
      <c r="E20" s="699">
        <f t="shared" si="0"/>
        <v>4117725300</v>
      </c>
      <c r="F20" s="699">
        <f t="shared" si="1"/>
        <v>3828566100</v>
      </c>
      <c r="G20" s="988">
        <v>30245672.190000001</v>
      </c>
      <c r="H20" s="979">
        <v>2020</v>
      </c>
      <c r="I20" s="1083"/>
      <c r="J20" s="1084"/>
      <c r="K20" s="987"/>
    </row>
    <row r="21" spans="1:11" ht="12" customHeight="1">
      <c r="A21" s="978" t="s">
        <v>87</v>
      </c>
      <c r="B21" s="988">
        <v>698536500</v>
      </c>
      <c r="C21" s="988">
        <v>698536500</v>
      </c>
      <c r="D21" s="988">
        <v>613718460</v>
      </c>
      <c r="E21" s="699">
        <f t="shared" si="0"/>
        <v>1312254960</v>
      </c>
      <c r="F21" s="699">
        <f t="shared" si="1"/>
        <v>1312254960</v>
      </c>
      <c r="G21" s="988">
        <v>6954951.2879999997</v>
      </c>
      <c r="H21" s="979">
        <v>2020</v>
      </c>
      <c r="I21" s="1083"/>
      <c r="J21" s="1084"/>
      <c r="K21" s="987"/>
    </row>
    <row r="22" spans="1:11" ht="12" customHeight="1">
      <c r="A22" s="978" t="s">
        <v>89</v>
      </c>
      <c r="B22" s="988">
        <v>627570278</v>
      </c>
      <c r="C22" s="988">
        <v>627570278</v>
      </c>
      <c r="D22" s="988">
        <v>1573859918</v>
      </c>
      <c r="E22" s="699">
        <f t="shared" si="0"/>
        <v>2201430196</v>
      </c>
      <c r="F22" s="699">
        <f t="shared" si="1"/>
        <v>2201430196</v>
      </c>
      <c r="G22" s="988">
        <v>8585578.2799999993</v>
      </c>
      <c r="H22" s="979">
        <v>2020</v>
      </c>
      <c r="I22" s="1083"/>
      <c r="J22" s="1084"/>
      <c r="K22" s="987"/>
    </row>
    <row r="23" spans="1:11" ht="12" customHeight="1">
      <c r="A23" s="978" t="s">
        <v>91</v>
      </c>
      <c r="B23" s="988">
        <v>782390900</v>
      </c>
      <c r="C23" s="988">
        <v>782390900</v>
      </c>
      <c r="D23" s="988">
        <v>800764499</v>
      </c>
      <c r="E23" s="699">
        <f t="shared" si="0"/>
        <v>1583155399</v>
      </c>
      <c r="F23" s="699">
        <f t="shared" si="1"/>
        <v>1583155399</v>
      </c>
      <c r="G23" s="988">
        <v>8232408.0748000005</v>
      </c>
      <c r="H23" s="979">
        <v>2020</v>
      </c>
      <c r="I23" s="1083"/>
      <c r="J23" s="1084"/>
      <c r="K23" s="987"/>
    </row>
    <row r="24" spans="1:11" ht="9" customHeight="1">
      <c r="B24" s="988"/>
      <c r="C24" s="988"/>
      <c r="D24" s="988"/>
      <c r="E24" s="699" t="str">
        <f t="shared" si="0"/>
        <v/>
      </c>
      <c r="F24" s="699" t="str">
        <f t="shared" si="1"/>
        <v/>
      </c>
      <c r="G24" s="988"/>
      <c r="I24" s="1083"/>
      <c r="J24" s="1084"/>
      <c r="K24" s="987"/>
    </row>
    <row r="25" spans="1:11" ht="12.6" customHeight="1">
      <c r="A25" s="978" t="s">
        <v>93</v>
      </c>
      <c r="B25" s="988">
        <v>1376199029</v>
      </c>
      <c r="C25" s="988">
        <v>1100193411</v>
      </c>
      <c r="D25" s="988">
        <v>3067127600</v>
      </c>
      <c r="E25" s="699">
        <f t="shared" si="0"/>
        <v>4443326629</v>
      </c>
      <c r="F25" s="699">
        <f t="shared" si="1"/>
        <v>4167321011</v>
      </c>
      <c r="G25" s="988">
        <v>21670069.257199999</v>
      </c>
      <c r="H25" s="979">
        <v>2020</v>
      </c>
      <c r="I25" s="1083"/>
      <c r="J25" s="1084"/>
      <c r="K25" s="987"/>
    </row>
    <row r="26" spans="1:11" ht="12" customHeight="1">
      <c r="A26" s="978" t="s">
        <v>95</v>
      </c>
      <c r="B26" s="988">
        <v>1172422916</v>
      </c>
      <c r="C26" s="988">
        <v>992889337</v>
      </c>
      <c r="D26" s="988">
        <v>1715385300</v>
      </c>
      <c r="E26" s="699">
        <f t="shared" si="0"/>
        <v>2887808216</v>
      </c>
      <c r="F26" s="699">
        <f t="shared" si="1"/>
        <v>2708274637</v>
      </c>
      <c r="G26" s="988">
        <v>22478679.487100001</v>
      </c>
      <c r="H26" s="979">
        <v>2020</v>
      </c>
      <c r="I26" s="1083"/>
      <c r="J26" s="1084"/>
      <c r="K26" s="987"/>
    </row>
    <row r="27" spans="1:11" ht="12" customHeight="1">
      <c r="A27" s="978" t="s">
        <v>97</v>
      </c>
      <c r="B27" s="988">
        <v>1016863500</v>
      </c>
      <c r="C27" s="988">
        <v>823912112</v>
      </c>
      <c r="D27" s="988">
        <v>1336127200</v>
      </c>
      <c r="E27" s="699">
        <f t="shared" si="0"/>
        <v>2352990700</v>
      </c>
      <c r="F27" s="699">
        <f t="shared" si="1"/>
        <v>2160039312</v>
      </c>
      <c r="G27" s="988">
        <v>15012273.2184</v>
      </c>
      <c r="H27" s="979">
        <v>2020</v>
      </c>
      <c r="I27" s="1083"/>
      <c r="J27" s="1084"/>
      <c r="K27" s="987"/>
    </row>
    <row r="28" spans="1:11" ht="12" customHeight="1">
      <c r="A28" s="978" t="s">
        <v>99</v>
      </c>
      <c r="B28" s="988">
        <v>420441310</v>
      </c>
      <c r="C28" s="988">
        <v>420441310</v>
      </c>
      <c r="D28" s="988">
        <v>432815370</v>
      </c>
      <c r="E28" s="699">
        <f t="shared" si="0"/>
        <v>853256680</v>
      </c>
      <c r="F28" s="699">
        <f t="shared" si="1"/>
        <v>853256680</v>
      </c>
      <c r="G28" s="988">
        <v>6484750.7680000011</v>
      </c>
      <c r="H28" s="979" t="s">
        <v>1107</v>
      </c>
      <c r="I28" s="1083"/>
      <c r="J28" s="1084"/>
      <c r="K28" s="987"/>
    </row>
    <row r="29" spans="1:11" ht="12" customHeight="1">
      <c r="A29" s="978" t="s">
        <v>101</v>
      </c>
      <c r="B29" s="988">
        <v>525096421</v>
      </c>
      <c r="C29" s="988">
        <v>525096421</v>
      </c>
      <c r="D29" s="988">
        <v>484863402</v>
      </c>
      <c r="E29" s="699">
        <f t="shared" si="0"/>
        <v>1009959823</v>
      </c>
      <c r="F29" s="699">
        <f t="shared" si="1"/>
        <v>1009959823</v>
      </c>
      <c r="G29" s="988">
        <v>6261750.9026000006</v>
      </c>
      <c r="H29" s="979" t="s">
        <v>1107</v>
      </c>
      <c r="I29" s="1083"/>
      <c r="J29" s="1084"/>
      <c r="K29" s="987"/>
    </row>
    <row r="30" spans="1:11" ht="9" customHeight="1">
      <c r="B30" s="988"/>
      <c r="C30" s="988"/>
      <c r="D30" s="988"/>
      <c r="E30" s="699" t="str">
        <f t="shared" si="0"/>
        <v/>
      </c>
      <c r="F30" s="699" t="str">
        <f t="shared" si="1"/>
        <v/>
      </c>
      <c r="G30" s="988"/>
      <c r="I30" s="1083"/>
      <c r="J30" s="1084"/>
      <c r="K30" s="987"/>
    </row>
    <row r="31" spans="1:11" ht="12" customHeight="1">
      <c r="A31" s="978" t="s">
        <v>103</v>
      </c>
      <c r="B31" s="988">
        <v>10464371100</v>
      </c>
      <c r="C31" s="988">
        <v>10292424527</v>
      </c>
      <c r="D31" s="988">
        <v>31103944300</v>
      </c>
      <c r="E31" s="699">
        <f t="shared" si="0"/>
        <v>41568315400</v>
      </c>
      <c r="F31" s="699">
        <f t="shared" si="1"/>
        <v>41396368827</v>
      </c>
      <c r="G31" s="988">
        <v>393265503.85649997</v>
      </c>
      <c r="H31" s="979">
        <v>2020</v>
      </c>
      <c r="I31" s="1083"/>
      <c r="J31" s="1084"/>
      <c r="K31" s="987"/>
    </row>
    <row r="32" spans="1:11" ht="12" customHeight="1">
      <c r="A32" s="978" t="s">
        <v>105</v>
      </c>
      <c r="B32" s="988">
        <v>1081906900</v>
      </c>
      <c r="C32" s="988">
        <v>758630039</v>
      </c>
      <c r="D32" s="988">
        <v>1325056500</v>
      </c>
      <c r="E32" s="699">
        <f t="shared" si="0"/>
        <v>2406963400</v>
      </c>
      <c r="F32" s="699">
        <f t="shared" si="1"/>
        <v>2083686539</v>
      </c>
      <c r="G32" s="988">
        <v>14794174.426899999</v>
      </c>
      <c r="H32" s="979">
        <v>2020</v>
      </c>
      <c r="I32" s="1083"/>
      <c r="J32" s="1084"/>
      <c r="K32" s="987"/>
    </row>
    <row r="33" spans="1:11" ht="12" customHeight="1">
      <c r="A33" s="978" t="s">
        <v>107</v>
      </c>
      <c r="B33" s="988">
        <v>230078100</v>
      </c>
      <c r="C33" s="988">
        <v>230078100</v>
      </c>
      <c r="D33" s="988">
        <v>288282900</v>
      </c>
      <c r="E33" s="699">
        <f t="shared" si="0"/>
        <v>518361000</v>
      </c>
      <c r="F33" s="699">
        <f t="shared" si="1"/>
        <v>518361000</v>
      </c>
      <c r="G33" s="988">
        <v>3058329.9</v>
      </c>
      <c r="H33" s="979">
        <v>2020</v>
      </c>
      <c r="I33" s="1083"/>
      <c r="J33" s="1084"/>
      <c r="K33" s="987"/>
    </row>
    <row r="34" spans="1:11">
      <c r="A34" s="978" t="s">
        <v>109</v>
      </c>
      <c r="B34" s="988">
        <v>2345568046</v>
      </c>
      <c r="C34" s="988">
        <v>1844664046</v>
      </c>
      <c r="D34" s="988">
        <v>3865988600</v>
      </c>
      <c r="E34" s="699">
        <f t="shared" si="0"/>
        <v>6211556646</v>
      </c>
      <c r="F34" s="699">
        <f t="shared" si="1"/>
        <v>5710652646</v>
      </c>
      <c r="G34" s="988">
        <v>35406046.405199997</v>
      </c>
      <c r="H34" s="979">
        <v>2020</v>
      </c>
      <c r="I34" s="1083"/>
      <c r="J34" s="1084"/>
      <c r="K34" s="987"/>
    </row>
    <row r="35" spans="1:11" ht="12" customHeight="1">
      <c r="A35" s="978" t="s">
        <v>111</v>
      </c>
      <c r="B35" s="988">
        <v>443785770</v>
      </c>
      <c r="C35" s="988">
        <v>348610713</v>
      </c>
      <c r="D35" s="988">
        <v>515221948</v>
      </c>
      <c r="E35" s="699">
        <f t="shared" si="0"/>
        <v>959007718</v>
      </c>
      <c r="F35" s="699">
        <f t="shared" si="1"/>
        <v>863832661</v>
      </c>
      <c r="G35" s="988">
        <v>6651511.4896999998</v>
      </c>
      <c r="H35" s="979">
        <v>2020</v>
      </c>
      <c r="I35" s="1083"/>
      <c r="J35" s="1084"/>
      <c r="K35" s="987"/>
    </row>
    <row r="36" spans="1:11" ht="9" customHeight="1">
      <c r="B36" s="988"/>
      <c r="C36" s="988"/>
      <c r="D36" s="988"/>
      <c r="E36" s="699" t="str">
        <f t="shared" si="0"/>
        <v/>
      </c>
      <c r="F36" s="699" t="str">
        <f t="shared" si="1"/>
        <v/>
      </c>
      <c r="G36" s="988"/>
      <c r="I36" s="1083"/>
      <c r="J36" s="1084"/>
      <c r="K36" s="987"/>
    </row>
    <row r="37" spans="1:11" ht="12" customHeight="1">
      <c r="A37" s="978" t="s">
        <v>113</v>
      </c>
      <c r="B37" s="988">
        <v>396668676</v>
      </c>
      <c r="C37" s="988">
        <v>396668676</v>
      </c>
      <c r="D37" s="988">
        <v>878815600</v>
      </c>
      <c r="E37" s="699">
        <f t="shared" si="0"/>
        <v>1275484276</v>
      </c>
      <c r="F37" s="699">
        <f t="shared" si="1"/>
        <v>1275484276</v>
      </c>
      <c r="G37" s="988">
        <v>7652905.6559999995</v>
      </c>
      <c r="H37" s="979">
        <v>2020</v>
      </c>
      <c r="I37" s="1083"/>
      <c r="J37" s="1084"/>
      <c r="K37" s="987"/>
    </row>
    <row r="38" spans="1:11" ht="12" customHeight="1">
      <c r="A38" s="978" t="s">
        <v>115</v>
      </c>
      <c r="B38" s="988">
        <v>1037942074</v>
      </c>
      <c r="C38" s="988">
        <v>722799792</v>
      </c>
      <c r="D38" s="988">
        <v>1745076900</v>
      </c>
      <c r="E38" s="699">
        <f t="shared" si="0"/>
        <v>2783018974</v>
      </c>
      <c r="F38" s="699">
        <f t="shared" si="1"/>
        <v>2467876692</v>
      </c>
      <c r="G38" s="988">
        <v>19496225.866800003</v>
      </c>
      <c r="H38" s="979">
        <v>2020</v>
      </c>
      <c r="I38" s="1083"/>
      <c r="J38" s="1084"/>
      <c r="K38" s="987"/>
    </row>
    <row r="39" spans="1:11" ht="12" customHeight="1">
      <c r="A39" s="978" t="s">
        <v>117</v>
      </c>
      <c r="B39" s="988">
        <v>711679000</v>
      </c>
      <c r="C39" s="988">
        <v>620470519</v>
      </c>
      <c r="D39" s="988">
        <v>685030600</v>
      </c>
      <c r="E39" s="699">
        <f t="shared" si="0"/>
        <v>1396709600</v>
      </c>
      <c r="F39" s="699">
        <f t="shared" si="1"/>
        <v>1305501119</v>
      </c>
      <c r="G39" s="988">
        <v>11227309.623399999</v>
      </c>
      <c r="H39" s="979">
        <v>2020</v>
      </c>
      <c r="I39" s="1083"/>
      <c r="J39" s="1084"/>
      <c r="K39" s="987"/>
    </row>
    <row r="40" spans="1:11" ht="11.25" customHeight="1">
      <c r="A40" s="978" t="s">
        <v>494</v>
      </c>
      <c r="B40" s="988">
        <v>92447817790</v>
      </c>
      <c r="C40" s="988">
        <v>92447817790</v>
      </c>
      <c r="D40" s="988">
        <v>172345826940</v>
      </c>
      <c r="E40" s="699">
        <f t="shared" si="0"/>
        <v>264793644730</v>
      </c>
      <c r="F40" s="699">
        <f t="shared" si="1"/>
        <v>264793644730</v>
      </c>
      <c r="G40" s="988">
        <v>3045126914.395</v>
      </c>
      <c r="H40" s="979">
        <v>2020</v>
      </c>
      <c r="I40" s="1083"/>
      <c r="J40" s="1084"/>
      <c r="K40" s="987"/>
    </row>
    <row r="41" spans="1:11" ht="12" customHeight="1">
      <c r="A41" s="978" t="s">
        <v>121</v>
      </c>
      <c r="B41" s="988">
        <v>6087440500</v>
      </c>
      <c r="C41" s="988">
        <v>4723046400</v>
      </c>
      <c r="D41" s="988">
        <v>7443191800</v>
      </c>
      <c r="E41" s="699">
        <f t="shared" si="0"/>
        <v>13530632300</v>
      </c>
      <c r="F41" s="699">
        <f t="shared" si="1"/>
        <v>12166238200</v>
      </c>
      <c r="G41" s="988">
        <v>120932407.708</v>
      </c>
      <c r="H41" s="979">
        <v>2020</v>
      </c>
      <c r="I41" s="1083"/>
      <c r="J41" s="1084"/>
      <c r="K41" s="987"/>
    </row>
    <row r="42" spans="1:11" ht="15.75">
      <c r="A42" s="1239" t="s">
        <v>993</v>
      </c>
      <c r="J42" s="1084"/>
      <c r="K42" s="987"/>
    </row>
    <row r="43" spans="1:11" ht="12.75">
      <c r="A43" s="1275" t="str">
        <f>A2</f>
        <v>Real Estate Fair Market Value (FMV), Fair Market Value (Taxable), and Local Levy by Locality - Tax Year 2020</v>
      </c>
      <c r="B43" s="1275"/>
      <c r="C43" s="1275"/>
      <c r="D43" s="1275"/>
      <c r="E43" s="1275"/>
      <c r="F43" s="1275"/>
      <c r="G43" s="1275"/>
      <c r="H43" s="1275"/>
      <c r="J43" s="1084"/>
      <c r="K43" s="987"/>
    </row>
    <row r="44" spans="1:11" ht="9" customHeight="1" thickBot="1">
      <c r="A44" s="981"/>
      <c r="B44" s="981"/>
      <c r="C44" s="981"/>
      <c r="D44" s="981"/>
      <c r="E44" s="981"/>
      <c r="F44" s="981"/>
      <c r="G44" s="981"/>
      <c r="H44" s="981"/>
      <c r="J44" s="1084"/>
      <c r="K44" s="987"/>
    </row>
    <row r="45" spans="1:11">
      <c r="J45" s="1084"/>
      <c r="K45" s="987"/>
    </row>
    <row r="46" spans="1:11" ht="24">
      <c r="A46" s="983" t="s">
        <v>23</v>
      </c>
      <c r="B46" s="1094" t="s">
        <v>1141</v>
      </c>
      <c r="C46" s="1094" t="s">
        <v>1142</v>
      </c>
      <c r="D46" s="1094" t="s">
        <v>1143</v>
      </c>
      <c r="E46" s="1094" t="s">
        <v>1144</v>
      </c>
      <c r="F46" s="1094" t="s">
        <v>989</v>
      </c>
      <c r="G46" s="1094" t="s">
        <v>990</v>
      </c>
      <c r="H46" s="1095" t="s">
        <v>991</v>
      </c>
      <c r="J46" s="1084"/>
      <c r="K46" s="987"/>
    </row>
    <row r="47" spans="1:11" ht="8.25" customHeight="1">
      <c r="B47" s="988"/>
      <c r="C47" s="988"/>
      <c r="D47" s="988"/>
      <c r="E47" s="989"/>
      <c r="F47" s="989"/>
      <c r="G47" s="988"/>
      <c r="J47" s="1084"/>
      <c r="K47" s="987"/>
    </row>
    <row r="48" spans="1:11" ht="12" customHeight="1">
      <c r="A48" s="978" t="s">
        <v>123</v>
      </c>
      <c r="B48" s="986">
        <v>930260900</v>
      </c>
      <c r="C48" s="986">
        <v>734544500</v>
      </c>
      <c r="D48" s="986">
        <v>958704900</v>
      </c>
      <c r="E48" s="698">
        <f t="shared" ref="E48:E82" si="2">IF(SUM(B48,D48)=0,"",SUM(B48,D48))</f>
        <v>1888965800</v>
      </c>
      <c r="F48" s="698">
        <f t="shared" ref="F48:F82" si="3">IF(SUM(C48:D48)=0,"",SUM(C48:D48))</f>
        <v>1693249400</v>
      </c>
      <c r="G48" s="986">
        <v>10159496.4</v>
      </c>
      <c r="H48" s="979">
        <v>2020</v>
      </c>
      <c r="I48" s="1083"/>
      <c r="J48" s="1084"/>
      <c r="K48" s="987"/>
    </row>
    <row r="49" spans="1:11" ht="12" customHeight="1">
      <c r="A49" s="978" t="s">
        <v>125</v>
      </c>
      <c r="B49" s="988">
        <v>1041517300</v>
      </c>
      <c r="C49" s="988">
        <v>740870400</v>
      </c>
      <c r="D49" s="988">
        <v>1959799348</v>
      </c>
      <c r="E49" s="699">
        <f t="shared" si="2"/>
        <v>3001316648</v>
      </c>
      <c r="F49" s="699">
        <f t="shared" si="3"/>
        <v>2700669748</v>
      </c>
      <c r="G49" s="988">
        <v>24981195.169</v>
      </c>
      <c r="H49" s="979">
        <v>2020</v>
      </c>
      <c r="I49" s="1083"/>
      <c r="J49" s="1084"/>
      <c r="K49" s="987"/>
    </row>
    <row r="50" spans="1:11" ht="12" customHeight="1">
      <c r="A50" s="978" t="s">
        <v>26</v>
      </c>
      <c r="B50" s="988">
        <v>3029397000</v>
      </c>
      <c r="C50" s="988">
        <v>2598223175</v>
      </c>
      <c r="D50" s="988">
        <v>4505548400</v>
      </c>
      <c r="E50" s="699">
        <f t="shared" si="2"/>
        <v>7534945400</v>
      </c>
      <c r="F50" s="699">
        <f t="shared" si="3"/>
        <v>7103771575</v>
      </c>
      <c r="G50" s="988">
        <v>43333006.607500002</v>
      </c>
      <c r="H50" s="979">
        <v>2020</v>
      </c>
      <c r="I50" s="1083"/>
      <c r="J50" s="1084"/>
      <c r="K50" s="987"/>
    </row>
    <row r="51" spans="1:11" ht="12" customHeight="1">
      <c r="A51" s="978" t="s">
        <v>1121</v>
      </c>
      <c r="B51" s="988">
        <v>3842066700</v>
      </c>
      <c r="C51" s="988">
        <v>3336247300</v>
      </c>
      <c r="D51" s="988">
        <v>7112106475</v>
      </c>
      <c r="E51" s="699">
        <f t="shared" si="2"/>
        <v>10954173175</v>
      </c>
      <c r="F51" s="699">
        <f t="shared" si="3"/>
        <v>10448353775</v>
      </c>
      <c r="G51" s="988">
        <v>63734958.027499996</v>
      </c>
      <c r="H51" s="979">
        <v>2019</v>
      </c>
      <c r="I51" s="1083"/>
      <c r="J51" s="1084"/>
      <c r="K51" s="987"/>
    </row>
    <row r="52" spans="1:11" ht="12" customHeight="1">
      <c r="A52" s="978" t="s">
        <v>130</v>
      </c>
      <c r="B52" s="988">
        <v>453269300</v>
      </c>
      <c r="C52" s="988">
        <v>342900900</v>
      </c>
      <c r="D52" s="988">
        <v>815867400</v>
      </c>
      <c r="E52" s="699">
        <f t="shared" si="2"/>
        <v>1269136700</v>
      </c>
      <c r="F52" s="699">
        <f t="shared" si="3"/>
        <v>1158768300</v>
      </c>
      <c r="G52" s="988">
        <v>7531993.9500000002</v>
      </c>
      <c r="H52" s="979">
        <v>2020</v>
      </c>
      <c r="I52" s="1083"/>
      <c r="J52" s="1084"/>
      <c r="K52" s="987"/>
    </row>
    <row r="53" spans="1:11" ht="9" customHeight="1">
      <c r="B53" s="988"/>
      <c r="C53" s="988"/>
      <c r="D53" s="988"/>
      <c r="E53" s="699" t="str">
        <f t="shared" si="2"/>
        <v/>
      </c>
      <c r="F53" s="699" t="str">
        <f t="shared" si="3"/>
        <v/>
      </c>
      <c r="G53" s="988"/>
      <c r="I53" s="1083"/>
      <c r="J53" s="1084"/>
      <c r="K53" s="987"/>
    </row>
    <row r="54" spans="1:11" ht="12" customHeight="1">
      <c r="A54" s="978" t="s">
        <v>65</v>
      </c>
      <c r="B54" s="988">
        <v>1758700006</v>
      </c>
      <c r="C54" s="988">
        <v>1663152626</v>
      </c>
      <c r="D54" s="988">
        <v>2996712770</v>
      </c>
      <c r="E54" s="699">
        <f t="shared" si="2"/>
        <v>4755412776</v>
      </c>
      <c r="F54" s="699">
        <f t="shared" si="3"/>
        <v>4659865396</v>
      </c>
      <c r="G54" s="988">
        <v>32386064.5022</v>
      </c>
      <c r="H54" s="979">
        <v>2020</v>
      </c>
      <c r="I54" s="1083"/>
      <c r="J54" s="1084"/>
      <c r="K54" s="987"/>
    </row>
    <row r="55" spans="1:11" ht="12" customHeight="1">
      <c r="A55" s="978" t="s">
        <v>67</v>
      </c>
      <c r="B55" s="988">
        <v>2755676800</v>
      </c>
      <c r="C55" s="988">
        <v>2142403000</v>
      </c>
      <c r="D55" s="988">
        <v>3510727750</v>
      </c>
      <c r="E55" s="699">
        <f t="shared" si="2"/>
        <v>6266404550</v>
      </c>
      <c r="F55" s="699">
        <f t="shared" si="3"/>
        <v>5653130750</v>
      </c>
      <c r="G55" s="988">
        <v>29961592.975000001</v>
      </c>
      <c r="H55" s="979">
        <v>2020</v>
      </c>
      <c r="I55" s="1083"/>
      <c r="J55" s="1084"/>
      <c r="K55" s="987"/>
    </row>
    <row r="56" spans="1:11" ht="12" customHeight="1">
      <c r="A56" s="978" t="s">
        <v>69</v>
      </c>
      <c r="B56" s="988">
        <v>1043166100</v>
      </c>
      <c r="C56" s="988">
        <v>1043166100</v>
      </c>
      <c r="D56" s="988">
        <v>626957200</v>
      </c>
      <c r="E56" s="699">
        <f t="shared" si="2"/>
        <v>1670123300</v>
      </c>
      <c r="F56" s="699">
        <f t="shared" si="3"/>
        <v>1670123300</v>
      </c>
      <c r="G56" s="988">
        <v>9686715.1400000006</v>
      </c>
      <c r="H56" s="979">
        <v>2020</v>
      </c>
      <c r="I56" s="1083"/>
      <c r="J56" s="1084"/>
      <c r="K56" s="987"/>
    </row>
    <row r="57" spans="1:11" ht="12" customHeight="1">
      <c r="A57" s="978" t="s">
        <v>71</v>
      </c>
      <c r="B57" s="988">
        <v>956044702</v>
      </c>
      <c r="C57" s="988">
        <v>676559002</v>
      </c>
      <c r="D57" s="988">
        <v>1409083947</v>
      </c>
      <c r="E57" s="699">
        <f t="shared" si="2"/>
        <v>2365128649</v>
      </c>
      <c r="F57" s="699">
        <f t="shared" si="3"/>
        <v>2085642949</v>
      </c>
      <c r="G57" s="988">
        <v>17102272.181799997</v>
      </c>
      <c r="H57" s="979">
        <v>2020</v>
      </c>
      <c r="I57" s="1083"/>
      <c r="J57" s="1084"/>
      <c r="K57" s="987"/>
    </row>
    <row r="58" spans="1:11" ht="12" customHeight="1">
      <c r="A58" s="980" t="s">
        <v>73</v>
      </c>
      <c r="B58" s="988">
        <v>317996800</v>
      </c>
      <c r="C58" s="988">
        <v>303185900</v>
      </c>
      <c r="D58" s="988">
        <v>315994900</v>
      </c>
      <c r="E58" s="699">
        <f t="shared" si="2"/>
        <v>633991700</v>
      </c>
      <c r="F58" s="699">
        <f t="shared" si="3"/>
        <v>619180800</v>
      </c>
      <c r="G58" s="988">
        <v>4148511.3600000003</v>
      </c>
      <c r="H58" s="979">
        <v>2020</v>
      </c>
      <c r="I58" s="1083"/>
      <c r="J58" s="1084"/>
      <c r="K58" s="987"/>
    </row>
    <row r="59" spans="1:11" ht="9" customHeight="1">
      <c r="E59" s="978" t="str">
        <f t="shared" si="2"/>
        <v/>
      </c>
      <c r="F59" s="978" t="str">
        <f t="shared" si="3"/>
        <v/>
      </c>
      <c r="I59" s="1083"/>
      <c r="J59" s="1084"/>
      <c r="K59" s="987"/>
    </row>
    <row r="60" spans="1:11" ht="12" customHeight="1">
      <c r="A60" s="978" t="s">
        <v>399</v>
      </c>
      <c r="B60" s="988">
        <v>1152671618</v>
      </c>
      <c r="C60" s="988">
        <v>1146489821</v>
      </c>
      <c r="D60" s="988">
        <v>1554809223</v>
      </c>
      <c r="E60" s="699">
        <f t="shared" si="2"/>
        <v>2707480841</v>
      </c>
      <c r="F60" s="699">
        <f t="shared" si="3"/>
        <v>2701299044</v>
      </c>
      <c r="G60" s="988">
        <v>13506495.220000001</v>
      </c>
      <c r="H60" s="979">
        <v>2020</v>
      </c>
      <c r="I60" s="1083"/>
      <c r="J60" s="1084"/>
      <c r="K60" s="987"/>
    </row>
    <row r="61" spans="1:11" ht="12" customHeight="1">
      <c r="A61" s="978" t="s">
        <v>77</v>
      </c>
      <c r="B61" s="988">
        <v>5518374637</v>
      </c>
      <c r="C61" s="988">
        <v>4839223580.8400002</v>
      </c>
      <c r="D61" s="988">
        <v>11217328210</v>
      </c>
      <c r="E61" s="699">
        <f t="shared" si="2"/>
        <v>16735702847</v>
      </c>
      <c r="F61" s="699">
        <f t="shared" si="3"/>
        <v>16056551790.84</v>
      </c>
      <c r="G61" s="988">
        <v>130058069.505804</v>
      </c>
      <c r="H61" s="979">
        <v>2020</v>
      </c>
      <c r="I61" s="1083"/>
      <c r="J61" s="1084"/>
      <c r="K61" s="987"/>
    </row>
    <row r="62" spans="1:11" ht="12" customHeight="1">
      <c r="A62" s="978" t="s">
        <v>79</v>
      </c>
      <c r="B62" s="988">
        <v>10274355000</v>
      </c>
      <c r="C62" s="988">
        <v>10081350100</v>
      </c>
      <c r="D62" s="988">
        <v>32576630100</v>
      </c>
      <c r="E62" s="699">
        <f t="shared" si="2"/>
        <v>42850985100</v>
      </c>
      <c r="F62" s="699">
        <f t="shared" si="3"/>
        <v>42657980200</v>
      </c>
      <c r="G62" s="988">
        <v>371124427.74000001</v>
      </c>
      <c r="H62" s="979">
        <v>2020</v>
      </c>
      <c r="I62" s="1083"/>
      <c r="J62" s="1084"/>
      <c r="K62" s="987"/>
    </row>
    <row r="63" spans="1:11" ht="12" customHeight="1">
      <c r="A63" s="978" t="s">
        <v>81</v>
      </c>
      <c r="B63" s="988">
        <v>795415200</v>
      </c>
      <c r="C63" s="988">
        <v>760660500</v>
      </c>
      <c r="D63" s="988">
        <v>2174662400</v>
      </c>
      <c r="E63" s="699">
        <f t="shared" si="2"/>
        <v>2970077600</v>
      </c>
      <c r="F63" s="699">
        <f t="shared" si="3"/>
        <v>2935322900</v>
      </c>
      <c r="G63" s="988">
        <v>16291042.1</v>
      </c>
      <c r="H63" s="979">
        <v>2020</v>
      </c>
      <c r="I63" s="1083"/>
      <c r="J63" s="1084"/>
      <c r="K63" s="987"/>
    </row>
    <row r="64" spans="1:11" ht="12" customHeight="1">
      <c r="A64" s="978" t="s">
        <v>82</v>
      </c>
      <c r="B64" s="988">
        <v>437756400</v>
      </c>
      <c r="C64" s="988">
        <v>437756400</v>
      </c>
      <c r="D64" s="988">
        <v>238557700</v>
      </c>
      <c r="E64" s="699">
        <f t="shared" si="2"/>
        <v>676314100</v>
      </c>
      <c r="F64" s="699">
        <f t="shared" si="3"/>
        <v>676314100</v>
      </c>
      <c r="G64" s="988">
        <v>3246307.6799999997</v>
      </c>
      <c r="H64" s="979">
        <v>2020</v>
      </c>
      <c r="I64" s="1083"/>
      <c r="J64" s="1084"/>
      <c r="K64" s="987"/>
    </row>
    <row r="65" spans="1:11" ht="9" customHeight="1">
      <c r="B65" s="988"/>
      <c r="C65" s="988"/>
      <c r="D65" s="988"/>
      <c r="E65" s="699" t="str">
        <f t="shared" si="2"/>
        <v/>
      </c>
      <c r="F65" s="699" t="str">
        <f t="shared" si="3"/>
        <v/>
      </c>
      <c r="G65" s="988"/>
      <c r="I65" s="1083"/>
      <c r="J65" s="1084"/>
      <c r="K65" s="987"/>
    </row>
    <row r="66" spans="1:11" ht="12" customHeight="1">
      <c r="A66" s="978" t="s">
        <v>84</v>
      </c>
      <c r="B66" s="988">
        <v>1728224624</v>
      </c>
      <c r="C66" s="988">
        <v>1418746124</v>
      </c>
      <c r="D66" s="988">
        <v>3278949656</v>
      </c>
      <c r="E66" s="699">
        <f t="shared" si="2"/>
        <v>5007174280</v>
      </c>
      <c r="F66" s="699">
        <f t="shared" si="3"/>
        <v>4697695780</v>
      </c>
      <c r="G66" s="988">
        <v>39930414.129999995</v>
      </c>
      <c r="H66" s="979" t="s">
        <v>1107</v>
      </c>
      <c r="I66" s="1083"/>
      <c r="J66" s="1084"/>
      <c r="K66" s="987"/>
    </row>
    <row r="67" spans="1:11" ht="12" customHeight="1">
      <c r="A67" s="978" t="s">
        <v>423</v>
      </c>
      <c r="B67" s="988">
        <v>3319242700</v>
      </c>
      <c r="C67" s="988">
        <v>3194228606</v>
      </c>
      <c r="D67" s="988">
        <v>9047028950</v>
      </c>
      <c r="E67" s="699">
        <f t="shared" si="2"/>
        <v>12366271650</v>
      </c>
      <c r="F67" s="699">
        <f t="shared" si="3"/>
        <v>12241257556</v>
      </c>
      <c r="G67" s="988">
        <v>102826563.47040001</v>
      </c>
      <c r="H67" s="979" t="s">
        <v>1107</v>
      </c>
      <c r="I67" s="1083"/>
      <c r="J67" s="1084"/>
      <c r="K67" s="987"/>
    </row>
    <row r="68" spans="1:11" ht="12" customHeight="1">
      <c r="A68" s="978" t="s">
        <v>88</v>
      </c>
      <c r="B68" s="988">
        <v>495987200</v>
      </c>
      <c r="C68" s="988">
        <v>495987200</v>
      </c>
      <c r="D68" s="988">
        <v>414869700</v>
      </c>
      <c r="E68" s="699">
        <f t="shared" si="2"/>
        <v>910856900</v>
      </c>
      <c r="F68" s="699">
        <f t="shared" si="3"/>
        <v>910856900</v>
      </c>
      <c r="G68" s="988">
        <v>4827541.57</v>
      </c>
      <c r="H68" s="979">
        <v>2020</v>
      </c>
      <c r="I68" s="1083"/>
      <c r="J68" s="1084"/>
      <c r="K68" s="987"/>
    </row>
    <row r="69" spans="1:11" ht="12" customHeight="1">
      <c r="A69" s="978" t="s">
        <v>90</v>
      </c>
      <c r="B69" s="988">
        <v>1163388343</v>
      </c>
      <c r="C69" s="988">
        <v>979558323</v>
      </c>
      <c r="D69" s="988">
        <v>1919429710</v>
      </c>
      <c r="E69" s="699">
        <f t="shared" si="2"/>
        <v>3082818053</v>
      </c>
      <c r="F69" s="699">
        <f t="shared" si="3"/>
        <v>2898988033</v>
      </c>
      <c r="G69" s="988">
        <v>20292916.230999999</v>
      </c>
      <c r="H69" s="979">
        <v>2020</v>
      </c>
      <c r="I69" s="1083"/>
      <c r="J69" s="1084"/>
      <c r="K69" s="987"/>
    </row>
    <row r="70" spans="1:11" ht="12" customHeight="1">
      <c r="A70" s="978" t="s">
        <v>435</v>
      </c>
      <c r="B70" s="988">
        <v>640388500</v>
      </c>
      <c r="C70" s="988">
        <v>512115900</v>
      </c>
      <c r="D70" s="988">
        <v>789679380</v>
      </c>
      <c r="E70" s="699">
        <f t="shared" si="2"/>
        <v>1430067880</v>
      </c>
      <c r="F70" s="699">
        <f t="shared" si="3"/>
        <v>1301795280</v>
      </c>
      <c r="G70" s="988">
        <v>11195439.92</v>
      </c>
      <c r="H70" s="979">
        <v>2020</v>
      </c>
      <c r="I70" s="1083"/>
      <c r="J70" s="1084"/>
      <c r="K70" s="987"/>
    </row>
    <row r="71" spans="1:11" ht="9" customHeight="1">
      <c r="B71" s="1359"/>
      <c r="C71" s="1359"/>
      <c r="D71" s="1359"/>
      <c r="E71" s="988" t="str">
        <f t="shared" si="2"/>
        <v/>
      </c>
      <c r="F71" s="988" t="str">
        <f t="shared" si="3"/>
        <v/>
      </c>
      <c r="G71" s="1359"/>
      <c r="H71" s="1360"/>
      <c r="I71" s="1083"/>
      <c r="J71" s="1084"/>
      <c r="K71" s="987"/>
    </row>
    <row r="72" spans="1:11" ht="12" customHeight="1">
      <c r="A72" s="978" t="s">
        <v>439</v>
      </c>
      <c r="B72" s="988">
        <v>1179837500</v>
      </c>
      <c r="C72" s="988">
        <v>1146200700</v>
      </c>
      <c r="D72" s="988">
        <v>1499529900</v>
      </c>
      <c r="E72" s="699">
        <f t="shared" si="2"/>
        <v>2679367400</v>
      </c>
      <c r="F72" s="699">
        <f t="shared" si="3"/>
        <v>2645730600</v>
      </c>
      <c r="G72" s="988">
        <v>16668102.779999999</v>
      </c>
      <c r="H72" s="979">
        <v>2020</v>
      </c>
      <c r="I72" s="1083"/>
      <c r="J72" s="1084"/>
      <c r="K72" s="987"/>
    </row>
    <row r="73" spans="1:11" ht="12" customHeight="1">
      <c r="A73" s="978" t="s">
        <v>96</v>
      </c>
      <c r="B73" s="988">
        <v>324669300</v>
      </c>
      <c r="C73" s="988">
        <v>324669300</v>
      </c>
      <c r="D73" s="988">
        <v>633755682</v>
      </c>
      <c r="E73" s="699">
        <f t="shared" si="2"/>
        <v>958424982</v>
      </c>
      <c r="F73" s="699">
        <f t="shared" si="3"/>
        <v>958424982</v>
      </c>
      <c r="G73" s="988">
        <v>5929775.3636340005</v>
      </c>
      <c r="H73" s="979">
        <v>2020</v>
      </c>
      <c r="I73" s="1083"/>
      <c r="J73" s="1084"/>
      <c r="K73" s="987"/>
    </row>
    <row r="74" spans="1:11" ht="12" customHeight="1">
      <c r="A74" s="978" t="s">
        <v>98</v>
      </c>
      <c r="B74" s="988">
        <v>30359164320</v>
      </c>
      <c r="C74" s="988">
        <v>28554837970</v>
      </c>
      <c r="D74" s="988">
        <v>61710461330</v>
      </c>
      <c r="E74" s="699">
        <f t="shared" si="2"/>
        <v>92069625650</v>
      </c>
      <c r="F74" s="699">
        <f t="shared" si="3"/>
        <v>90265299300</v>
      </c>
      <c r="G74" s="988">
        <v>934245847.75499988</v>
      </c>
      <c r="H74" s="979">
        <v>2020</v>
      </c>
      <c r="I74" s="1083"/>
      <c r="J74" s="1084"/>
      <c r="K74" s="987"/>
    </row>
    <row r="75" spans="1:11" ht="12" customHeight="1">
      <c r="A75" s="978" t="s">
        <v>100</v>
      </c>
      <c r="B75" s="988">
        <v>2274056400</v>
      </c>
      <c r="C75" s="988">
        <v>1742066700</v>
      </c>
      <c r="D75" s="988">
        <v>3545097900</v>
      </c>
      <c r="E75" s="699">
        <f t="shared" si="2"/>
        <v>5819154300</v>
      </c>
      <c r="F75" s="699">
        <f t="shared" si="3"/>
        <v>5287164600</v>
      </c>
      <c r="G75" s="988">
        <v>38067585.119999997</v>
      </c>
      <c r="H75" s="979">
        <v>2020</v>
      </c>
      <c r="I75" s="1083"/>
      <c r="J75" s="1084"/>
      <c r="K75" s="987"/>
    </row>
    <row r="76" spans="1:11" ht="12" customHeight="1">
      <c r="A76" s="978" t="s">
        <v>102</v>
      </c>
      <c r="B76" s="988">
        <v>470817700</v>
      </c>
      <c r="C76" s="988">
        <v>470817700</v>
      </c>
      <c r="D76" s="988">
        <v>469704300</v>
      </c>
      <c r="E76" s="699">
        <f t="shared" si="2"/>
        <v>940522000</v>
      </c>
      <c r="F76" s="699">
        <f t="shared" si="3"/>
        <v>940522000</v>
      </c>
      <c r="G76" s="988">
        <v>3573983.6</v>
      </c>
      <c r="H76" s="979">
        <v>2020</v>
      </c>
      <c r="I76" s="1083"/>
      <c r="J76" s="1084"/>
      <c r="K76" s="987"/>
    </row>
    <row r="77" spans="1:11" ht="9" customHeight="1">
      <c r="B77" s="988"/>
      <c r="C77" s="988"/>
      <c r="D77" s="988"/>
      <c r="E77" s="699" t="str">
        <f t="shared" si="2"/>
        <v/>
      </c>
      <c r="F77" s="699" t="str">
        <f t="shared" si="3"/>
        <v/>
      </c>
      <c r="G77" s="988"/>
      <c r="I77" s="1083"/>
      <c r="J77" s="1084"/>
      <c r="K77" s="987"/>
    </row>
    <row r="78" spans="1:11" ht="12" customHeight="1">
      <c r="A78" s="978" t="s">
        <v>104</v>
      </c>
      <c r="B78" s="988">
        <v>1195923200</v>
      </c>
      <c r="C78" s="988">
        <v>676724700</v>
      </c>
      <c r="D78" s="988">
        <v>1091636600</v>
      </c>
      <c r="E78" s="699">
        <f t="shared" si="2"/>
        <v>2287559800</v>
      </c>
      <c r="F78" s="699">
        <f t="shared" si="3"/>
        <v>1768361300</v>
      </c>
      <c r="G78" s="988">
        <v>12555365.229999999</v>
      </c>
      <c r="H78" s="979">
        <v>2020</v>
      </c>
      <c r="I78" s="1083"/>
      <c r="J78" s="1084"/>
      <c r="K78" s="987"/>
    </row>
    <row r="79" spans="1:11" ht="12" customHeight="1">
      <c r="A79" s="978" t="s">
        <v>106</v>
      </c>
      <c r="B79" s="988">
        <v>716746300</v>
      </c>
      <c r="C79" s="988">
        <v>716746300</v>
      </c>
      <c r="D79" s="988">
        <v>917640600</v>
      </c>
      <c r="E79" s="699">
        <f t="shared" si="2"/>
        <v>1634386900</v>
      </c>
      <c r="F79" s="699">
        <f t="shared" si="3"/>
        <v>1634386900</v>
      </c>
      <c r="G79" s="988">
        <v>10541795.505000001</v>
      </c>
      <c r="H79" s="979">
        <v>2020</v>
      </c>
      <c r="I79" s="1083"/>
      <c r="J79" s="1084"/>
      <c r="K79" s="987"/>
    </row>
    <row r="80" spans="1:11" ht="12" customHeight="1">
      <c r="A80" s="978" t="s">
        <v>108</v>
      </c>
      <c r="B80" s="988">
        <v>1555222600</v>
      </c>
      <c r="C80" s="988">
        <v>1555222600</v>
      </c>
      <c r="D80" s="988">
        <v>2978212000</v>
      </c>
      <c r="E80" s="699">
        <f t="shared" si="2"/>
        <v>4533434600</v>
      </c>
      <c r="F80" s="699">
        <f t="shared" si="3"/>
        <v>4533434600</v>
      </c>
      <c r="G80" s="988">
        <v>19040425.32</v>
      </c>
      <c r="H80" s="979" t="s">
        <v>1107</v>
      </c>
      <c r="I80" s="1083"/>
      <c r="J80" s="1084"/>
      <c r="K80" s="987"/>
    </row>
    <row r="81" spans="1:11" ht="12" customHeight="1">
      <c r="A81" s="978" t="s">
        <v>110</v>
      </c>
      <c r="B81" s="988">
        <v>1125993900</v>
      </c>
      <c r="C81" s="988">
        <v>1054244800</v>
      </c>
      <c r="D81" s="988">
        <v>1155888000</v>
      </c>
      <c r="E81" s="699">
        <f t="shared" si="2"/>
        <v>2281881900</v>
      </c>
      <c r="F81" s="699">
        <f t="shared" si="3"/>
        <v>2210132800</v>
      </c>
      <c r="G81" s="988">
        <v>13702823.359999999</v>
      </c>
      <c r="H81" s="979">
        <v>2020</v>
      </c>
      <c r="I81" s="1083"/>
      <c r="J81" s="1084"/>
      <c r="K81" s="987"/>
    </row>
    <row r="82" spans="1:11" ht="12" customHeight="1">
      <c r="A82" s="978" t="s">
        <v>112</v>
      </c>
      <c r="B82" s="988">
        <v>2295029600</v>
      </c>
      <c r="C82" s="988">
        <v>2100881500</v>
      </c>
      <c r="D82" s="988">
        <v>6480005600</v>
      </c>
      <c r="E82" s="699">
        <f t="shared" si="2"/>
        <v>8775035200</v>
      </c>
      <c r="F82" s="699">
        <f t="shared" si="3"/>
        <v>8580887100</v>
      </c>
      <c r="G82" s="988">
        <v>76369895.189999998</v>
      </c>
      <c r="H82" s="979">
        <v>2020</v>
      </c>
      <c r="I82" s="1083"/>
      <c r="J82" s="1084"/>
      <c r="K82" s="987"/>
    </row>
    <row r="83" spans="1:11" ht="15.75">
      <c r="A83" s="1239" t="s">
        <v>993</v>
      </c>
      <c r="J83" s="1084"/>
      <c r="K83" s="987"/>
    </row>
    <row r="84" spans="1:11" ht="12.75">
      <c r="A84" s="1275" t="str">
        <f>A43</f>
        <v>Real Estate Fair Market Value (FMV), Fair Market Value (Taxable), and Local Levy by Locality - Tax Year 2020</v>
      </c>
      <c r="B84" s="1275"/>
      <c r="C84" s="1275"/>
      <c r="D84" s="1275"/>
      <c r="E84" s="1275"/>
      <c r="F84" s="1275"/>
      <c r="G84" s="1275"/>
      <c r="H84" s="1275"/>
      <c r="J84" s="1084"/>
      <c r="K84" s="987"/>
    </row>
    <row r="85" spans="1:11" ht="9" customHeight="1" thickBot="1">
      <c r="A85" s="981"/>
      <c r="B85" s="981"/>
      <c r="C85" s="981"/>
      <c r="D85" s="981"/>
      <c r="E85" s="981"/>
      <c r="F85" s="981"/>
      <c r="G85" s="981"/>
      <c r="H85" s="981"/>
      <c r="J85" s="1084"/>
      <c r="K85" s="987"/>
    </row>
    <row r="86" spans="1:11" ht="11.25" customHeight="1">
      <c r="J86" s="1084"/>
      <c r="K86" s="987"/>
    </row>
    <row r="87" spans="1:11" ht="24">
      <c r="A87" s="983" t="s">
        <v>23</v>
      </c>
      <c r="B87" s="1094" t="s">
        <v>1141</v>
      </c>
      <c r="C87" s="1094" t="s">
        <v>1142</v>
      </c>
      <c r="D87" s="1094" t="s">
        <v>1143</v>
      </c>
      <c r="E87" s="1094" t="s">
        <v>1144</v>
      </c>
      <c r="F87" s="1094" t="s">
        <v>989</v>
      </c>
      <c r="G87" s="1094" t="s">
        <v>990</v>
      </c>
      <c r="H87" s="1095" t="s">
        <v>991</v>
      </c>
      <c r="J87" s="1084"/>
      <c r="K87" s="987"/>
    </row>
    <row r="88" spans="1:11" ht="8.25" customHeight="1">
      <c r="B88" s="990"/>
      <c r="C88" s="990"/>
      <c r="D88" s="990"/>
      <c r="E88" s="988"/>
      <c r="F88" s="988"/>
      <c r="G88" s="990"/>
      <c r="H88" s="991"/>
      <c r="J88" s="1084"/>
      <c r="K88" s="987"/>
    </row>
    <row r="89" spans="1:11" ht="12" customHeight="1">
      <c r="A89" s="978" t="s">
        <v>114</v>
      </c>
      <c r="B89" s="986">
        <v>1283366200</v>
      </c>
      <c r="C89" s="986">
        <v>777750683</v>
      </c>
      <c r="D89" s="986">
        <v>1712408650</v>
      </c>
      <c r="E89" s="1096">
        <f t="shared" ref="E89:E123" si="4">IF(SUM(B89,D89)=0,"",SUM(B89,D89))</f>
        <v>2995774850</v>
      </c>
      <c r="F89" s="1096">
        <f t="shared" ref="F89:F123" si="5">IF(SUM(C89:D89)=0,"",SUM(C89:D89))</f>
        <v>2490159333</v>
      </c>
      <c r="G89" s="986">
        <v>17929147.1976</v>
      </c>
      <c r="H89" s="979">
        <v>2020</v>
      </c>
      <c r="I89" s="1083"/>
      <c r="J89" s="1084"/>
      <c r="K89" s="987"/>
    </row>
    <row r="90" spans="1:11" ht="12" customHeight="1">
      <c r="A90" s="978" t="s">
        <v>116</v>
      </c>
      <c r="B90" s="988">
        <v>1315080346</v>
      </c>
      <c r="C90" s="988">
        <v>1202843280</v>
      </c>
      <c r="D90" s="988">
        <v>2132782607</v>
      </c>
      <c r="E90" s="989">
        <f t="shared" si="4"/>
        <v>3447862953</v>
      </c>
      <c r="F90" s="989">
        <f t="shared" si="5"/>
        <v>3335625887</v>
      </c>
      <c r="G90" s="988">
        <v>26351444.507300001</v>
      </c>
      <c r="H90" s="979">
        <v>2020</v>
      </c>
      <c r="I90" s="1083"/>
      <c r="J90" s="1084"/>
      <c r="K90" s="987"/>
    </row>
    <row r="91" spans="1:11" ht="12" customHeight="1">
      <c r="A91" s="978" t="s">
        <v>118</v>
      </c>
      <c r="B91" s="988">
        <v>994631249</v>
      </c>
      <c r="C91" s="988">
        <v>873112749</v>
      </c>
      <c r="D91" s="988">
        <v>1058141800</v>
      </c>
      <c r="E91" s="989">
        <f t="shared" si="4"/>
        <v>2052773049</v>
      </c>
      <c r="F91" s="989">
        <f t="shared" si="5"/>
        <v>1931254549</v>
      </c>
      <c r="G91" s="988">
        <v>16125975.484149998</v>
      </c>
      <c r="H91" s="979">
        <v>2020</v>
      </c>
      <c r="I91" s="1083"/>
      <c r="J91" s="1084"/>
      <c r="K91" s="987"/>
    </row>
    <row r="92" spans="1:11" ht="12" customHeight="1">
      <c r="A92" s="978" t="s">
        <v>120</v>
      </c>
      <c r="B92" s="988">
        <v>1258073200</v>
      </c>
      <c r="C92" s="988">
        <v>1092313567</v>
      </c>
      <c r="D92" s="988">
        <v>1687745500</v>
      </c>
      <c r="E92" s="989">
        <f t="shared" si="4"/>
        <v>2945818700</v>
      </c>
      <c r="F92" s="989">
        <f t="shared" si="5"/>
        <v>2780059067</v>
      </c>
      <c r="G92" s="988">
        <v>16402348.495300001</v>
      </c>
      <c r="H92" s="979">
        <v>2020</v>
      </c>
      <c r="I92" s="1083"/>
      <c r="J92" s="1084"/>
      <c r="K92" s="987"/>
    </row>
    <row r="93" spans="1:11" s="980" customFormat="1" ht="12" customHeight="1">
      <c r="A93" s="978" t="s">
        <v>122</v>
      </c>
      <c r="B93" s="988">
        <v>366717900</v>
      </c>
      <c r="C93" s="988">
        <v>335204990</v>
      </c>
      <c r="D93" s="988">
        <v>613396362</v>
      </c>
      <c r="E93" s="989">
        <f t="shared" si="4"/>
        <v>980114262</v>
      </c>
      <c r="F93" s="989">
        <f t="shared" si="5"/>
        <v>948601352</v>
      </c>
      <c r="G93" s="988">
        <v>4553286.4896</v>
      </c>
      <c r="H93" s="979">
        <v>2020</v>
      </c>
      <c r="I93" s="1083"/>
      <c r="J93" s="1084"/>
      <c r="K93" s="987"/>
    </row>
    <row r="94" spans="1:11" ht="9" customHeight="1">
      <c r="B94" s="988"/>
      <c r="C94" s="988"/>
      <c r="D94" s="988"/>
      <c r="E94" s="989" t="str">
        <f t="shared" si="4"/>
        <v/>
      </c>
      <c r="F94" s="989" t="str">
        <f t="shared" si="5"/>
        <v/>
      </c>
      <c r="G94" s="988"/>
      <c r="I94" s="1083"/>
      <c r="J94" s="1084"/>
      <c r="K94" s="987"/>
    </row>
    <row r="95" spans="1:11" ht="12" customHeight="1">
      <c r="A95" s="978" t="s">
        <v>124</v>
      </c>
      <c r="B95" s="988">
        <v>1788839700</v>
      </c>
      <c r="C95" s="988">
        <v>1319891700</v>
      </c>
      <c r="D95" s="988">
        <v>3170592700</v>
      </c>
      <c r="E95" s="989">
        <f t="shared" si="4"/>
        <v>4959432400</v>
      </c>
      <c r="F95" s="989">
        <f t="shared" si="5"/>
        <v>4490484400</v>
      </c>
      <c r="G95" s="988">
        <v>32331487.68</v>
      </c>
      <c r="H95" s="979">
        <v>2020</v>
      </c>
      <c r="I95" s="1083"/>
      <c r="J95" s="1084"/>
      <c r="K95" s="987"/>
    </row>
    <row r="96" spans="1:11" ht="12" customHeight="1">
      <c r="A96" s="978" t="s">
        <v>126</v>
      </c>
      <c r="B96" s="988">
        <v>1087424100</v>
      </c>
      <c r="C96" s="988">
        <v>608709150</v>
      </c>
      <c r="D96" s="988">
        <v>1446639400</v>
      </c>
      <c r="E96" s="989">
        <f t="shared" si="4"/>
        <v>2534063500</v>
      </c>
      <c r="F96" s="989">
        <f t="shared" si="5"/>
        <v>2055348550</v>
      </c>
      <c r="G96" s="988">
        <v>15004044.414999999</v>
      </c>
      <c r="H96" s="979">
        <v>2020</v>
      </c>
      <c r="I96" s="1083"/>
      <c r="J96" s="1084"/>
      <c r="K96" s="987"/>
    </row>
    <row r="97" spans="1:11" ht="12" customHeight="1">
      <c r="A97" s="978" t="s">
        <v>127</v>
      </c>
      <c r="B97" s="988">
        <v>743519700</v>
      </c>
      <c r="C97" s="988">
        <v>743519700</v>
      </c>
      <c r="D97" s="988">
        <v>845093300</v>
      </c>
      <c r="E97" s="989">
        <f t="shared" si="4"/>
        <v>1588613000</v>
      </c>
      <c r="F97" s="989">
        <f t="shared" si="5"/>
        <v>1588613000</v>
      </c>
      <c r="G97" s="988">
        <v>10802568.4</v>
      </c>
      <c r="H97" s="979">
        <v>2020</v>
      </c>
      <c r="I97" s="1083"/>
      <c r="J97" s="1084"/>
      <c r="K97" s="987"/>
    </row>
    <row r="98" spans="1:11" ht="12" customHeight="1">
      <c r="A98" s="978" t="s">
        <v>129</v>
      </c>
      <c r="B98" s="988">
        <v>1925474900</v>
      </c>
      <c r="C98" s="988">
        <v>1360315900</v>
      </c>
      <c r="D98" s="988">
        <v>2949465600</v>
      </c>
      <c r="E98" s="989">
        <f t="shared" si="4"/>
        <v>4874940500</v>
      </c>
      <c r="F98" s="989">
        <f t="shared" si="5"/>
        <v>4309781500</v>
      </c>
      <c r="G98" s="988">
        <v>26720645.300000001</v>
      </c>
      <c r="H98" s="979">
        <v>2020</v>
      </c>
      <c r="I98" s="1083"/>
      <c r="J98" s="1084"/>
      <c r="K98" s="987"/>
    </row>
    <row r="99" spans="1:11" ht="12" customHeight="1">
      <c r="A99" s="978" t="s">
        <v>131</v>
      </c>
      <c r="B99" s="988">
        <v>1643945400</v>
      </c>
      <c r="C99" s="988">
        <v>1309437025</v>
      </c>
      <c r="D99" s="988">
        <v>2211038000</v>
      </c>
      <c r="E99" s="989">
        <f t="shared" si="4"/>
        <v>3854983400</v>
      </c>
      <c r="F99" s="989">
        <f t="shared" si="5"/>
        <v>3520475025</v>
      </c>
      <c r="G99" s="988">
        <v>30980180.219999999</v>
      </c>
      <c r="H99" s="979" t="s">
        <v>1107</v>
      </c>
      <c r="I99" s="1083"/>
      <c r="J99" s="1084"/>
      <c r="K99" s="987"/>
    </row>
    <row r="100" spans="1:11" ht="12" customHeight="1">
      <c r="B100" s="990"/>
      <c r="C100" s="990"/>
      <c r="D100" s="990"/>
      <c r="E100" s="988" t="str">
        <f t="shared" si="4"/>
        <v/>
      </c>
      <c r="F100" s="988" t="str">
        <f t="shared" si="5"/>
        <v/>
      </c>
      <c r="G100" s="990"/>
      <c r="H100" s="991"/>
      <c r="I100" s="1083"/>
      <c r="J100" s="1084"/>
      <c r="K100" s="987"/>
    </row>
    <row r="101" spans="1:11" ht="12" customHeight="1">
      <c r="A101" s="978" t="s">
        <v>132</v>
      </c>
      <c r="B101" s="988">
        <v>554273614</v>
      </c>
      <c r="C101" s="988">
        <v>540594814</v>
      </c>
      <c r="D101" s="988">
        <v>1006308400</v>
      </c>
      <c r="E101" s="989">
        <f t="shared" si="4"/>
        <v>1560582014</v>
      </c>
      <c r="F101" s="989">
        <f t="shared" si="5"/>
        <v>1546903214</v>
      </c>
      <c r="G101" s="988">
        <v>7889206.3914000001</v>
      </c>
      <c r="H101" s="979">
        <v>2020</v>
      </c>
      <c r="I101" s="1083"/>
      <c r="J101" s="1084"/>
      <c r="K101" s="987"/>
    </row>
    <row r="102" spans="1:11" ht="12" customHeight="1">
      <c r="A102" s="978" t="s">
        <v>134</v>
      </c>
      <c r="B102" s="988">
        <v>928906500</v>
      </c>
      <c r="C102" s="988">
        <v>793432900</v>
      </c>
      <c r="D102" s="988">
        <v>2073035106</v>
      </c>
      <c r="E102" s="989">
        <f t="shared" si="4"/>
        <v>3001941606</v>
      </c>
      <c r="F102" s="989">
        <f t="shared" si="5"/>
        <v>2866468006</v>
      </c>
      <c r="G102" s="988">
        <v>24651624.851599999</v>
      </c>
      <c r="H102" s="979" t="s">
        <v>1107</v>
      </c>
      <c r="I102" s="1083"/>
      <c r="J102" s="1084"/>
      <c r="K102" s="987"/>
    </row>
    <row r="103" spans="1:11" ht="12.75" customHeight="1">
      <c r="A103" s="978" t="s">
        <v>136</v>
      </c>
      <c r="B103" s="988">
        <v>21388571200</v>
      </c>
      <c r="C103" s="988">
        <v>21031689000</v>
      </c>
      <c r="D103" s="988">
        <v>44455384100</v>
      </c>
      <c r="E103" s="989">
        <f t="shared" si="4"/>
        <v>65843955300</v>
      </c>
      <c r="F103" s="989">
        <f t="shared" si="5"/>
        <v>65487073100</v>
      </c>
      <c r="G103" s="988">
        <v>736729572.375</v>
      </c>
      <c r="H103" s="979">
        <v>2020</v>
      </c>
      <c r="I103" s="1083"/>
      <c r="J103" s="1084"/>
      <c r="K103" s="987"/>
    </row>
    <row r="104" spans="1:11" ht="12" customHeight="1">
      <c r="A104" s="978" t="s">
        <v>138</v>
      </c>
      <c r="B104" s="988">
        <v>902391500</v>
      </c>
      <c r="C104" s="988">
        <v>749311800</v>
      </c>
      <c r="D104" s="988">
        <v>1860667450</v>
      </c>
      <c r="E104" s="989">
        <f t="shared" si="4"/>
        <v>2763058950</v>
      </c>
      <c r="F104" s="989">
        <f t="shared" si="5"/>
        <v>2609979250</v>
      </c>
      <c r="G104" s="988">
        <v>20096840.225000001</v>
      </c>
      <c r="H104" s="979">
        <v>2020</v>
      </c>
      <c r="I104" s="1083"/>
      <c r="J104" s="1084"/>
      <c r="K104" s="987"/>
    </row>
    <row r="105" spans="1:11" ht="12" customHeight="1">
      <c r="A105" s="978" t="s">
        <v>140</v>
      </c>
      <c r="B105" s="988">
        <v>1204310800</v>
      </c>
      <c r="C105" s="988">
        <v>627513900</v>
      </c>
      <c r="D105" s="988">
        <v>971609700</v>
      </c>
      <c r="E105" s="989">
        <f t="shared" si="4"/>
        <v>2175920500</v>
      </c>
      <c r="F105" s="989">
        <f t="shared" si="5"/>
        <v>1599123600</v>
      </c>
      <c r="G105" s="988">
        <v>10714128.120000001</v>
      </c>
      <c r="H105" s="979">
        <v>2020</v>
      </c>
      <c r="I105" s="1083"/>
      <c r="J105" s="1084"/>
      <c r="K105" s="987"/>
    </row>
    <row r="106" spans="1:11" ht="9" customHeight="1">
      <c r="B106" s="988"/>
      <c r="C106" s="988"/>
      <c r="D106" s="988"/>
      <c r="E106" s="989" t="str">
        <f t="shared" si="4"/>
        <v/>
      </c>
      <c r="F106" s="989" t="str">
        <f t="shared" si="5"/>
        <v/>
      </c>
      <c r="G106" s="988"/>
      <c r="I106" s="1083"/>
      <c r="J106" s="1084"/>
      <c r="K106" s="987"/>
    </row>
    <row r="107" spans="1:11" ht="12" customHeight="1">
      <c r="A107" s="978" t="s">
        <v>441</v>
      </c>
      <c r="B107" s="988">
        <v>421903645</v>
      </c>
      <c r="C107" s="988">
        <v>354003163</v>
      </c>
      <c r="D107" s="988">
        <v>472452466</v>
      </c>
      <c r="E107" s="989">
        <f t="shared" si="4"/>
        <v>894356111</v>
      </c>
      <c r="F107" s="989">
        <f t="shared" si="5"/>
        <v>826455629</v>
      </c>
      <c r="G107" s="988">
        <v>5785189.4029999999</v>
      </c>
      <c r="H107" s="979">
        <v>2020</v>
      </c>
      <c r="I107" s="1083"/>
      <c r="J107" s="1084"/>
      <c r="K107" s="987"/>
    </row>
    <row r="108" spans="1:11" ht="12" customHeight="1">
      <c r="A108" s="978" t="s">
        <v>27</v>
      </c>
      <c r="B108" s="988">
        <v>2217788100</v>
      </c>
      <c r="C108" s="988">
        <v>2054072700</v>
      </c>
      <c r="D108" s="988">
        <v>6939681500</v>
      </c>
      <c r="E108" s="989">
        <f t="shared" si="4"/>
        <v>9157469600</v>
      </c>
      <c r="F108" s="989">
        <f t="shared" si="5"/>
        <v>8993754200</v>
      </c>
      <c r="G108" s="988">
        <v>98031920.780000001</v>
      </c>
      <c r="H108" s="979">
        <v>2020</v>
      </c>
      <c r="I108" s="1083"/>
      <c r="J108" s="1084"/>
      <c r="K108" s="987"/>
    </row>
    <row r="109" spans="1:11" ht="12" customHeight="1">
      <c r="A109" s="978" t="s">
        <v>144</v>
      </c>
      <c r="B109" s="988">
        <v>1353579616</v>
      </c>
      <c r="C109" s="988">
        <v>914816300</v>
      </c>
      <c r="D109" s="988">
        <v>1752932900</v>
      </c>
      <c r="E109" s="989">
        <f t="shared" si="4"/>
        <v>3106512516</v>
      </c>
      <c r="F109" s="989">
        <f t="shared" si="5"/>
        <v>2667749200</v>
      </c>
      <c r="G109" s="988">
        <v>19741344.079999998</v>
      </c>
      <c r="H109" s="979">
        <v>2020</v>
      </c>
      <c r="I109" s="1083"/>
      <c r="J109" s="1084"/>
      <c r="K109" s="987"/>
    </row>
    <row r="110" spans="1:11" ht="12" customHeight="1">
      <c r="A110" s="978" t="s">
        <v>145</v>
      </c>
      <c r="B110" s="988">
        <v>3302845800</v>
      </c>
      <c r="C110" s="988">
        <v>2276128600</v>
      </c>
      <c r="D110" s="988">
        <v>5965074900</v>
      </c>
      <c r="E110" s="989">
        <f t="shared" si="4"/>
        <v>9267920700</v>
      </c>
      <c r="F110" s="989">
        <f t="shared" si="5"/>
        <v>8241203500</v>
      </c>
      <c r="G110" s="988">
        <v>60984905.899999999</v>
      </c>
      <c r="H110" s="979">
        <v>2020</v>
      </c>
      <c r="I110" s="1083"/>
      <c r="J110" s="1084"/>
      <c r="K110" s="987"/>
    </row>
    <row r="111" spans="1:11" ht="12" customHeight="1">
      <c r="A111" s="980" t="s">
        <v>147</v>
      </c>
      <c r="B111" s="1097">
        <v>595144905</v>
      </c>
      <c r="C111" s="1097">
        <v>431280911</v>
      </c>
      <c r="D111" s="1097">
        <v>1006378761</v>
      </c>
      <c r="E111" s="1098">
        <f t="shared" si="4"/>
        <v>1601523666</v>
      </c>
      <c r="F111" s="1098">
        <f t="shared" si="5"/>
        <v>1437659672</v>
      </c>
      <c r="G111" s="1097">
        <v>9057255.933600001</v>
      </c>
      <c r="H111" s="979">
        <v>2020</v>
      </c>
      <c r="I111" s="1083"/>
      <c r="J111" s="1084"/>
      <c r="K111" s="987"/>
    </row>
    <row r="112" spans="1:11" ht="9" customHeight="1">
      <c r="E112" s="978" t="str">
        <f t="shared" si="4"/>
        <v/>
      </c>
      <c r="F112" s="978" t="str">
        <f t="shared" si="5"/>
        <v/>
      </c>
      <c r="I112" s="1083"/>
      <c r="J112" s="1084"/>
      <c r="K112" s="987"/>
    </row>
    <row r="113" spans="1:11" ht="12" customHeight="1">
      <c r="A113" s="978" t="s">
        <v>149</v>
      </c>
      <c r="B113" s="988">
        <v>447829400</v>
      </c>
      <c r="C113" s="988">
        <v>447829400</v>
      </c>
      <c r="D113" s="988">
        <v>794157900</v>
      </c>
      <c r="E113" s="989">
        <f t="shared" si="4"/>
        <v>1241987300</v>
      </c>
      <c r="F113" s="989">
        <f t="shared" si="5"/>
        <v>1241987300</v>
      </c>
      <c r="G113" s="988">
        <v>9935898.4000000004</v>
      </c>
      <c r="H113" s="979">
        <v>2020</v>
      </c>
      <c r="I113" s="1083"/>
      <c r="J113" s="1084"/>
      <c r="K113" s="987"/>
    </row>
    <row r="114" spans="1:11" ht="12" customHeight="1">
      <c r="A114" s="978" t="s">
        <v>151</v>
      </c>
      <c r="B114" s="988">
        <v>2160452530</v>
      </c>
      <c r="C114" s="988">
        <v>1570015100</v>
      </c>
      <c r="D114" s="988">
        <v>2901205605</v>
      </c>
      <c r="E114" s="989">
        <f t="shared" si="4"/>
        <v>5061658135</v>
      </c>
      <c r="F114" s="989">
        <f t="shared" si="5"/>
        <v>4471220705</v>
      </c>
      <c r="G114" s="988">
        <v>28615812.511999998</v>
      </c>
      <c r="H114" s="979">
        <v>2020</v>
      </c>
      <c r="I114" s="1083"/>
      <c r="J114" s="1084"/>
      <c r="K114" s="987"/>
    </row>
    <row r="115" spans="1:11" ht="12" customHeight="1">
      <c r="A115" s="978" t="s">
        <v>153</v>
      </c>
      <c r="B115" s="988">
        <v>582386600</v>
      </c>
      <c r="C115" s="988">
        <v>407801346</v>
      </c>
      <c r="D115" s="988">
        <v>1125506900</v>
      </c>
      <c r="E115" s="989">
        <f t="shared" si="4"/>
        <v>1707893500</v>
      </c>
      <c r="F115" s="989">
        <f t="shared" si="5"/>
        <v>1533308246</v>
      </c>
      <c r="G115" s="988">
        <v>11346480.58</v>
      </c>
      <c r="H115" s="979">
        <v>2020</v>
      </c>
      <c r="I115" s="1083"/>
      <c r="J115" s="1084"/>
      <c r="K115" s="987"/>
    </row>
    <row r="116" spans="1:11" ht="12" customHeight="1">
      <c r="A116" s="978" t="s">
        <v>155</v>
      </c>
      <c r="B116" s="988">
        <v>904603300</v>
      </c>
      <c r="C116" s="988">
        <v>522286900</v>
      </c>
      <c r="D116" s="988">
        <v>926749300</v>
      </c>
      <c r="E116" s="989">
        <f t="shared" si="4"/>
        <v>1831352600</v>
      </c>
      <c r="F116" s="989">
        <f t="shared" si="5"/>
        <v>1449036200</v>
      </c>
      <c r="G116" s="988">
        <v>12896422.18</v>
      </c>
      <c r="H116" s="979">
        <v>2020</v>
      </c>
      <c r="I116" s="1083"/>
      <c r="J116" s="1084"/>
      <c r="K116" s="987"/>
    </row>
    <row r="117" spans="1:11" ht="12" customHeight="1">
      <c r="A117" s="978" t="s">
        <v>157</v>
      </c>
      <c r="B117" s="988">
        <v>6101637900</v>
      </c>
      <c r="C117" s="988">
        <v>5735546110</v>
      </c>
      <c r="D117" s="988">
        <v>10941493300</v>
      </c>
      <c r="E117" s="989">
        <f t="shared" si="4"/>
        <v>17043131200</v>
      </c>
      <c r="F117" s="989">
        <f t="shared" si="5"/>
        <v>16677039410</v>
      </c>
      <c r="G117" s="988">
        <v>134983956.98453999</v>
      </c>
      <c r="H117" s="979">
        <v>2020</v>
      </c>
      <c r="I117" s="1083"/>
      <c r="J117" s="1084"/>
      <c r="K117" s="987"/>
    </row>
    <row r="118" spans="1:11" ht="9" customHeight="1">
      <c r="B118" s="988"/>
      <c r="C118" s="988"/>
      <c r="D118" s="988"/>
      <c r="E118" s="989" t="str">
        <f t="shared" si="4"/>
        <v/>
      </c>
      <c r="F118" s="989" t="str">
        <f t="shared" si="5"/>
        <v/>
      </c>
      <c r="G118" s="988"/>
      <c r="I118" s="1083"/>
      <c r="J118" s="1084"/>
      <c r="K118" s="987"/>
    </row>
    <row r="119" spans="1:11" ht="12" customHeight="1">
      <c r="A119" s="978" t="s">
        <v>159</v>
      </c>
      <c r="B119" s="988">
        <v>6385083900</v>
      </c>
      <c r="C119" s="988">
        <v>6089674795</v>
      </c>
      <c r="D119" s="988">
        <v>12634976400</v>
      </c>
      <c r="E119" s="989">
        <f t="shared" si="4"/>
        <v>19020060300</v>
      </c>
      <c r="F119" s="989">
        <f t="shared" si="5"/>
        <v>18724651195</v>
      </c>
      <c r="G119" s="988">
        <v>181629116.59149998</v>
      </c>
      <c r="H119" s="979">
        <v>2020</v>
      </c>
      <c r="I119" s="1083"/>
      <c r="J119" s="1084"/>
      <c r="K119" s="987"/>
    </row>
    <row r="120" spans="1:11" ht="12" customHeight="1">
      <c r="A120" s="978" t="s">
        <v>161</v>
      </c>
      <c r="B120" s="988">
        <v>475399400</v>
      </c>
      <c r="C120" s="988">
        <v>475399400</v>
      </c>
      <c r="D120" s="988">
        <v>485594100</v>
      </c>
      <c r="E120" s="989">
        <f t="shared" si="4"/>
        <v>960993500</v>
      </c>
      <c r="F120" s="989">
        <f t="shared" si="5"/>
        <v>960993500</v>
      </c>
      <c r="G120" s="988">
        <v>6823053.8499999996</v>
      </c>
      <c r="H120" s="979">
        <v>2020</v>
      </c>
      <c r="I120" s="1083"/>
      <c r="J120" s="1084"/>
      <c r="K120" s="987"/>
    </row>
    <row r="121" spans="1:11" ht="12" customHeight="1">
      <c r="A121" s="978" t="s">
        <v>163</v>
      </c>
      <c r="B121" s="988">
        <v>501557200</v>
      </c>
      <c r="C121" s="988">
        <v>501557200</v>
      </c>
      <c r="D121" s="988">
        <v>396553722</v>
      </c>
      <c r="E121" s="989">
        <f t="shared" si="4"/>
        <v>898110922</v>
      </c>
      <c r="F121" s="989">
        <f t="shared" si="5"/>
        <v>898110922</v>
      </c>
      <c r="G121" s="988">
        <v>5209043.3476</v>
      </c>
      <c r="H121" s="979">
        <v>2020</v>
      </c>
      <c r="I121" s="1083"/>
      <c r="J121" s="1084"/>
      <c r="K121" s="987"/>
    </row>
    <row r="122" spans="1:11" ht="12" customHeight="1">
      <c r="A122" s="978" t="s">
        <v>165</v>
      </c>
      <c r="B122" s="988">
        <v>742133600</v>
      </c>
      <c r="C122" s="988">
        <v>615231600</v>
      </c>
      <c r="D122" s="988">
        <v>2005898600</v>
      </c>
      <c r="E122" s="989">
        <f t="shared" si="4"/>
        <v>2748032200</v>
      </c>
      <c r="F122" s="989">
        <f t="shared" si="5"/>
        <v>2621130200</v>
      </c>
      <c r="G122" s="988">
        <v>15202555.159999998</v>
      </c>
      <c r="H122" s="979">
        <v>2020</v>
      </c>
      <c r="I122" s="1083"/>
      <c r="J122" s="1084"/>
      <c r="K122" s="987"/>
    </row>
    <row r="123" spans="1:11" ht="12" customHeight="1">
      <c r="A123" s="978" t="s">
        <v>167</v>
      </c>
      <c r="B123" s="988">
        <v>1715017600</v>
      </c>
      <c r="C123" s="988">
        <v>1715017600</v>
      </c>
      <c r="D123" s="988">
        <v>3314332000</v>
      </c>
      <c r="E123" s="989">
        <f t="shared" si="4"/>
        <v>5029349600</v>
      </c>
      <c r="F123" s="989">
        <f t="shared" si="5"/>
        <v>5029349600</v>
      </c>
      <c r="G123" s="988">
        <v>32942239.880000003</v>
      </c>
      <c r="H123" s="979">
        <v>2020</v>
      </c>
      <c r="I123" s="1083"/>
      <c r="J123" s="1084"/>
      <c r="K123" s="987"/>
    </row>
    <row r="124" spans="1:11" ht="15.75">
      <c r="A124" s="1239" t="s">
        <v>993</v>
      </c>
      <c r="J124" s="1084"/>
      <c r="K124" s="987"/>
    </row>
    <row r="125" spans="1:11" ht="12.75">
      <c r="A125" s="1275" t="str">
        <f>A84</f>
        <v>Real Estate Fair Market Value (FMV), Fair Market Value (Taxable), and Local Levy by Locality - Tax Year 2020</v>
      </c>
      <c r="B125" s="1275"/>
      <c r="C125" s="1275"/>
      <c r="D125" s="1275"/>
      <c r="E125" s="1275"/>
      <c r="F125" s="1275"/>
      <c r="G125" s="1275"/>
      <c r="H125" s="1275"/>
      <c r="J125" s="1084"/>
      <c r="K125" s="987"/>
    </row>
    <row r="126" spans="1:11" ht="9" customHeight="1" thickBot="1">
      <c r="A126" s="981"/>
      <c r="B126" s="981"/>
      <c r="C126" s="981"/>
      <c r="D126" s="981"/>
      <c r="E126" s="981"/>
      <c r="F126" s="981"/>
      <c r="G126" s="981"/>
      <c r="H126" s="981"/>
      <c r="J126" s="1084"/>
      <c r="K126" s="987"/>
    </row>
    <row r="127" spans="1:11" ht="11.25" customHeight="1">
      <c r="J127" s="1084"/>
      <c r="K127" s="987"/>
    </row>
    <row r="128" spans="1:11" ht="24">
      <c r="A128" s="983" t="s">
        <v>23</v>
      </c>
      <c r="B128" s="1094" t="s">
        <v>1141</v>
      </c>
      <c r="C128" s="1094" t="s">
        <v>1142</v>
      </c>
      <c r="D128" s="1094" t="s">
        <v>1143</v>
      </c>
      <c r="E128" s="1094" t="s">
        <v>1144</v>
      </c>
      <c r="F128" s="1094" t="s">
        <v>989</v>
      </c>
      <c r="G128" s="1094" t="s">
        <v>990</v>
      </c>
      <c r="H128" s="1095" t="s">
        <v>991</v>
      </c>
      <c r="J128" s="1084"/>
      <c r="K128" s="987"/>
    </row>
    <row r="129" spans="1:69" ht="8.25" customHeight="1">
      <c r="B129" s="988"/>
      <c r="C129" s="988"/>
      <c r="D129" s="988"/>
      <c r="E129" s="989"/>
      <c r="F129" s="989"/>
      <c r="G129" s="988"/>
      <c r="J129" s="1084"/>
      <c r="K129" s="987"/>
    </row>
    <row r="130" spans="1:69">
      <c r="A130" s="978" t="s">
        <v>169</v>
      </c>
      <c r="B130" s="986">
        <v>1959206324</v>
      </c>
      <c r="C130" s="986">
        <v>1244728624</v>
      </c>
      <c r="D130" s="986">
        <v>2917004400</v>
      </c>
      <c r="E130" s="1096">
        <f t="shared" ref="E130:E134" si="6">IF(SUM(B130,D130)=0,"",SUM(B130,D130))</f>
        <v>4876210724</v>
      </c>
      <c r="F130" s="1096">
        <f t="shared" ref="F130:F134" si="7">IF(SUM(C130:D130)=0,"",SUM(C130:D130))</f>
        <v>4161733024</v>
      </c>
      <c r="G130" s="986">
        <v>26218918.051200002</v>
      </c>
      <c r="H130" s="979">
        <v>2020</v>
      </c>
      <c r="I130" s="1083"/>
      <c r="J130" s="1084"/>
      <c r="K130" s="987"/>
    </row>
    <row r="131" spans="1:69">
      <c r="A131" s="978" t="s">
        <v>1122</v>
      </c>
      <c r="B131" s="988">
        <v>1197242500</v>
      </c>
      <c r="C131" s="988">
        <v>1062096260</v>
      </c>
      <c r="D131" s="988">
        <v>1449842900</v>
      </c>
      <c r="E131" s="989">
        <f t="shared" si="6"/>
        <v>2647085400</v>
      </c>
      <c r="F131" s="989">
        <f t="shared" si="7"/>
        <v>2511939160</v>
      </c>
      <c r="G131" s="988">
        <v>16327604.540000001</v>
      </c>
      <c r="H131" s="979">
        <v>2019</v>
      </c>
      <c r="I131" s="1083"/>
      <c r="J131" s="1084"/>
      <c r="K131" s="987"/>
    </row>
    <row r="132" spans="1:69">
      <c r="A132" s="978" t="s">
        <v>173</v>
      </c>
      <c r="B132" s="988">
        <v>488793116</v>
      </c>
      <c r="C132" s="988">
        <v>485063310</v>
      </c>
      <c r="D132" s="988">
        <v>1376057500</v>
      </c>
      <c r="E132" s="989">
        <f t="shared" si="6"/>
        <v>1864850616</v>
      </c>
      <c r="F132" s="989">
        <f t="shared" si="7"/>
        <v>1861120810</v>
      </c>
      <c r="G132" s="988">
        <v>12841733.589</v>
      </c>
      <c r="H132" s="979">
        <v>2020</v>
      </c>
      <c r="I132" s="1083"/>
      <c r="J132" s="1084"/>
      <c r="K132" s="987"/>
    </row>
    <row r="133" spans="1:69">
      <c r="A133" s="978" t="s">
        <v>175</v>
      </c>
      <c r="B133" s="988">
        <v>1058364300</v>
      </c>
      <c r="C133" s="988">
        <v>799053100</v>
      </c>
      <c r="D133" s="988">
        <v>1558733700</v>
      </c>
      <c r="E133" s="989">
        <f t="shared" si="6"/>
        <v>2617098000</v>
      </c>
      <c r="F133" s="989">
        <f t="shared" si="7"/>
        <v>2357786800</v>
      </c>
      <c r="G133" s="988">
        <v>12732048.720000001</v>
      </c>
      <c r="H133" s="979">
        <v>2020</v>
      </c>
      <c r="I133" s="1083"/>
      <c r="J133" s="1084"/>
      <c r="K133" s="987"/>
    </row>
    <row r="134" spans="1:69">
      <c r="A134" s="978" t="s">
        <v>177</v>
      </c>
      <c r="B134" s="988">
        <v>3621244149</v>
      </c>
      <c r="C134" s="988">
        <v>3612534149</v>
      </c>
      <c r="D134" s="988">
        <v>5937885300</v>
      </c>
      <c r="E134" s="989">
        <f t="shared" si="6"/>
        <v>9559129449</v>
      </c>
      <c r="F134" s="989">
        <f t="shared" si="7"/>
        <v>9550419449</v>
      </c>
      <c r="G134" s="988">
        <v>75925834.619550005</v>
      </c>
      <c r="H134" s="979">
        <v>2020</v>
      </c>
      <c r="I134" s="1083"/>
      <c r="J134" s="1084"/>
      <c r="K134" s="987"/>
    </row>
    <row r="135" spans="1:69">
      <c r="C135" s="992"/>
      <c r="D135" s="992"/>
      <c r="J135" s="1084"/>
      <c r="K135" s="987"/>
    </row>
    <row r="136" spans="1:69" s="994" customFormat="1" ht="12.75" customHeight="1">
      <c r="A136" s="1237" t="s">
        <v>24</v>
      </c>
      <c r="B136" s="1238">
        <f t="shared" ref="B136:G136" si="8">SUM(B7:B134)</f>
        <v>332788666328</v>
      </c>
      <c r="C136" s="1238">
        <f t="shared" si="8"/>
        <v>307453759380.83997</v>
      </c>
      <c r="D136" s="1238">
        <f t="shared" si="8"/>
        <v>615080915196</v>
      </c>
      <c r="E136" s="1238">
        <f t="shared" si="8"/>
        <v>947869581524</v>
      </c>
      <c r="F136" s="1238">
        <f t="shared" si="8"/>
        <v>922534674576.84009</v>
      </c>
      <c r="G136" s="1238">
        <f t="shared" si="8"/>
        <v>8796677877.2039413</v>
      </c>
      <c r="H136" s="993"/>
      <c r="I136" s="1085"/>
      <c r="J136" s="1084"/>
      <c r="K136" s="987"/>
      <c r="L136" s="995"/>
      <c r="M136" s="995"/>
      <c r="N136" s="995"/>
      <c r="O136" s="995"/>
      <c r="P136" s="995"/>
      <c r="Q136" s="995"/>
      <c r="R136" s="995"/>
      <c r="S136" s="995"/>
      <c r="T136" s="995"/>
      <c r="U136" s="995"/>
      <c r="V136" s="995"/>
      <c r="W136" s="995"/>
      <c r="X136" s="995"/>
      <c r="Y136" s="995"/>
      <c r="Z136" s="995"/>
      <c r="AA136" s="995"/>
      <c r="AB136" s="995"/>
      <c r="AC136" s="995"/>
      <c r="AD136" s="995"/>
      <c r="AE136" s="995"/>
      <c r="AF136" s="995"/>
      <c r="AG136" s="995"/>
      <c r="AH136" s="995"/>
      <c r="AI136" s="995"/>
      <c r="AJ136" s="995"/>
      <c r="AK136" s="995"/>
      <c r="AL136" s="995"/>
      <c r="AM136" s="995"/>
      <c r="AN136" s="995"/>
      <c r="AO136" s="995"/>
      <c r="AP136" s="995"/>
      <c r="AQ136" s="995"/>
      <c r="AR136" s="995"/>
      <c r="AS136" s="995"/>
      <c r="AT136" s="995"/>
      <c r="AU136" s="995"/>
      <c r="AV136" s="995"/>
      <c r="AW136" s="995"/>
      <c r="AX136" s="995"/>
      <c r="AY136" s="995"/>
      <c r="AZ136" s="995"/>
      <c r="BA136" s="995"/>
      <c r="BB136" s="995"/>
      <c r="BC136" s="995"/>
      <c r="BD136" s="995"/>
      <c r="BE136" s="995"/>
      <c r="BF136" s="995"/>
      <c r="BG136" s="995"/>
      <c r="BH136" s="995"/>
      <c r="BI136" s="995"/>
      <c r="BJ136" s="995"/>
      <c r="BK136" s="995"/>
      <c r="BL136" s="995"/>
      <c r="BM136" s="995"/>
      <c r="BN136" s="995"/>
      <c r="BO136" s="995"/>
      <c r="BP136" s="995"/>
      <c r="BQ136" s="995"/>
    </row>
    <row r="137" spans="1:69">
      <c r="J137" s="1084"/>
      <c r="K137" s="987"/>
    </row>
    <row r="138" spans="1:69" ht="12.75" thickBot="1">
      <c r="B138" s="986"/>
      <c r="C138" s="986"/>
      <c r="D138" s="986"/>
      <c r="E138" s="986"/>
      <c r="F138" s="986"/>
      <c r="G138" s="986"/>
      <c r="J138" s="1084"/>
      <c r="K138" s="987"/>
    </row>
    <row r="139" spans="1:69">
      <c r="A139" s="996"/>
      <c r="B139" s="996"/>
      <c r="C139" s="996"/>
      <c r="D139" s="996"/>
      <c r="E139" s="996"/>
      <c r="F139" s="996"/>
      <c r="G139" s="996"/>
      <c r="H139" s="997"/>
      <c r="J139" s="1084"/>
      <c r="K139" s="987"/>
    </row>
    <row r="140" spans="1:69" s="998" customFormat="1" ht="24">
      <c r="A140" s="983" t="s">
        <v>25</v>
      </c>
      <c r="B140" s="1094" t="s">
        <v>1141</v>
      </c>
      <c r="C140" s="1094" t="s">
        <v>1142</v>
      </c>
      <c r="D140" s="1094" t="s">
        <v>1143</v>
      </c>
      <c r="E140" s="1094" t="s">
        <v>1144</v>
      </c>
      <c r="F140" s="1094" t="s">
        <v>989</v>
      </c>
      <c r="G140" s="1094" t="s">
        <v>990</v>
      </c>
      <c r="H140" s="1095" t="s">
        <v>991</v>
      </c>
      <c r="I140" s="1080"/>
      <c r="J140" s="1084"/>
      <c r="K140" s="987"/>
      <c r="L140" s="999"/>
      <c r="M140" s="999"/>
      <c r="N140" s="999"/>
      <c r="O140" s="999"/>
      <c r="P140" s="999"/>
      <c r="Q140" s="999"/>
      <c r="R140" s="999"/>
      <c r="S140" s="999"/>
      <c r="T140" s="999"/>
      <c r="U140" s="999"/>
      <c r="V140" s="999"/>
      <c r="W140" s="999"/>
      <c r="X140" s="999"/>
      <c r="Y140" s="999"/>
      <c r="Z140" s="999"/>
      <c r="AA140" s="999"/>
      <c r="AB140" s="999"/>
      <c r="AC140" s="999"/>
      <c r="AD140" s="999"/>
      <c r="AE140" s="999"/>
      <c r="AF140" s="999"/>
      <c r="AG140" s="999"/>
      <c r="AH140" s="999"/>
      <c r="AI140" s="999"/>
      <c r="AJ140" s="999"/>
      <c r="AK140" s="999"/>
      <c r="AL140" s="999"/>
      <c r="AM140" s="999"/>
      <c r="AN140" s="999"/>
      <c r="AO140" s="999"/>
      <c r="AP140" s="999"/>
      <c r="AQ140" s="999"/>
      <c r="AR140" s="999"/>
      <c r="AS140" s="999"/>
      <c r="AT140" s="999"/>
      <c r="AU140" s="999"/>
      <c r="AV140" s="999"/>
      <c r="AW140" s="999"/>
      <c r="AX140" s="999"/>
      <c r="AY140" s="999"/>
      <c r="AZ140" s="999"/>
      <c r="BA140" s="999"/>
      <c r="BB140" s="999"/>
      <c r="BC140" s="999"/>
      <c r="BD140" s="999"/>
      <c r="BE140" s="999"/>
      <c r="BF140" s="999"/>
      <c r="BG140" s="999"/>
      <c r="BH140" s="999"/>
      <c r="BI140" s="999"/>
      <c r="BJ140" s="999"/>
      <c r="BK140" s="999"/>
      <c r="BL140" s="999"/>
      <c r="BM140" s="999"/>
      <c r="BN140" s="999"/>
      <c r="BO140" s="999"/>
      <c r="BP140" s="999"/>
      <c r="BQ140" s="999"/>
    </row>
    <row r="141" spans="1:69" s="998" customFormat="1" ht="8.25" customHeight="1">
      <c r="A141" s="985"/>
      <c r="B141" s="985"/>
      <c r="C141" s="985"/>
      <c r="D141" s="985"/>
      <c r="E141" s="985"/>
      <c r="F141" s="985"/>
      <c r="G141" s="985"/>
      <c r="H141" s="1000"/>
      <c r="I141" s="1080"/>
      <c r="J141" s="1084"/>
      <c r="K141" s="987"/>
      <c r="L141" s="999"/>
      <c r="M141" s="999"/>
      <c r="N141" s="999"/>
      <c r="O141" s="999"/>
      <c r="P141" s="999"/>
      <c r="Q141" s="999"/>
      <c r="R141" s="999"/>
      <c r="S141" s="999"/>
      <c r="T141" s="999"/>
      <c r="U141" s="999"/>
      <c r="V141" s="999"/>
      <c r="W141" s="999"/>
      <c r="X141" s="999"/>
      <c r="Y141" s="999"/>
      <c r="Z141" s="999"/>
      <c r="AA141" s="999"/>
      <c r="AB141" s="999"/>
      <c r="AC141" s="999"/>
      <c r="AD141" s="999"/>
      <c r="AE141" s="999"/>
      <c r="AF141" s="999"/>
      <c r="AG141" s="999"/>
      <c r="AH141" s="999"/>
      <c r="AI141" s="999"/>
      <c r="AJ141" s="999"/>
      <c r="AK141" s="999"/>
      <c r="AL141" s="999"/>
      <c r="AM141" s="999"/>
      <c r="AN141" s="999"/>
      <c r="AO141" s="999"/>
      <c r="AP141" s="999"/>
      <c r="AQ141" s="999"/>
      <c r="AR141" s="999"/>
      <c r="AS141" s="999"/>
      <c r="AT141" s="999"/>
      <c r="AU141" s="999"/>
      <c r="AV141" s="999"/>
      <c r="AW141" s="999"/>
      <c r="AX141" s="999"/>
      <c r="AY141" s="999"/>
      <c r="AZ141" s="999"/>
      <c r="BA141" s="999"/>
      <c r="BB141" s="999"/>
      <c r="BC141" s="999"/>
      <c r="BD141" s="999"/>
      <c r="BE141" s="999"/>
      <c r="BF141" s="999"/>
      <c r="BG141" s="999"/>
      <c r="BH141" s="999"/>
      <c r="BI141" s="999"/>
      <c r="BJ141" s="999"/>
      <c r="BK141" s="999"/>
      <c r="BL141" s="999"/>
      <c r="BM141" s="999"/>
      <c r="BN141" s="999"/>
      <c r="BO141" s="999"/>
      <c r="BP141" s="999"/>
      <c r="BQ141" s="999"/>
    </row>
    <row r="142" spans="1:69" ht="12" customHeight="1">
      <c r="A142" s="978" t="s">
        <v>473</v>
      </c>
      <c r="B142" s="986">
        <v>17469728543</v>
      </c>
      <c r="C142" s="986">
        <v>17469728543</v>
      </c>
      <c r="D142" s="986">
        <v>24340072948</v>
      </c>
      <c r="E142" s="1096">
        <f t="shared" ref="E142:E164" si="9">IF(SUM(B142,D142)=0,"",SUM(B142,D142))</f>
        <v>41809801491</v>
      </c>
      <c r="F142" s="1096">
        <f t="shared" ref="F142:F164" si="10">IF(SUM(C142:D142)=0,"",SUM(C142:D142))</f>
        <v>41809801491</v>
      </c>
      <c r="G142" s="986">
        <v>472450756.84829998</v>
      </c>
      <c r="H142" s="979">
        <v>2020</v>
      </c>
      <c r="I142" s="1083"/>
      <c r="J142" s="1084"/>
      <c r="K142" s="987"/>
    </row>
    <row r="143" spans="1:69" ht="11.25" customHeight="1">
      <c r="A143" s="978" t="s">
        <v>184</v>
      </c>
      <c r="B143" s="988">
        <v>303574870</v>
      </c>
      <c r="C143" s="988">
        <v>303574870</v>
      </c>
      <c r="D143" s="988">
        <v>896793450</v>
      </c>
      <c r="E143" s="989">
        <f t="shared" si="9"/>
        <v>1200368320</v>
      </c>
      <c r="F143" s="989">
        <f t="shared" si="10"/>
        <v>1200368320</v>
      </c>
      <c r="G143" s="988">
        <v>14044309.343999999</v>
      </c>
      <c r="H143" s="979">
        <v>2020</v>
      </c>
      <c r="I143" s="1083"/>
      <c r="J143" s="1084"/>
      <c r="K143" s="987"/>
    </row>
    <row r="144" spans="1:69" ht="12" customHeight="1">
      <c r="A144" s="978" t="s">
        <v>186</v>
      </c>
      <c r="B144" s="988">
        <v>71023960</v>
      </c>
      <c r="C144" s="988">
        <v>70845060</v>
      </c>
      <c r="D144" s="988">
        <v>257593490</v>
      </c>
      <c r="E144" s="989">
        <f t="shared" si="9"/>
        <v>328617450</v>
      </c>
      <c r="F144" s="989">
        <f t="shared" si="10"/>
        <v>328438550</v>
      </c>
      <c r="G144" s="988">
        <v>3974106.4550000001</v>
      </c>
      <c r="H144" s="979" t="s">
        <v>1107</v>
      </c>
      <c r="I144" s="1083"/>
      <c r="J144" s="1084"/>
      <c r="K144" s="987"/>
    </row>
    <row r="145" spans="1:11" ht="12" customHeight="1">
      <c r="A145" s="978" t="s">
        <v>188</v>
      </c>
      <c r="B145" s="988">
        <v>2586741400</v>
      </c>
      <c r="C145" s="988">
        <v>2586741400</v>
      </c>
      <c r="D145" s="988">
        <v>5600388900</v>
      </c>
      <c r="E145" s="989">
        <f t="shared" si="9"/>
        <v>8187130300</v>
      </c>
      <c r="F145" s="989">
        <f t="shared" si="10"/>
        <v>8187130300</v>
      </c>
      <c r="G145" s="988">
        <v>77777737.849999994</v>
      </c>
      <c r="H145" s="979">
        <v>2020</v>
      </c>
      <c r="I145" s="1083"/>
      <c r="J145" s="1084"/>
      <c r="K145" s="987"/>
    </row>
    <row r="146" spans="1:11" ht="12" customHeight="1">
      <c r="A146" s="978" t="s">
        <v>133</v>
      </c>
      <c r="B146" s="988">
        <v>9766422100</v>
      </c>
      <c r="C146" s="988">
        <v>9580798600</v>
      </c>
      <c r="D146" s="988">
        <v>18295634300</v>
      </c>
      <c r="E146" s="989">
        <f t="shared" si="9"/>
        <v>28062056400</v>
      </c>
      <c r="F146" s="989">
        <f t="shared" si="10"/>
        <v>27876432900</v>
      </c>
      <c r="G146" s="988">
        <v>292702545.44999999</v>
      </c>
      <c r="H146" s="979" t="s">
        <v>1107</v>
      </c>
      <c r="I146" s="1083"/>
      <c r="J146" s="1084"/>
      <c r="K146" s="987"/>
    </row>
    <row r="147" spans="1:11" ht="9" customHeight="1">
      <c r="B147" s="988"/>
      <c r="C147" s="988"/>
      <c r="D147" s="988"/>
      <c r="E147" s="989" t="str">
        <f t="shared" si="9"/>
        <v/>
      </c>
      <c r="F147" s="989" t="str">
        <f t="shared" si="10"/>
        <v/>
      </c>
      <c r="G147" s="988"/>
      <c r="I147" s="1083"/>
      <c r="J147" s="1084"/>
      <c r="K147" s="987"/>
    </row>
    <row r="148" spans="1:11" ht="12" customHeight="1">
      <c r="A148" s="978" t="s">
        <v>135</v>
      </c>
      <c r="B148" s="988">
        <v>603396400</v>
      </c>
      <c r="C148" s="988">
        <v>603396400</v>
      </c>
      <c r="D148" s="988">
        <v>1213377500</v>
      </c>
      <c r="E148" s="989">
        <f t="shared" si="9"/>
        <v>1816773900</v>
      </c>
      <c r="F148" s="989">
        <f t="shared" si="10"/>
        <v>1816773900</v>
      </c>
      <c r="G148" s="988">
        <v>21801286.800000001</v>
      </c>
      <c r="H148" s="979">
        <v>2020</v>
      </c>
      <c r="I148" s="1083"/>
      <c r="J148" s="1084"/>
      <c r="K148" s="987"/>
    </row>
    <row r="149" spans="1:11" ht="12" customHeight="1">
      <c r="A149" s="978" t="s">
        <v>137</v>
      </c>
      <c r="B149" s="988">
        <v>57225924</v>
      </c>
      <c r="C149" s="988">
        <v>57225924</v>
      </c>
      <c r="D149" s="988">
        <v>241889044</v>
      </c>
      <c r="E149" s="989">
        <f t="shared" si="9"/>
        <v>299114968</v>
      </c>
      <c r="F149" s="989">
        <f t="shared" si="10"/>
        <v>299114968</v>
      </c>
      <c r="G149" s="988">
        <v>2392919.7440000004</v>
      </c>
      <c r="H149" s="979" t="s">
        <v>1107</v>
      </c>
      <c r="I149" s="1083"/>
      <c r="J149" s="1084"/>
      <c r="K149" s="987"/>
    </row>
    <row r="150" spans="1:11" ht="12" customHeight="1">
      <c r="A150" s="978" t="s">
        <v>139</v>
      </c>
      <c r="B150" s="988">
        <v>313563500</v>
      </c>
      <c r="C150" s="988">
        <v>312348900</v>
      </c>
      <c r="D150" s="988">
        <v>1950610400</v>
      </c>
      <c r="E150" s="989">
        <f t="shared" si="9"/>
        <v>2264173900</v>
      </c>
      <c r="F150" s="989">
        <f t="shared" si="10"/>
        <v>2262959300</v>
      </c>
      <c r="G150" s="988">
        <v>19008858.120000001</v>
      </c>
      <c r="H150" s="979" t="s">
        <v>1107</v>
      </c>
      <c r="I150" s="1083"/>
      <c r="J150" s="1084"/>
      <c r="K150" s="987"/>
    </row>
    <row r="151" spans="1:11" ht="12" customHeight="1">
      <c r="A151" s="978" t="s">
        <v>141</v>
      </c>
      <c r="B151" s="988">
        <v>63991200</v>
      </c>
      <c r="C151" s="988">
        <v>63991200</v>
      </c>
      <c r="D151" s="988">
        <v>291610500</v>
      </c>
      <c r="E151" s="989">
        <f t="shared" si="9"/>
        <v>355601700</v>
      </c>
      <c r="F151" s="989">
        <f t="shared" si="10"/>
        <v>355601700</v>
      </c>
      <c r="G151" s="988">
        <v>3378216.15</v>
      </c>
      <c r="H151" s="979">
        <v>2020</v>
      </c>
      <c r="I151" s="1083"/>
      <c r="J151" s="1084"/>
      <c r="K151" s="987"/>
    </row>
    <row r="152" spans="1:11" ht="12" customHeight="1">
      <c r="A152" s="978" t="s">
        <v>1052</v>
      </c>
      <c r="B152" s="988">
        <v>2514346400</v>
      </c>
      <c r="C152" s="988">
        <v>2514346400</v>
      </c>
      <c r="D152" s="988">
        <v>3925647900</v>
      </c>
      <c r="E152" s="989">
        <f t="shared" si="9"/>
        <v>6439994300</v>
      </c>
      <c r="F152" s="989">
        <f t="shared" si="10"/>
        <v>6439994300</v>
      </c>
      <c r="G152" s="988">
        <v>69229938.724999994</v>
      </c>
      <c r="H152" s="979">
        <v>2020</v>
      </c>
      <c r="I152" s="1083"/>
      <c r="J152" s="1084"/>
      <c r="K152" s="987"/>
    </row>
    <row r="153" spans="1:11" ht="9" customHeight="1">
      <c r="B153" s="988"/>
      <c r="C153" s="988"/>
      <c r="D153" s="988"/>
      <c r="E153" s="989" t="str">
        <f t="shared" si="9"/>
        <v/>
      </c>
      <c r="F153" s="989" t="str">
        <f t="shared" si="10"/>
        <v/>
      </c>
      <c r="G153" s="988"/>
      <c r="I153" s="1083"/>
      <c r="J153" s="1084"/>
      <c r="K153" s="987"/>
    </row>
    <row r="154" spans="1:11" ht="12" customHeight="1">
      <c r="A154" s="978" t="s">
        <v>504</v>
      </c>
      <c r="B154" s="988">
        <v>2096786000</v>
      </c>
      <c r="C154" s="988">
        <v>2096786000</v>
      </c>
      <c r="D154" s="988">
        <v>2353293500</v>
      </c>
      <c r="E154" s="989">
        <f t="shared" si="9"/>
        <v>4450079500</v>
      </c>
      <c r="F154" s="989">
        <f t="shared" si="10"/>
        <v>4450079500</v>
      </c>
      <c r="G154" s="988">
        <v>60298577.225000001</v>
      </c>
      <c r="H154" s="979">
        <v>2020</v>
      </c>
      <c r="I154" s="1083"/>
      <c r="J154" s="1084"/>
      <c r="K154" s="987"/>
    </row>
    <row r="155" spans="1:11" ht="12" customHeight="1">
      <c r="A155" s="978" t="s">
        <v>26</v>
      </c>
      <c r="B155" s="988">
        <v>152853600</v>
      </c>
      <c r="C155" s="988">
        <v>147961305</v>
      </c>
      <c r="D155" s="988">
        <v>418339390</v>
      </c>
      <c r="E155" s="989">
        <f t="shared" si="9"/>
        <v>571192990</v>
      </c>
      <c r="F155" s="989">
        <f t="shared" si="10"/>
        <v>566300695</v>
      </c>
      <c r="G155" s="988">
        <v>5832897.1584999999</v>
      </c>
      <c r="H155" s="979" t="s">
        <v>1107</v>
      </c>
      <c r="I155" s="1083"/>
      <c r="J155" s="1084"/>
      <c r="K155" s="987"/>
    </row>
    <row r="156" spans="1:11" ht="12" customHeight="1">
      <c r="A156" s="978" t="s">
        <v>146</v>
      </c>
      <c r="B156" s="988">
        <v>1507284100</v>
      </c>
      <c r="C156" s="988">
        <v>1477195000</v>
      </c>
      <c r="D156" s="988">
        <v>2591953600</v>
      </c>
      <c r="E156" s="989">
        <f t="shared" si="9"/>
        <v>4099237700</v>
      </c>
      <c r="F156" s="989">
        <f t="shared" si="10"/>
        <v>4069148600</v>
      </c>
      <c r="G156" s="988">
        <v>34587763.100000001</v>
      </c>
      <c r="H156" s="979" t="s">
        <v>1107</v>
      </c>
      <c r="I156" s="1083"/>
      <c r="J156" s="1084"/>
      <c r="K156" s="987"/>
    </row>
    <row r="157" spans="1:11" ht="12" customHeight="1">
      <c r="A157" s="978" t="s">
        <v>148</v>
      </c>
      <c r="B157" s="988">
        <v>91943200</v>
      </c>
      <c r="C157" s="988">
        <v>91943200</v>
      </c>
      <c r="D157" s="988">
        <v>378517150</v>
      </c>
      <c r="E157" s="989">
        <f t="shared" si="9"/>
        <v>470460350</v>
      </c>
      <c r="F157" s="989">
        <f t="shared" si="10"/>
        <v>470460350</v>
      </c>
      <c r="G157" s="988">
        <v>4328235.22</v>
      </c>
      <c r="H157" s="979">
        <v>2020</v>
      </c>
      <c r="I157" s="1083"/>
      <c r="J157" s="1084"/>
      <c r="K157" s="987"/>
    </row>
    <row r="158" spans="1:11" ht="12" customHeight="1">
      <c r="A158" s="978" t="s">
        <v>514</v>
      </c>
      <c r="B158" s="988">
        <v>3380378700</v>
      </c>
      <c r="C158" s="988">
        <v>3365049000</v>
      </c>
      <c r="D158" s="988">
        <v>7808497900</v>
      </c>
      <c r="E158" s="989">
        <f t="shared" si="9"/>
        <v>11188876600</v>
      </c>
      <c r="F158" s="989">
        <f t="shared" si="10"/>
        <v>11173546900</v>
      </c>
      <c r="G158" s="988">
        <v>138551981.56</v>
      </c>
      <c r="H158" s="979" t="s">
        <v>1107</v>
      </c>
      <c r="I158" s="1083"/>
      <c r="J158" s="1084"/>
      <c r="K158" s="987"/>
    </row>
    <row r="159" spans="1:11" ht="9" customHeight="1">
      <c r="B159" s="988"/>
      <c r="C159" s="988"/>
      <c r="D159" s="988"/>
      <c r="E159" s="989" t="str">
        <f t="shared" si="9"/>
        <v/>
      </c>
      <c r="F159" s="989" t="str">
        <f t="shared" si="10"/>
        <v/>
      </c>
      <c r="G159" s="988"/>
      <c r="I159" s="1083"/>
      <c r="J159" s="1084"/>
      <c r="K159" s="987"/>
    </row>
    <row r="160" spans="1:11" ht="12" customHeight="1">
      <c r="A160" s="978" t="s">
        <v>994</v>
      </c>
      <c r="B160" s="988">
        <v>1384993100</v>
      </c>
      <c r="C160" s="988">
        <v>1329558500</v>
      </c>
      <c r="D160" s="988">
        <v>2987285353</v>
      </c>
      <c r="E160" s="989">
        <f t="shared" si="9"/>
        <v>4372278453</v>
      </c>
      <c r="F160" s="989">
        <f t="shared" si="10"/>
        <v>4316843853</v>
      </c>
      <c r="G160" s="988">
        <v>37124857.135800004</v>
      </c>
      <c r="H160" s="979" t="s">
        <v>1107</v>
      </c>
      <c r="I160" s="1083"/>
      <c r="J160" s="1084"/>
      <c r="K160" s="987"/>
    </row>
    <row r="161" spans="1:69" ht="12" customHeight="1">
      <c r="A161" s="978" t="s">
        <v>154</v>
      </c>
      <c r="B161" s="988">
        <v>341650400</v>
      </c>
      <c r="C161" s="988">
        <v>341650400</v>
      </c>
      <c r="D161" s="988">
        <v>1038670600</v>
      </c>
      <c r="E161" s="989">
        <f t="shared" si="9"/>
        <v>1380321000</v>
      </c>
      <c r="F161" s="989">
        <f t="shared" si="10"/>
        <v>1380321000</v>
      </c>
      <c r="G161" s="988">
        <v>15597627.299999999</v>
      </c>
      <c r="H161" s="979">
        <v>2020</v>
      </c>
      <c r="I161" s="1083"/>
      <c r="J161" s="1084"/>
      <c r="K161" s="987"/>
    </row>
    <row r="162" spans="1:69" ht="12" customHeight="1">
      <c r="A162" s="978" t="s">
        <v>995</v>
      </c>
      <c r="B162" s="988">
        <v>171720700</v>
      </c>
      <c r="C162" s="988">
        <v>171720700</v>
      </c>
      <c r="D162" s="988">
        <v>403559700</v>
      </c>
      <c r="E162" s="989">
        <f t="shared" si="9"/>
        <v>575280400</v>
      </c>
      <c r="F162" s="989">
        <f t="shared" si="10"/>
        <v>575280400</v>
      </c>
      <c r="G162" s="988">
        <v>6097972.2400000002</v>
      </c>
      <c r="H162" s="979" t="s">
        <v>1107</v>
      </c>
      <c r="I162" s="1083"/>
      <c r="J162" s="1084"/>
      <c r="K162" s="987"/>
    </row>
    <row r="163" spans="1:69" ht="12" customHeight="1">
      <c r="A163" s="980" t="s">
        <v>158</v>
      </c>
      <c r="B163" s="988">
        <v>1289705000</v>
      </c>
      <c r="C163" s="988">
        <v>1275799600</v>
      </c>
      <c r="D163" s="988">
        <v>4336870300</v>
      </c>
      <c r="E163" s="1098">
        <f t="shared" si="9"/>
        <v>5626575300</v>
      </c>
      <c r="F163" s="1098">
        <f t="shared" si="10"/>
        <v>5612669900</v>
      </c>
      <c r="G163" s="988">
        <v>62300635.890000008</v>
      </c>
      <c r="H163" s="979" t="s">
        <v>1107</v>
      </c>
      <c r="I163" s="1083"/>
      <c r="J163" s="1084"/>
      <c r="K163" s="987"/>
    </row>
    <row r="164" spans="1:69" ht="12" customHeight="1">
      <c r="A164" s="978" t="s">
        <v>996</v>
      </c>
      <c r="B164" s="988">
        <v>1761136900</v>
      </c>
      <c r="C164" s="988">
        <v>1761136900</v>
      </c>
      <c r="D164" s="988">
        <v>3302609100</v>
      </c>
      <c r="E164" s="989">
        <f t="shared" si="9"/>
        <v>5063746000</v>
      </c>
      <c r="F164" s="989">
        <f t="shared" si="10"/>
        <v>5063746000</v>
      </c>
      <c r="G164" s="988">
        <v>74943440.799999997</v>
      </c>
      <c r="H164" s="979" t="s">
        <v>1107</v>
      </c>
      <c r="I164" s="1083"/>
      <c r="J164" s="1084"/>
      <c r="K164" s="987"/>
    </row>
    <row r="165" spans="1:69" ht="15.75">
      <c r="A165" s="1239" t="s">
        <v>993</v>
      </c>
      <c r="J165" s="1084"/>
      <c r="K165" s="987"/>
    </row>
    <row r="166" spans="1:69" ht="12.75">
      <c r="A166" s="1275" t="str">
        <f>A125</f>
        <v>Real Estate Fair Market Value (FMV), Fair Market Value (Taxable), and Local Levy by Locality - Tax Year 2020</v>
      </c>
      <c r="B166" s="1275"/>
      <c r="C166" s="1275"/>
      <c r="D166" s="1275"/>
      <c r="E166" s="1275"/>
      <c r="F166" s="1275"/>
      <c r="G166" s="1275"/>
      <c r="H166" s="1275"/>
      <c r="J166" s="1084"/>
      <c r="K166" s="987"/>
    </row>
    <row r="167" spans="1:69" ht="9" customHeight="1" thickBot="1">
      <c r="A167" s="981"/>
      <c r="B167" s="981"/>
      <c r="C167" s="981"/>
      <c r="D167" s="981"/>
      <c r="E167" s="981"/>
      <c r="F167" s="981"/>
      <c r="G167" s="981"/>
      <c r="H167" s="981"/>
      <c r="J167" s="1084"/>
      <c r="K167" s="987"/>
    </row>
    <row r="168" spans="1:69">
      <c r="J168" s="1084"/>
      <c r="K168" s="987"/>
    </row>
    <row r="169" spans="1:69" s="998" customFormat="1" ht="24">
      <c r="A169" s="983" t="s">
        <v>25</v>
      </c>
      <c r="B169" s="1094" t="s">
        <v>1141</v>
      </c>
      <c r="C169" s="1094" t="s">
        <v>1142</v>
      </c>
      <c r="D169" s="1094" t="s">
        <v>1143</v>
      </c>
      <c r="E169" s="1094" t="s">
        <v>1144</v>
      </c>
      <c r="F169" s="1094" t="s">
        <v>989</v>
      </c>
      <c r="G169" s="1094" t="s">
        <v>990</v>
      </c>
      <c r="H169" s="1095" t="s">
        <v>991</v>
      </c>
      <c r="I169" s="1080"/>
      <c r="J169" s="1084"/>
      <c r="K169" s="987"/>
      <c r="L169" s="999"/>
      <c r="M169" s="999"/>
      <c r="N169" s="999"/>
      <c r="O169" s="999"/>
      <c r="P169" s="999"/>
      <c r="Q169" s="999"/>
      <c r="R169" s="999"/>
      <c r="S169" s="999"/>
      <c r="T169" s="999"/>
      <c r="U169" s="999"/>
      <c r="V169" s="999"/>
      <c r="W169" s="999"/>
      <c r="X169" s="999"/>
      <c r="Y169" s="999"/>
      <c r="Z169" s="999"/>
      <c r="AA169" s="999"/>
      <c r="AB169" s="999"/>
      <c r="AC169" s="999"/>
      <c r="AD169" s="999"/>
      <c r="AE169" s="999"/>
      <c r="AF169" s="999"/>
      <c r="AG169" s="999"/>
      <c r="AH169" s="999"/>
      <c r="AI169" s="999"/>
      <c r="AJ169" s="999"/>
      <c r="AK169" s="999"/>
      <c r="AL169" s="999"/>
      <c r="AM169" s="999"/>
      <c r="AN169" s="999"/>
      <c r="AO169" s="999"/>
      <c r="AP169" s="999"/>
      <c r="AQ169" s="999"/>
      <c r="AR169" s="999"/>
      <c r="AS169" s="999"/>
      <c r="AT169" s="999"/>
      <c r="AU169" s="999"/>
      <c r="AV169" s="999"/>
      <c r="AW169" s="999"/>
      <c r="AX169" s="999"/>
      <c r="AY169" s="999"/>
      <c r="AZ169" s="999"/>
      <c r="BA169" s="999"/>
      <c r="BB169" s="999"/>
      <c r="BC169" s="999"/>
      <c r="BD169" s="999"/>
      <c r="BE169" s="999"/>
      <c r="BF169" s="999"/>
      <c r="BG169" s="999"/>
      <c r="BH169" s="999"/>
      <c r="BI169" s="999"/>
      <c r="BJ169" s="999"/>
      <c r="BK169" s="999"/>
      <c r="BL169" s="999"/>
      <c r="BM169" s="999"/>
      <c r="BN169" s="999"/>
      <c r="BO169" s="999"/>
      <c r="BP169" s="999"/>
      <c r="BQ169" s="999"/>
    </row>
    <row r="170" spans="1:69" ht="8.25" customHeight="1">
      <c r="J170" s="1084"/>
      <c r="K170" s="987"/>
    </row>
    <row r="171" spans="1:69" ht="12" customHeight="1">
      <c r="A171" s="978" t="s">
        <v>1123</v>
      </c>
      <c r="B171" s="986">
        <v>489772400</v>
      </c>
      <c r="C171" s="986">
        <v>489772400</v>
      </c>
      <c r="D171" s="986">
        <v>1135913300</v>
      </c>
      <c r="E171" s="1096">
        <f t="shared" ref="E171:E191" si="11">IF(SUM(B171,D171)=0,"",SUM(B171,D171))</f>
        <v>1625685700</v>
      </c>
      <c r="F171" s="1096">
        <f t="shared" ref="F171:F191" si="12">IF(SUM(C171:D171)=0,"",SUM(C171:D171))</f>
        <v>1625685700</v>
      </c>
      <c r="G171" s="986">
        <v>25198128.350000001</v>
      </c>
      <c r="H171" s="979" t="s">
        <v>1032</v>
      </c>
      <c r="I171" s="1083"/>
      <c r="J171" s="1084"/>
      <c r="K171" s="987"/>
    </row>
    <row r="172" spans="1:69" ht="12" customHeight="1">
      <c r="A172" s="978" t="s">
        <v>164</v>
      </c>
      <c r="B172" s="988">
        <v>126506800</v>
      </c>
      <c r="C172" s="988">
        <v>126506800</v>
      </c>
      <c r="D172" s="988">
        <v>511989200</v>
      </c>
      <c r="E172" s="989">
        <f t="shared" si="11"/>
        <v>638496000</v>
      </c>
      <c r="F172" s="989">
        <f t="shared" si="12"/>
        <v>638496000</v>
      </c>
      <c r="G172" s="988">
        <v>6781466.0159999998</v>
      </c>
      <c r="H172" s="979" t="s">
        <v>1107</v>
      </c>
      <c r="I172" s="1083"/>
      <c r="J172" s="1084"/>
      <c r="K172" s="987"/>
    </row>
    <row r="173" spans="1:69" ht="12" customHeight="1">
      <c r="A173" s="978" t="s">
        <v>166</v>
      </c>
      <c r="B173" s="988">
        <v>4658073700</v>
      </c>
      <c r="C173" s="988">
        <v>4658073700</v>
      </c>
      <c r="D173" s="988">
        <v>11348126000</v>
      </c>
      <c r="E173" s="989">
        <f t="shared" si="11"/>
        <v>16006199700</v>
      </c>
      <c r="F173" s="989">
        <f t="shared" si="12"/>
        <v>16006199700</v>
      </c>
      <c r="G173" s="988">
        <v>195275636.34</v>
      </c>
      <c r="H173" s="979" t="s">
        <v>1107</v>
      </c>
      <c r="I173" s="1083"/>
      <c r="J173" s="1084"/>
      <c r="K173" s="987"/>
    </row>
    <row r="174" spans="1:69" ht="12" customHeight="1">
      <c r="A174" s="978" t="s">
        <v>168</v>
      </c>
      <c r="B174" s="988">
        <v>6193789400</v>
      </c>
      <c r="C174" s="988">
        <v>6193789400</v>
      </c>
      <c r="D174" s="988">
        <v>14882994300</v>
      </c>
      <c r="E174" s="989">
        <f t="shared" si="11"/>
        <v>21076783700</v>
      </c>
      <c r="F174" s="989">
        <f t="shared" si="12"/>
        <v>21076783700</v>
      </c>
      <c r="G174" s="988">
        <v>263459796.25</v>
      </c>
      <c r="H174" s="979" t="s">
        <v>1107</v>
      </c>
      <c r="I174" s="1083"/>
      <c r="J174" s="1084"/>
      <c r="K174" s="987"/>
    </row>
    <row r="175" spans="1:69" ht="12" customHeight="1">
      <c r="A175" s="978" t="s">
        <v>997</v>
      </c>
      <c r="B175" s="988">
        <v>56632700</v>
      </c>
      <c r="C175" s="988">
        <v>56632700</v>
      </c>
      <c r="D175" s="988">
        <v>168435400</v>
      </c>
      <c r="E175" s="989">
        <f t="shared" si="11"/>
        <v>225068100</v>
      </c>
      <c r="F175" s="989">
        <f t="shared" si="12"/>
        <v>225068100</v>
      </c>
      <c r="G175" s="988">
        <v>2025612.9000000001</v>
      </c>
      <c r="H175" s="979">
        <v>2020</v>
      </c>
      <c r="I175" s="1083"/>
      <c r="J175" s="1084"/>
      <c r="K175" s="987"/>
    </row>
    <row r="176" spans="1:69" ht="9" customHeight="1">
      <c r="B176" s="988"/>
      <c r="C176" s="988"/>
      <c r="D176" s="988"/>
      <c r="E176" s="989" t="str">
        <f t="shared" si="11"/>
        <v/>
      </c>
      <c r="F176" s="989" t="str">
        <f t="shared" si="12"/>
        <v/>
      </c>
      <c r="G176" s="988"/>
      <c r="I176" s="1083"/>
      <c r="J176" s="1084"/>
      <c r="K176" s="987"/>
    </row>
    <row r="177" spans="1:11" ht="12" customHeight="1">
      <c r="A177" s="1001" t="s">
        <v>1124</v>
      </c>
      <c r="B177" s="988">
        <v>417381397</v>
      </c>
      <c r="C177" s="988">
        <v>410790697</v>
      </c>
      <c r="D177" s="988">
        <v>1504699352</v>
      </c>
      <c r="E177" s="989">
        <f t="shared" si="11"/>
        <v>1922080749</v>
      </c>
      <c r="F177" s="989">
        <f t="shared" si="12"/>
        <v>1915490049</v>
      </c>
      <c r="G177" s="988">
        <v>25859115.661499999</v>
      </c>
      <c r="H177" s="979" t="s">
        <v>1032</v>
      </c>
      <c r="I177" s="1083"/>
      <c r="J177" s="1084"/>
      <c r="K177" s="987"/>
    </row>
    <row r="178" spans="1:11" ht="12" customHeight="1">
      <c r="A178" s="978" t="s">
        <v>1125</v>
      </c>
      <c r="B178" s="988">
        <v>665040100</v>
      </c>
      <c r="C178" s="988">
        <v>665040100</v>
      </c>
      <c r="D178" s="988">
        <v>937009225</v>
      </c>
      <c r="E178" s="989">
        <f t="shared" si="11"/>
        <v>1602049325</v>
      </c>
      <c r="F178" s="989">
        <f t="shared" si="12"/>
        <v>1602049325</v>
      </c>
      <c r="G178" s="988">
        <v>18263362.305</v>
      </c>
      <c r="H178" s="979" t="s">
        <v>1032</v>
      </c>
      <c r="I178" s="1083"/>
      <c r="J178" s="1084"/>
      <c r="K178" s="987"/>
    </row>
    <row r="179" spans="1:11" ht="12" customHeight="1">
      <c r="A179" s="978" t="s">
        <v>1126</v>
      </c>
      <c r="B179" s="988">
        <v>2117952670</v>
      </c>
      <c r="C179" s="988">
        <v>2117952670</v>
      </c>
      <c r="D179" s="988">
        <v>5376818732</v>
      </c>
      <c r="E179" s="989">
        <f t="shared" si="11"/>
        <v>7494771402</v>
      </c>
      <c r="F179" s="989">
        <f t="shared" si="12"/>
        <v>7494771402</v>
      </c>
      <c r="G179" s="988">
        <v>97432028.225999996</v>
      </c>
      <c r="H179" s="979" t="s">
        <v>1032</v>
      </c>
      <c r="I179" s="1083"/>
      <c r="J179" s="1084"/>
      <c r="K179" s="987"/>
    </row>
    <row r="180" spans="1:11" ht="12" customHeight="1">
      <c r="A180" s="978" t="s">
        <v>178</v>
      </c>
      <c r="B180" s="988">
        <v>184616400</v>
      </c>
      <c r="C180" s="988">
        <v>182320650</v>
      </c>
      <c r="D180" s="988">
        <v>706339700</v>
      </c>
      <c r="E180" s="989">
        <f t="shared" si="11"/>
        <v>890956100</v>
      </c>
      <c r="F180" s="989">
        <f t="shared" si="12"/>
        <v>888660350</v>
      </c>
      <c r="G180" s="988">
        <v>6931550.7300000004</v>
      </c>
      <c r="H180" s="979">
        <v>2020</v>
      </c>
      <c r="I180" s="1083"/>
      <c r="J180" s="1084"/>
      <c r="K180" s="987"/>
    </row>
    <row r="181" spans="1:11" ht="12" customHeight="1">
      <c r="A181" s="978" t="s">
        <v>441</v>
      </c>
      <c r="B181" s="988">
        <v>6930013000</v>
      </c>
      <c r="C181" s="988">
        <v>6930013000</v>
      </c>
      <c r="D181" s="988">
        <v>20132631000</v>
      </c>
      <c r="E181" s="989">
        <f t="shared" si="11"/>
        <v>27062644000</v>
      </c>
      <c r="F181" s="989">
        <f t="shared" si="12"/>
        <v>27062644000</v>
      </c>
      <c r="G181" s="988">
        <v>324751728</v>
      </c>
      <c r="H181" s="979">
        <v>2020</v>
      </c>
      <c r="I181" s="1083"/>
      <c r="J181" s="1084"/>
      <c r="K181" s="987"/>
    </row>
    <row r="182" spans="1:11" ht="9" customHeight="1">
      <c r="B182" s="988"/>
      <c r="C182" s="988"/>
      <c r="D182" s="988"/>
      <c r="E182" s="989" t="str">
        <f t="shared" si="11"/>
        <v/>
      </c>
      <c r="F182" s="989" t="str">
        <f t="shared" si="12"/>
        <v/>
      </c>
      <c r="G182" s="988"/>
      <c r="I182" s="1083"/>
      <c r="J182" s="1084"/>
      <c r="K182" s="987"/>
    </row>
    <row r="183" spans="1:11" ht="12" customHeight="1">
      <c r="A183" s="978" t="s">
        <v>27</v>
      </c>
      <c r="B183" s="988">
        <v>1633867600</v>
      </c>
      <c r="C183" s="988">
        <v>1633867600</v>
      </c>
      <c r="D183" s="988">
        <v>6328248000</v>
      </c>
      <c r="E183" s="989">
        <f t="shared" si="11"/>
        <v>7962115600</v>
      </c>
      <c r="F183" s="989">
        <f t="shared" si="12"/>
        <v>7962115600</v>
      </c>
      <c r="G183" s="988">
        <v>97137810.319999993</v>
      </c>
      <c r="H183" s="979" t="s">
        <v>1107</v>
      </c>
      <c r="I183" s="1083"/>
      <c r="J183" s="1084"/>
      <c r="K183" s="987"/>
    </row>
    <row r="184" spans="1:11" ht="12" customHeight="1">
      <c r="A184" s="978" t="s">
        <v>179</v>
      </c>
      <c r="B184" s="988">
        <v>533194900</v>
      </c>
      <c r="C184" s="988">
        <v>533194900</v>
      </c>
      <c r="D184" s="988">
        <v>1744471200</v>
      </c>
      <c r="E184" s="989">
        <f t="shared" si="11"/>
        <v>2277666100</v>
      </c>
      <c r="F184" s="989">
        <f t="shared" si="12"/>
        <v>2277666100</v>
      </c>
      <c r="G184" s="988">
        <v>27331993.199999999</v>
      </c>
      <c r="H184" s="979" t="s">
        <v>1107</v>
      </c>
      <c r="I184" s="1083"/>
      <c r="J184" s="1084"/>
      <c r="K184" s="987"/>
    </row>
    <row r="185" spans="1:11" ht="12" customHeight="1">
      <c r="A185" s="978" t="s">
        <v>180</v>
      </c>
      <c r="B185" s="988">
        <v>449532107</v>
      </c>
      <c r="C185" s="988">
        <v>430756611</v>
      </c>
      <c r="D185" s="988">
        <v>1619601697</v>
      </c>
      <c r="E185" s="989">
        <f t="shared" si="11"/>
        <v>2069133804</v>
      </c>
      <c r="F185" s="989">
        <f t="shared" si="12"/>
        <v>2050358308</v>
      </c>
      <c r="G185" s="988">
        <v>19478403.925999999</v>
      </c>
      <c r="H185" s="979">
        <v>2020</v>
      </c>
      <c r="I185" s="1083"/>
      <c r="J185" s="1084"/>
      <c r="K185" s="987"/>
    </row>
    <row r="186" spans="1:11" ht="12" customHeight="1">
      <c r="A186" s="978" t="s">
        <v>181</v>
      </c>
      <c r="B186" s="988">
        <v>3533055200</v>
      </c>
      <c r="C186" s="988">
        <v>3074878700</v>
      </c>
      <c r="D186" s="988">
        <v>6980072200</v>
      </c>
      <c r="E186" s="989">
        <f t="shared" si="11"/>
        <v>10513127400</v>
      </c>
      <c r="F186" s="989">
        <f t="shared" si="12"/>
        <v>10054950900</v>
      </c>
      <c r="G186" s="988">
        <v>111609954.99000001</v>
      </c>
      <c r="H186" s="979" t="s">
        <v>1107</v>
      </c>
      <c r="I186" s="1083"/>
      <c r="J186" s="1084"/>
      <c r="K186" s="987"/>
    </row>
    <row r="187" spans="1:11" ht="12" customHeight="1">
      <c r="A187" s="978" t="s">
        <v>673</v>
      </c>
      <c r="B187" s="988">
        <v>24684935400</v>
      </c>
      <c r="C187" s="988">
        <v>24413593800</v>
      </c>
      <c r="D187" s="988">
        <v>34873616300</v>
      </c>
      <c r="E187" s="989">
        <f t="shared" si="11"/>
        <v>59558551700</v>
      </c>
      <c r="F187" s="989">
        <f t="shared" si="12"/>
        <v>59287210100</v>
      </c>
      <c r="G187" s="988">
        <v>603247362.76750004</v>
      </c>
      <c r="H187" s="979" t="s">
        <v>1107</v>
      </c>
      <c r="I187" s="1083"/>
      <c r="J187" s="1084"/>
      <c r="K187" s="987"/>
    </row>
    <row r="188" spans="1:11" ht="9" customHeight="1">
      <c r="B188" s="988"/>
      <c r="C188" s="988"/>
      <c r="D188" s="988"/>
      <c r="E188" s="989" t="str">
        <f t="shared" si="11"/>
        <v/>
      </c>
      <c r="F188" s="989" t="str">
        <f t="shared" si="12"/>
        <v/>
      </c>
      <c r="G188" s="988"/>
      <c r="I188" s="1083"/>
      <c r="J188" s="1084"/>
      <c r="K188" s="987"/>
    </row>
    <row r="189" spans="1:11" ht="12" customHeight="1">
      <c r="A189" s="978" t="s">
        <v>183</v>
      </c>
      <c r="B189" s="988">
        <v>610049900</v>
      </c>
      <c r="C189" s="988">
        <v>597827900</v>
      </c>
      <c r="D189" s="988">
        <v>1318374900</v>
      </c>
      <c r="E189" s="989">
        <f t="shared" si="11"/>
        <v>1928424800</v>
      </c>
      <c r="F189" s="989">
        <f t="shared" si="12"/>
        <v>1916202800</v>
      </c>
      <c r="G189" s="988">
        <v>17245825.199999999</v>
      </c>
      <c r="H189" s="979">
        <v>2020</v>
      </c>
      <c r="I189" s="1083"/>
      <c r="J189" s="1084"/>
      <c r="K189" s="987"/>
    </row>
    <row r="190" spans="1:11" ht="12" customHeight="1">
      <c r="A190" s="978" t="s">
        <v>998</v>
      </c>
      <c r="B190" s="988">
        <v>678557200</v>
      </c>
      <c r="C190" s="988">
        <v>678557200</v>
      </c>
      <c r="D190" s="988">
        <v>1318127100</v>
      </c>
      <c r="E190" s="989">
        <f t="shared" si="11"/>
        <v>1996684300</v>
      </c>
      <c r="F190" s="989">
        <f t="shared" si="12"/>
        <v>1996684300</v>
      </c>
      <c r="G190" s="988">
        <v>11980105.799999999</v>
      </c>
      <c r="H190" s="979" t="s">
        <v>1107</v>
      </c>
      <c r="I190" s="1083"/>
      <c r="J190" s="1084"/>
      <c r="K190" s="987"/>
    </row>
    <row r="191" spans="1:11" ht="12" customHeight="1">
      <c r="A191" s="978" t="s">
        <v>187</v>
      </c>
      <c r="B191" s="988">
        <v>1046913590</v>
      </c>
      <c r="C191" s="988">
        <v>1045213762</v>
      </c>
      <c r="D191" s="988">
        <v>2163155825</v>
      </c>
      <c r="E191" s="989">
        <f t="shared" si="11"/>
        <v>3210069415</v>
      </c>
      <c r="F191" s="989">
        <f t="shared" si="12"/>
        <v>3208369587</v>
      </c>
      <c r="G191" s="988">
        <v>29837837.159100004</v>
      </c>
      <c r="H191" s="979">
        <v>2020</v>
      </c>
      <c r="I191" s="1083"/>
      <c r="J191" s="1084"/>
      <c r="K191" s="987"/>
    </row>
    <row r="192" spans="1:11">
      <c r="I192" s="1083"/>
    </row>
    <row r="193" spans="1:69" s="994" customFormat="1" ht="12.75" customHeight="1">
      <c r="A193" s="1234" t="s">
        <v>29</v>
      </c>
      <c r="B193" s="1235">
        <f t="shared" ref="B193:G193" si="13">SUM(B142:B164,B171:B191)</f>
        <v>100938350461</v>
      </c>
      <c r="C193" s="1235">
        <f t="shared" si="13"/>
        <v>99860580492</v>
      </c>
      <c r="D193" s="1235">
        <f t="shared" si="13"/>
        <v>195683838456</v>
      </c>
      <c r="E193" s="1235">
        <f t="shared" si="13"/>
        <v>296622188917</v>
      </c>
      <c r="F193" s="1235">
        <f t="shared" si="13"/>
        <v>295544418948</v>
      </c>
      <c r="G193" s="1235">
        <f t="shared" si="13"/>
        <v>3300272381.2567</v>
      </c>
      <c r="H193" s="993"/>
      <c r="I193" s="1085"/>
      <c r="J193" s="1086"/>
      <c r="K193" s="995"/>
      <c r="L193" s="995"/>
      <c r="M193" s="995"/>
      <c r="N193" s="995"/>
      <c r="O193" s="995"/>
      <c r="P193" s="995"/>
      <c r="Q193" s="995"/>
      <c r="R193" s="995"/>
      <c r="S193" s="995"/>
      <c r="T193" s="995"/>
      <c r="U193" s="995"/>
      <c r="V193" s="995"/>
      <c r="W193" s="995"/>
      <c r="X193" s="995"/>
      <c r="Y193" s="995"/>
      <c r="Z193" s="995"/>
      <c r="AA193" s="995"/>
      <c r="AB193" s="995"/>
      <c r="AC193" s="995"/>
      <c r="AD193" s="995"/>
      <c r="AE193" s="995"/>
      <c r="AF193" s="995"/>
      <c r="AG193" s="995"/>
      <c r="AH193" s="995"/>
      <c r="AI193" s="995"/>
      <c r="AJ193" s="995"/>
      <c r="AK193" s="995"/>
      <c r="AL193" s="995"/>
      <c r="AM193" s="995"/>
      <c r="AN193" s="995"/>
      <c r="AO193" s="995"/>
      <c r="AP193" s="995"/>
      <c r="AQ193" s="995"/>
      <c r="AR193" s="995"/>
      <c r="AS193" s="995"/>
      <c r="AT193" s="995"/>
      <c r="AU193" s="995"/>
      <c r="AV193" s="995"/>
      <c r="AW193" s="995"/>
      <c r="AX193" s="995"/>
      <c r="AY193" s="995"/>
      <c r="AZ193" s="995"/>
      <c r="BA193" s="995"/>
      <c r="BB193" s="995"/>
      <c r="BC193" s="995"/>
      <c r="BD193" s="995"/>
      <c r="BE193" s="995"/>
      <c r="BF193" s="995"/>
      <c r="BG193" s="995"/>
      <c r="BH193" s="995"/>
      <c r="BI193" s="995"/>
      <c r="BJ193" s="995"/>
      <c r="BK193" s="995"/>
      <c r="BL193" s="995"/>
      <c r="BM193" s="995"/>
      <c r="BN193" s="995"/>
      <c r="BO193" s="995"/>
      <c r="BP193" s="995"/>
      <c r="BQ193" s="995"/>
    </row>
    <row r="194" spans="1:69" s="994" customFormat="1" ht="12.75" customHeight="1">
      <c r="A194" s="1234" t="s">
        <v>24</v>
      </c>
      <c r="B194" s="1235">
        <f t="shared" ref="B194:G194" si="14">B136</f>
        <v>332788666328</v>
      </c>
      <c r="C194" s="1235">
        <f t="shared" si="14"/>
        <v>307453759380.83997</v>
      </c>
      <c r="D194" s="1235">
        <f t="shared" si="14"/>
        <v>615080915196</v>
      </c>
      <c r="E194" s="1235">
        <f t="shared" si="14"/>
        <v>947869581524</v>
      </c>
      <c r="F194" s="1235">
        <f t="shared" si="14"/>
        <v>922534674576.84009</v>
      </c>
      <c r="G194" s="1235">
        <f t="shared" si="14"/>
        <v>8796677877.2039413</v>
      </c>
      <c r="H194" s="993"/>
      <c r="I194" s="1085"/>
      <c r="J194" s="1086"/>
      <c r="K194" s="995"/>
      <c r="L194" s="995"/>
      <c r="M194" s="995"/>
      <c r="N194" s="995"/>
      <c r="O194" s="995"/>
      <c r="P194" s="995"/>
      <c r="Q194" s="995"/>
      <c r="R194" s="995"/>
      <c r="S194" s="995"/>
      <c r="T194" s="995"/>
      <c r="U194" s="995"/>
      <c r="V194" s="995"/>
      <c r="W194" s="995"/>
      <c r="X194" s="995"/>
      <c r="Y194" s="995"/>
      <c r="Z194" s="995"/>
      <c r="AA194" s="995"/>
      <c r="AB194" s="995"/>
      <c r="AC194" s="995"/>
      <c r="AD194" s="995"/>
      <c r="AE194" s="995"/>
      <c r="AF194" s="995"/>
      <c r="AG194" s="995"/>
      <c r="AH194" s="995"/>
      <c r="AI194" s="995"/>
      <c r="AJ194" s="995"/>
      <c r="AK194" s="995"/>
      <c r="AL194" s="995"/>
      <c r="AM194" s="995"/>
      <c r="AN194" s="995"/>
      <c r="AO194" s="995"/>
      <c r="AP194" s="995"/>
      <c r="AQ194" s="995"/>
      <c r="AR194" s="995"/>
      <c r="AS194" s="995"/>
      <c r="AT194" s="995"/>
      <c r="AU194" s="995"/>
      <c r="AV194" s="995"/>
      <c r="AW194" s="995"/>
      <c r="AX194" s="995"/>
      <c r="AY194" s="995"/>
      <c r="AZ194" s="995"/>
      <c r="BA194" s="995"/>
      <c r="BB194" s="995"/>
      <c r="BC194" s="995"/>
      <c r="BD194" s="995"/>
      <c r="BE194" s="995"/>
      <c r="BF194" s="995"/>
      <c r="BG194" s="995"/>
      <c r="BH194" s="995"/>
      <c r="BI194" s="995"/>
      <c r="BJ194" s="995"/>
      <c r="BK194" s="995"/>
      <c r="BL194" s="995"/>
      <c r="BM194" s="995"/>
      <c r="BN194" s="995"/>
      <c r="BO194" s="995"/>
      <c r="BP194" s="995"/>
      <c r="BQ194" s="995"/>
    </row>
    <row r="195" spans="1:69">
      <c r="A195" s="1236"/>
      <c r="B195" s="1235"/>
      <c r="C195" s="1235"/>
      <c r="D195" s="1235"/>
      <c r="E195" s="1235"/>
      <c r="F195" s="1235"/>
      <c r="G195" s="1235"/>
      <c r="H195" s="1004"/>
    </row>
    <row r="196" spans="1:69" s="994" customFormat="1" ht="12.75" customHeight="1">
      <c r="A196" s="1234" t="s">
        <v>30</v>
      </c>
      <c r="B196" s="1235">
        <f t="shared" ref="B196:G196" si="15">B193+B194</f>
        <v>433727016789</v>
      </c>
      <c r="C196" s="1235">
        <f t="shared" si="15"/>
        <v>407314339872.83997</v>
      </c>
      <c r="D196" s="1235">
        <f>D193+D194</f>
        <v>810764753652</v>
      </c>
      <c r="E196" s="1235">
        <f t="shared" si="15"/>
        <v>1244491770441</v>
      </c>
      <c r="F196" s="1235">
        <f t="shared" si="15"/>
        <v>1218079093524.8401</v>
      </c>
      <c r="G196" s="1235">
        <f t="shared" si="15"/>
        <v>12096950258.460642</v>
      </c>
      <c r="H196" s="993"/>
      <c r="I196" s="1085"/>
      <c r="J196" s="1086"/>
      <c r="K196" s="995"/>
      <c r="L196" s="995"/>
      <c r="M196" s="995"/>
      <c r="N196" s="995"/>
      <c r="O196" s="995"/>
      <c r="P196" s="995"/>
      <c r="Q196" s="995"/>
      <c r="R196" s="995"/>
      <c r="S196" s="995"/>
      <c r="T196" s="995"/>
      <c r="U196" s="995"/>
      <c r="V196" s="995"/>
      <c r="W196" s="995"/>
      <c r="X196" s="995"/>
      <c r="Y196" s="995"/>
      <c r="Z196" s="995"/>
      <c r="AA196" s="995"/>
      <c r="AB196" s="995"/>
      <c r="AC196" s="995"/>
      <c r="AD196" s="995"/>
      <c r="AE196" s="995"/>
      <c r="AF196" s="995"/>
      <c r="AG196" s="995"/>
      <c r="AH196" s="995"/>
      <c r="AI196" s="995"/>
      <c r="AJ196" s="995"/>
      <c r="AK196" s="995"/>
      <c r="AL196" s="995"/>
      <c r="AM196" s="995"/>
      <c r="AN196" s="995"/>
      <c r="AO196" s="995"/>
      <c r="AP196" s="995"/>
      <c r="AQ196" s="995"/>
      <c r="AR196" s="995"/>
      <c r="AS196" s="995"/>
      <c r="AT196" s="995"/>
      <c r="AU196" s="995"/>
      <c r="AV196" s="995"/>
      <c r="AW196" s="995"/>
      <c r="AX196" s="995"/>
      <c r="AY196" s="995"/>
      <c r="AZ196" s="995"/>
      <c r="BA196" s="995"/>
      <c r="BB196" s="995"/>
      <c r="BC196" s="995"/>
      <c r="BD196" s="995"/>
      <c r="BE196" s="995"/>
      <c r="BF196" s="995"/>
      <c r="BG196" s="995"/>
      <c r="BH196" s="995"/>
      <c r="BI196" s="995"/>
      <c r="BJ196" s="995"/>
      <c r="BK196" s="995"/>
      <c r="BL196" s="995"/>
      <c r="BM196" s="995"/>
      <c r="BN196" s="995"/>
      <c r="BO196" s="995"/>
      <c r="BP196" s="995"/>
      <c r="BQ196" s="995"/>
    </row>
    <row r="197" spans="1:69">
      <c r="A197" s="1001"/>
      <c r="B197" s="1361"/>
      <c r="C197" s="1361"/>
      <c r="D197" s="1361"/>
      <c r="E197" s="1361"/>
      <c r="F197" s="1361"/>
      <c r="G197" s="1361"/>
    </row>
    <row r="198" spans="1:69" s="1225" customFormat="1" ht="12.75">
      <c r="A198" s="1225" t="s">
        <v>1</v>
      </c>
      <c r="B198" s="1362"/>
      <c r="C198" s="1362"/>
      <c r="D198" s="1362"/>
      <c r="E198" s="1362"/>
      <c r="F198" s="1362"/>
      <c r="G198" s="1362"/>
      <c r="H198" s="1231"/>
      <c r="I198" s="1226"/>
      <c r="J198" s="1227"/>
      <c r="K198" s="1228"/>
      <c r="L198" s="1228"/>
      <c r="M198" s="1228"/>
      <c r="N198" s="1228"/>
      <c r="O198" s="1228"/>
      <c r="P198" s="1228"/>
      <c r="Q198" s="1228"/>
      <c r="R198" s="1228"/>
      <c r="S198" s="1228"/>
      <c r="T198" s="1228"/>
      <c r="U198" s="1228"/>
      <c r="V198" s="1228"/>
      <c r="W198" s="1228"/>
      <c r="X198" s="1228"/>
      <c r="Y198" s="1228"/>
      <c r="Z198" s="1228"/>
      <c r="AA198" s="1228"/>
      <c r="AB198" s="1228"/>
      <c r="AC198" s="1228"/>
      <c r="AD198" s="1228"/>
      <c r="AE198" s="1228"/>
      <c r="AF198" s="1228"/>
      <c r="AG198" s="1228"/>
      <c r="AH198" s="1228"/>
      <c r="AI198" s="1228"/>
      <c r="AJ198" s="1228"/>
      <c r="AK198" s="1228"/>
      <c r="AL198" s="1228"/>
      <c r="AM198" s="1228"/>
      <c r="AN198" s="1228"/>
      <c r="AO198" s="1228"/>
      <c r="AP198" s="1228"/>
      <c r="AQ198" s="1228"/>
      <c r="AR198" s="1228"/>
      <c r="AS198" s="1228"/>
      <c r="AT198" s="1228"/>
      <c r="AU198" s="1228"/>
      <c r="AV198" s="1228"/>
      <c r="AW198" s="1228"/>
      <c r="AX198" s="1228"/>
      <c r="AY198" s="1228"/>
      <c r="AZ198" s="1228"/>
      <c r="BA198" s="1228"/>
      <c r="BB198" s="1228"/>
      <c r="BC198" s="1228"/>
      <c r="BD198" s="1228"/>
      <c r="BE198" s="1228"/>
      <c r="BF198" s="1228"/>
      <c r="BG198" s="1228"/>
      <c r="BH198" s="1228"/>
      <c r="BI198" s="1228"/>
      <c r="BJ198" s="1228"/>
      <c r="BK198" s="1228"/>
      <c r="BL198" s="1228"/>
      <c r="BM198" s="1228"/>
      <c r="BN198" s="1228"/>
      <c r="BO198" s="1228"/>
      <c r="BP198" s="1228"/>
      <c r="BQ198" s="1228"/>
    </row>
    <row r="199" spans="1:69" s="1225" customFormat="1" ht="12.75">
      <c r="A199" s="1229" t="s">
        <v>1181</v>
      </c>
      <c r="B199" s="1307"/>
      <c r="C199" s="1307"/>
      <c r="D199" s="1307"/>
      <c r="E199" s="1307"/>
      <c r="F199" s="1307"/>
      <c r="G199" s="1307"/>
      <c r="H199" s="1307"/>
      <c r="I199" s="1226"/>
      <c r="J199" s="1227"/>
      <c r="K199" s="1228"/>
      <c r="L199" s="1228"/>
      <c r="M199" s="1228"/>
      <c r="N199" s="1228"/>
      <c r="O199" s="1228"/>
      <c r="P199" s="1228"/>
      <c r="Q199" s="1228"/>
      <c r="R199" s="1228"/>
      <c r="S199" s="1228"/>
      <c r="T199" s="1228"/>
      <c r="U199" s="1228"/>
      <c r="V199" s="1228"/>
      <c r="W199" s="1228"/>
      <c r="X199" s="1228"/>
      <c r="Y199" s="1228"/>
      <c r="Z199" s="1228"/>
      <c r="AA199" s="1228"/>
      <c r="AB199" s="1228"/>
      <c r="AC199" s="1228"/>
      <c r="AD199" s="1228"/>
      <c r="AE199" s="1228"/>
      <c r="AF199" s="1228"/>
      <c r="AG199" s="1228"/>
      <c r="AH199" s="1228"/>
      <c r="AI199" s="1228"/>
      <c r="AJ199" s="1228"/>
      <c r="AK199" s="1228"/>
      <c r="AL199" s="1228"/>
      <c r="AM199" s="1228"/>
      <c r="AN199" s="1228"/>
      <c r="AO199" s="1228"/>
      <c r="AP199" s="1228"/>
      <c r="AQ199" s="1228"/>
      <c r="AR199" s="1228"/>
      <c r="AS199" s="1228"/>
      <c r="AT199" s="1228"/>
      <c r="AU199" s="1228"/>
      <c r="AV199" s="1228"/>
      <c r="AW199" s="1228"/>
      <c r="AX199" s="1228"/>
      <c r="AY199" s="1228"/>
      <c r="AZ199" s="1228"/>
      <c r="BA199" s="1228"/>
      <c r="BB199" s="1228"/>
      <c r="BC199" s="1228"/>
      <c r="BD199" s="1228"/>
      <c r="BE199" s="1228"/>
      <c r="BF199" s="1228"/>
      <c r="BG199" s="1228"/>
      <c r="BH199" s="1228"/>
      <c r="BI199" s="1228"/>
      <c r="BJ199" s="1228"/>
      <c r="BK199" s="1228"/>
      <c r="BL199" s="1228"/>
      <c r="BM199" s="1228"/>
      <c r="BN199" s="1228"/>
      <c r="BO199" s="1228"/>
      <c r="BP199" s="1228"/>
      <c r="BQ199" s="1228"/>
    </row>
    <row r="200" spans="1:69" s="1225" customFormat="1" ht="12.75">
      <c r="A200" s="1229" t="s">
        <v>999</v>
      </c>
      <c r="B200" s="1307"/>
      <c r="C200" s="1307"/>
      <c r="D200" s="1307"/>
      <c r="E200" s="1307"/>
      <c r="F200" s="1307"/>
      <c r="G200" s="1307"/>
      <c r="H200" s="1307"/>
      <c r="I200" s="1226"/>
      <c r="J200" s="1227"/>
      <c r="K200" s="1228"/>
      <c r="L200" s="1228"/>
      <c r="M200" s="1228"/>
      <c r="N200" s="1228"/>
      <c r="O200" s="1228"/>
      <c r="P200" s="1228"/>
      <c r="Q200" s="1228"/>
      <c r="R200" s="1228"/>
      <c r="S200" s="1228"/>
      <c r="T200" s="1228"/>
      <c r="U200" s="1228"/>
      <c r="V200" s="1228"/>
      <c r="W200" s="1228"/>
      <c r="X200" s="1228"/>
      <c r="Y200" s="1228"/>
      <c r="Z200" s="1228"/>
      <c r="AA200" s="1228"/>
      <c r="AB200" s="1228"/>
      <c r="AC200" s="1228"/>
      <c r="AD200" s="1228"/>
      <c r="AE200" s="1228"/>
      <c r="AF200" s="1228"/>
      <c r="AG200" s="1228"/>
      <c r="AH200" s="1228"/>
      <c r="AI200" s="1228"/>
      <c r="AJ200" s="1228"/>
      <c r="AK200" s="1228"/>
      <c r="AL200" s="1228"/>
      <c r="AM200" s="1228"/>
      <c r="AN200" s="1228"/>
      <c r="AO200" s="1228"/>
      <c r="AP200" s="1228"/>
      <c r="AQ200" s="1228"/>
      <c r="AR200" s="1228"/>
      <c r="AS200" s="1228"/>
      <c r="AT200" s="1228"/>
      <c r="AU200" s="1228"/>
      <c r="AV200" s="1228"/>
      <c r="AW200" s="1228"/>
      <c r="AX200" s="1228"/>
      <c r="AY200" s="1228"/>
      <c r="AZ200" s="1228"/>
      <c r="BA200" s="1228"/>
      <c r="BB200" s="1228"/>
      <c r="BC200" s="1228"/>
      <c r="BD200" s="1228"/>
      <c r="BE200" s="1228"/>
      <c r="BF200" s="1228"/>
      <c r="BG200" s="1228"/>
      <c r="BH200" s="1228"/>
      <c r="BI200" s="1228"/>
      <c r="BJ200" s="1228"/>
      <c r="BK200" s="1228"/>
      <c r="BL200" s="1228"/>
      <c r="BM200" s="1228"/>
      <c r="BN200" s="1228"/>
      <c r="BO200" s="1228"/>
      <c r="BP200" s="1228"/>
      <c r="BQ200" s="1228"/>
    </row>
    <row r="201" spans="1:69" s="1225" customFormat="1" ht="12.75">
      <c r="A201" s="1229" t="s">
        <v>1127</v>
      </c>
      <c r="B201" s="1307"/>
      <c r="C201" s="1307"/>
      <c r="D201" s="1307"/>
      <c r="E201" s="1307"/>
      <c r="F201" s="1307"/>
      <c r="G201" s="1307"/>
      <c r="H201" s="1307"/>
      <c r="I201" s="1226"/>
      <c r="J201" s="1227"/>
      <c r="K201" s="1228"/>
      <c r="L201" s="1228"/>
      <c r="M201" s="1228"/>
      <c r="N201" s="1228"/>
      <c r="O201" s="1228"/>
      <c r="P201" s="1228"/>
      <c r="Q201" s="1228"/>
      <c r="R201" s="1228"/>
      <c r="S201" s="1228"/>
      <c r="T201" s="1228"/>
      <c r="U201" s="1228"/>
      <c r="V201" s="1228"/>
      <c r="W201" s="1228"/>
      <c r="X201" s="1228"/>
      <c r="Y201" s="1228"/>
      <c r="Z201" s="1228"/>
      <c r="AA201" s="1228"/>
      <c r="AB201" s="1228"/>
      <c r="AC201" s="1228"/>
      <c r="AD201" s="1228"/>
      <c r="AE201" s="1228"/>
      <c r="AF201" s="1228"/>
      <c r="AG201" s="1228"/>
      <c r="AH201" s="1228"/>
      <c r="AI201" s="1228"/>
      <c r="AJ201" s="1228"/>
      <c r="AK201" s="1228"/>
      <c r="AL201" s="1228"/>
      <c r="AM201" s="1228"/>
      <c r="AN201" s="1228"/>
      <c r="AO201" s="1228"/>
      <c r="AP201" s="1228"/>
      <c r="AQ201" s="1228"/>
      <c r="AR201" s="1228"/>
      <c r="AS201" s="1228"/>
      <c r="AT201" s="1228"/>
      <c r="AU201" s="1228"/>
      <c r="AV201" s="1228"/>
      <c r="AW201" s="1228"/>
      <c r="AX201" s="1228"/>
      <c r="AY201" s="1228"/>
      <c r="AZ201" s="1228"/>
      <c r="BA201" s="1228"/>
      <c r="BB201" s="1228"/>
      <c r="BC201" s="1228"/>
      <c r="BD201" s="1228"/>
      <c r="BE201" s="1228"/>
      <c r="BF201" s="1228"/>
      <c r="BG201" s="1228"/>
      <c r="BH201" s="1228"/>
      <c r="BI201" s="1228"/>
      <c r="BJ201" s="1228"/>
      <c r="BK201" s="1228"/>
      <c r="BL201" s="1228"/>
      <c r="BM201" s="1228"/>
      <c r="BN201" s="1228"/>
      <c r="BO201" s="1228"/>
      <c r="BP201" s="1228"/>
      <c r="BQ201" s="1228"/>
    </row>
    <row r="202" spans="1:69" s="1225" customFormat="1" ht="12.75">
      <c r="A202" s="1229" t="s">
        <v>1000</v>
      </c>
      <c r="B202" s="1307"/>
      <c r="C202" s="1307"/>
      <c r="D202" s="1307"/>
      <c r="E202" s="1307"/>
      <c r="F202" s="1307"/>
      <c r="G202" s="1307"/>
      <c r="H202" s="1307"/>
      <c r="I202" s="1226"/>
      <c r="J202" s="1227"/>
      <c r="K202" s="1228"/>
      <c r="L202" s="1228"/>
      <c r="M202" s="1228"/>
      <c r="N202" s="1228"/>
      <c r="O202" s="1228"/>
      <c r="P202" s="1228"/>
      <c r="Q202" s="1228"/>
      <c r="R202" s="1228"/>
      <c r="S202" s="1228"/>
      <c r="T202" s="1228"/>
      <c r="U202" s="1228"/>
      <c r="V202" s="1228"/>
      <c r="W202" s="1228"/>
      <c r="X202" s="1228"/>
      <c r="Y202" s="1228"/>
      <c r="Z202" s="1228"/>
      <c r="AA202" s="1228"/>
      <c r="AB202" s="1228"/>
      <c r="AC202" s="1228"/>
      <c r="AD202" s="1228"/>
      <c r="AE202" s="1228"/>
      <c r="AF202" s="1228"/>
      <c r="AG202" s="1228"/>
      <c r="AH202" s="1228"/>
      <c r="AI202" s="1228"/>
      <c r="AJ202" s="1228"/>
      <c r="AK202" s="1228"/>
      <c r="AL202" s="1228"/>
      <c r="AM202" s="1228"/>
      <c r="AN202" s="1228"/>
      <c r="AO202" s="1228"/>
      <c r="AP202" s="1228"/>
      <c r="AQ202" s="1228"/>
      <c r="AR202" s="1228"/>
      <c r="AS202" s="1228"/>
      <c r="AT202" s="1228"/>
      <c r="AU202" s="1228"/>
      <c r="AV202" s="1228"/>
      <c r="AW202" s="1228"/>
      <c r="AX202" s="1228"/>
      <c r="AY202" s="1228"/>
      <c r="AZ202" s="1228"/>
      <c r="BA202" s="1228"/>
      <c r="BB202" s="1228"/>
      <c r="BC202" s="1228"/>
      <c r="BD202" s="1228"/>
      <c r="BE202" s="1228"/>
      <c r="BF202" s="1228"/>
      <c r="BG202" s="1228"/>
      <c r="BH202" s="1228"/>
      <c r="BI202" s="1228"/>
      <c r="BJ202" s="1228"/>
      <c r="BK202" s="1228"/>
      <c r="BL202" s="1228"/>
      <c r="BM202" s="1228"/>
      <c r="BN202" s="1228"/>
      <c r="BO202" s="1228"/>
      <c r="BP202" s="1228"/>
      <c r="BQ202" s="1228"/>
    </row>
    <row r="203" spans="1:69" s="1225" customFormat="1" ht="12.75">
      <c r="A203" s="1230" t="s">
        <v>1184</v>
      </c>
      <c r="B203" s="1221"/>
      <c r="C203" s="1221"/>
      <c r="D203" s="1221"/>
      <c r="E203" s="1221"/>
      <c r="F203" s="1221"/>
      <c r="G203" s="1221"/>
      <c r="H203" s="1231"/>
      <c r="I203" s="1226"/>
      <c r="J203" s="1227"/>
      <c r="K203" s="1228"/>
      <c r="L203" s="1228"/>
      <c r="M203" s="1228"/>
      <c r="N203" s="1228"/>
      <c r="O203" s="1228"/>
      <c r="P203" s="1228"/>
      <c r="Q203" s="1228"/>
      <c r="R203" s="1228"/>
      <c r="S203" s="1228"/>
      <c r="T203" s="1228"/>
      <c r="U203" s="1228"/>
      <c r="V203" s="1228"/>
      <c r="W203" s="1228"/>
      <c r="X203" s="1228"/>
      <c r="Y203" s="1228"/>
      <c r="Z203" s="1228"/>
      <c r="AA203" s="1228"/>
      <c r="AB203" s="1228"/>
      <c r="AC203" s="1228"/>
      <c r="AD203" s="1228"/>
      <c r="AE203" s="1228"/>
      <c r="AF203" s="1228"/>
      <c r="AG203" s="1228"/>
      <c r="AH203" s="1228"/>
      <c r="AI203" s="1228"/>
      <c r="AJ203" s="1228"/>
      <c r="AK203" s="1228"/>
      <c r="AL203" s="1228"/>
      <c r="AM203" s="1228"/>
      <c r="AN203" s="1228"/>
      <c r="AO203" s="1228"/>
      <c r="AP203" s="1228"/>
      <c r="AQ203" s="1228"/>
      <c r="AR203" s="1228"/>
      <c r="AS203" s="1228"/>
      <c r="AT203" s="1228"/>
      <c r="AU203" s="1228"/>
      <c r="AV203" s="1228"/>
      <c r="AW203" s="1228"/>
      <c r="AX203" s="1228"/>
      <c r="AY203" s="1228"/>
      <c r="AZ203" s="1228"/>
      <c r="BA203" s="1228"/>
      <c r="BB203" s="1228"/>
      <c r="BC203" s="1228"/>
      <c r="BD203" s="1228"/>
      <c r="BE203" s="1228"/>
      <c r="BF203" s="1228"/>
      <c r="BG203" s="1228"/>
      <c r="BH203" s="1228"/>
      <c r="BI203" s="1228"/>
      <c r="BJ203" s="1228"/>
      <c r="BK203" s="1228"/>
      <c r="BL203" s="1228"/>
      <c r="BM203" s="1228"/>
      <c r="BN203" s="1228"/>
      <c r="BO203" s="1228"/>
      <c r="BP203" s="1228"/>
      <c r="BQ203" s="1228"/>
    </row>
    <row r="204" spans="1:69" s="1225" customFormat="1" ht="12.75">
      <c r="A204" s="1232" t="s">
        <v>1128</v>
      </c>
      <c r="B204" s="1221"/>
      <c r="C204" s="1221"/>
      <c r="D204" s="1221"/>
      <c r="E204" s="1221"/>
      <c r="F204" s="1221"/>
      <c r="G204" s="1221"/>
      <c r="H204" s="1231"/>
      <c r="I204" s="1226"/>
      <c r="J204" s="1227"/>
      <c r="K204" s="1228"/>
      <c r="L204" s="1228"/>
      <c r="M204" s="1228"/>
      <c r="N204" s="1228"/>
      <c r="O204" s="1228"/>
      <c r="P204" s="1228"/>
      <c r="Q204" s="1228"/>
      <c r="R204" s="1228"/>
      <c r="S204" s="1228"/>
      <c r="T204" s="1228"/>
      <c r="U204" s="1228"/>
      <c r="V204" s="1228"/>
      <c r="W204" s="1228"/>
      <c r="X204" s="1228"/>
      <c r="Y204" s="1228"/>
      <c r="Z204" s="1228"/>
      <c r="AA204" s="1228"/>
      <c r="AB204" s="1228"/>
      <c r="AC204" s="1228"/>
      <c r="AD204" s="1228"/>
      <c r="AE204" s="1228"/>
      <c r="AF204" s="1228"/>
      <c r="AG204" s="1228"/>
      <c r="AH204" s="1228"/>
      <c r="AI204" s="1228"/>
      <c r="AJ204" s="1228"/>
      <c r="AK204" s="1228"/>
      <c r="AL204" s="1228"/>
      <c r="AM204" s="1228"/>
      <c r="AN204" s="1228"/>
      <c r="AO204" s="1228"/>
      <c r="AP204" s="1228"/>
      <c r="AQ204" s="1228"/>
      <c r="AR204" s="1228"/>
      <c r="AS204" s="1228"/>
      <c r="AT204" s="1228"/>
      <c r="AU204" s="1228"/>
      <c r="AV204" s="1228"/>
      <c r="AW204" s="1228"/>
      <c r="AX204" s="1228"/>
      <c r="AY204" s="1228"/>
      <c r="AZ204" s="1228"/>
      <c r="BA204" s="1228"/>
      <c r="BB204" s="1228"/>
      <c r="BC204" s="1228"/>
      <c r="BD204" s="1228"/>
      <c r="BE204" s="1228"/>
      <c r="BF204" s="1228"/>
      <c r="BG204" s="1228"/>
      <c r="BH204" s="1228"/>
      <c r="BI204" s="1228"/>
      <c r="BJ204" s="1228"/>
      <c r="BK204" s="1228"/>
      <c r="BL204" s="1228"/>
      <c r="BM204" s="1228"/>
      <c r="BN204" s="1228"/>
      <c r="BO204" s="1228"/>
      <c r="BP204" s="1228"/>
      <c r="BQ204" s="1228"/>
    </row>
    <row r="205" spans="1:69" s="1225" customFormat="1" ht="12.75">
      <c r="A205" s="1232" t="s">
        <v>1186</v>
      </c>
      <c r="B205" s="1233"/>
      <c r="C205" s="1233"/>
      <c r="D205" s="1233"/>
      <c r="E205" s="1233"/>
      <c r="F205" s="1233"/>
      <c r="G205" s="1233"/>
      <c r="H205" s="1231"/>
      <c r="I205" s="1226"/>
      <c r="J205" s="1227"/>
      <c r="K205" s="1228"/>
      <c r="L205" s="1228"/>
      <c r="M205" s="1228"/>
      <c r="N205" s="1228"/>
      <c r="O205" s="1228"/>
      <c r="P205" s="1228"/>
      <c r="Q205" s="1228"/>
      <c r="R205" s="1228"/>
      <c r="S205" s="1228"/>
      <c r="T205" s="1228"/>
      <c r="U205" s="1228"/>
      <c r="V205" s="1228"/>
      <c r="W205" s="1228"/>
      <c r="X205" s="1228"/>
      <c r="Y205" s="1228"/>
      <c r="Z205" s="1228"/>
      <c r="AA205" s="1228"/>
      <c r="AB205" s="1228"/>
      <c r="AC205" s="1228"/>
      <c r="AD205" s="1228"/>
      <c r="AE205" s="1228"/>
      <c r="AF205" s="1228"/>
      <c r="AG205" s="1228"/>
      <c r="AH205" s="1228"/>
      <c r="AI205" s="1228"/>
      <c r="AJ205" s="1228"/>
      <c r="AK205" s="1228"/>
      <c r="AL205" s="1228"/>
      <c r="AM205" s="1228"/>
      <c r="AN205" s="1228"/>
      <c r="AO205" s="1228"/>
      <c r="AP205" s="1228"/>
      <c r="AQ205" s="1228"/>
      <c r="AR205" s="1228"/>
      <c r="AS205" s="1228"/>
      <c r="AT205" s="1228"/>
      <c r="AU205" s="1228"/>
      <c r="AV205" s="1228"/>
      <c r="AW205" s="1228"/>
      <c r="AX205" s="1228"/>
      <c r="AY205" s="1228"/>
      <c r="AZ205" s="1228"/>
      <c r="BA205" s="1228"/>
      <c r="BB205" s="1228"/>
      <c r="BC205" s="1228"/>
      <c r="BD205" s="1228"/>
      <c r="BE205" s="1228"/>
      <c r="BF205" s="1228"/>
      <c r="BG205" s="1228"/>
      <c r="BH205" s="1228"/>
      <c r="BI205" s="1228"/>
      <c r="BJ205" s="1228"/>
      <c r="BK205" s="1228"/>
      <c r="BL205" s="1228"/>
      <c r="BM205" s="1228"/>
      <c r="BN205" s="1228"/>
      <c r="BO205" s="1228"/>
      <c r="BP205" s="1228"/>
      <c r="BQ205" s="1228"/>
    </row>
    <row r="206" spans="1:69" ht="12.75">
      <c r="A206" s="1120" t="s">
        <v>1152</v>
      </c>
      <c r="B206" s="1006"/>
      <c r="C206" s="1006"/>
      <c r="D206" s="1006"/>
      <c r="E206" s="1006"/>
      <c r="F206" s="1006"/>
      <c r="G206" s="1006"/>
    </row>
    <row r="207" spans="1:69">
      <c r="A207" s="1006"/>
      <c r="B207" s="1006"/>
      <c r="C207" s="1006"/>
      <c r="D207" s="1006"/>
      <c r="E207" s="1006"/>
      <c r="F207" s="1006"/>
      <c r="G207" s="1006"/>
      <c r="I207" s="978"/>
      <c r="J207" s="980"/>
    </row>
    <row r="208" spans="1:69">
      <c r="B208" s="986"/>
      <c r="C208" s="986"/>
      <c r="D208" s="986"/>
      <c r="E208" s="986"/>
      <c r="F208" s="986"/>
      <c r="G208" s="986"/>
      <c r="I208" s="978"/>
      <c r="J208" s="980"/>
    </row>
    <row r="209" spans="2:10">
      <c r="B209" s="1007"/>
      <c r="C209" s="1007"/>
      <c r="D209" s="1007"/>
      <c r="E209" s="1007"/>
      <c r="F209" s="1007"/>
      <c r="G209" s="1007"/>
      <c r="I209" s="978"/>
      <c r="J209" s="980"/>
    </row>
    <row r="210" spans="2:10">
      <c r="B210" s="1007"/>
      <c r="C210" s="1007"/>
      <c r="D210" s="1007"/>
      <c r="E210" s="1007"/>
      <c r="F210" s="1007"/>
      <c r="G210" s="1007"/>
      <c r="I210" s="978"/>
      <c r="J210" s="980"/>
    </row>
    <row r="211" spans="2:10">
      <c r="B211" s="986"/>
      <c r="C211" s="986"/>
      <c r="D211" s="986"/>
      <c r="E211" s="986"/>
      <c r="F211" s="986"/>
      <c r="G211" s="986"/>
      <c r="I211" s="978"/>
      <c r="J211" s="980"/>
    </row>
    <row r="212" spans="2:10">
      <c r="B212" s="1219"/>
      <c r="C212" s="1219"/>
      <c r="D212" s="1219"/>
      <c r="E212" s="1219"/>
      <c r="F212" s="1219"/>
      <c r="G212" s="1219"/>
      <c r="I212" s="978"/>
      <c r="J212" s="980"/>
    </row>
    <row r="213" spans="2:10">
      <c r="B213" s="1219"/>
      <c r="C213" s="1219"/>
      <c r="D213" s="1219"/>
      <c r="E213" s="1219"/>
      <c r="F213" s="1219"/>
      <c r="G213" s="1219"/>
      <c r="I213" s="978"/>
      <c r="J213" s="980"/>
    </row>
    <row r="214" spans="2:10">
      <c r="B214" s="1219"/>
      <c r="C214" s="1219"/>
      <c r="D214" s="1219"/>
      <c r="E214" s="1219"/>
      <c r="F214" s="1219"/>
      <c r="G214" s="1219"/>
      <c r="I214" s="978"/>
      <c r="J214" s="980"/>
    </row>
    <row r="215" spans="2:10">
      <c r="B215" s="1219"/>
      <c r="C215" s="1219"/>
      <c r="D215" s="1219"/>
      <c r="E215" s="1219"/>
      <c r="F215" s="1219"/>
      <c r="G215" s="1219"/>
    </row>
  </sheetData>
  <hyperlinks>
    <hyperlink ref="I1" location="TOC!A1" display="Back"/>
  </hyperlinks>
  <pageMargins left="0.6" right="0.25" top="0.5" bottom="0.25" header="0.25" footer="0"/>
  <pageSetup fitToHeight="5" orientation="landscape" r:id="rId1"/>
  <headerFooter scaleWithDoc="0">
    <oddHeader>&amp;R&amp;P</oddHeader>
  </headerFooter>
  <rowBreaks count="4" manualBreakCount="4">
    <brk id="41" max="7" man="1"/>
    <brk id="82" max="7" man="1"/>
    <brk id="123" max="7" man="1"/>
    <brk id="164" max="7" man="1"/>
  </rowBreak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0"/>
  <sheetViews>
    <sheetView zoomScaleNormal="100" workbookViewId="0"/>
  </sheetViews>
  <sheetFormatPr defaultColWidth="8.7109375" defaultRowHeight="12"/>
  <cols>
    <col min="1" max="1" width="14.7109375" style="978" customWidth="1"/>
    <col min="2" max="2" width="17.7109375" style="978" customWidth="1"/>
    <col min="3" max="4" width="16.7109375" style="978" customWidth="1"/>
    <col min="5" max="5" width="17.7109375" style="978" customWidth="1"/>
    <col min="6" max="6" width="18.7109375" style="978" customWidth="1"/>
    <col min="7" max="7" width="12.7109375" style="978" customWidth="1"/>
    <col min="8" max="8" width="14.7109375" style="978" customWidth="1"/>
    <col min="9" max="9" width="5.28515625" style="1081" bestFit="1" customWidth="1"/>
    <col min="10" max="16384" width="8.7109375" style="978"/>
  </cols>
  <sheetData>
    <row r="1" spans="1:9" s="998" customFormat="1" ht="15.75">
      <c r="A1" s="1239" t="s">
        <v>1001</v>
      </c>
      <c r="I1" s="1276" t="s">
        <v>1194</v>
      </c>
    </row>
    <row r="2" spans="1:9" s="1008" customFormat="1" ht="12.75">
      <c r="A2" s="1275" t="s">
        <v>1146</v>
      </c>
      <c r="B2" s="1275"/>
      <c r="C2" s="1275"/>
      <c r="D2" s="1275"/>
      <c r="E2" s="1275"/>
      <c r="F2" s="1275"/>
      <c r="G2" s="1275"/>
      <c r="H2" s="1275"/>
      <c r="I2" s="1100"/>
    </row>
    <row r="3" spans="1:9" s="998" customFormat="1" ht="9" customHeight="1" thickBot="1">
      <c r="A3" s="982"/>
      <c r="B3" s="981"/>
      <c r="C3" s="981"/>
      <c r="D3" s="981"/>
      <c r="E3" s="981"/>
      <c r="F3" s="981"/>
      <c r="G3" s="981"/>
      <c r="H3" s="981"/>
      <c r="I3" s="1099"/>
    </row>
    <row r="4" spans="1:9" ht="14.25" customHeight="1">
      <c r="A4" s="1105"/>
      <c r="B4" s="1106"/>
      <c r="C4" s="1106"/>
      <c r="D4" s="1106"/>
      <c r="E4" s="1106"/>
      <c r="F4" s="1106" t="s">
        <v>988</v>
      </c>
      <c r="G4" s="1106" t="s">
        <v>1145</v>
      </c>
      <c r="H4" s="1106" t="s">
        <v>1002</v>
      </c>
    </row>
    <row r="5" spans="1:9" ht="12.75" customHeight="1">
      <c r="A5" s="1107"/>
      <c r="B5" s="1108" t="s">
        <v>1003</v>
      </c>
      <c r="C5" s="1442" t="s">
        <v>1004</v>
      </c>
      <c r="D5" s="1442"/>
      <c r="E5" s="1442"/>
      <c r="F5" s="1108" t="s">
        <v>1005</v>
      </c>
      <c r="G5" s="1108" t="s">
        <v>374</v>
      </c>
      <c r="H5" s="1108" t="s">
        <v>1006</v>
      </c>
    </row>
    <row r="6" spans="1:9" ht="12.75">
      <c r="A6" s="1109" t="s">
        <v>23</v>
      </c>
      <c r="B6" s="1104" t="s">
        <v>1007</v>
      </c>
      <c r="C6" s="1104" t="s">
        <v>1008</v>
      </c>
      <c r="D6" s="1104" t="s">
        <v>1009</v>
      </c>
      <c r="E6" s="1104" t="s">
        <v>1010</v>
      </c>
      <c r="F6" s="1104" t="s">
        <v>1011</v>
      </c>
      <c r="G6" s="1104" t="s">
        <v>988</v>
      </c>
      <c r="H6" s="1104" t="s">
        <v>386</v>
      </c>
    </row>
    <row r="7" spans="1:9" ht="6.75" customHeight="1">
      <c r="A7" s="985"/>
      <c r="B7" s="985"/>
      <c r="C7" s="985"/>
      <c r="D7" s="985"/>
      <c r="E7" s="985"/>
      <c r="F7" s="985"/>
      <c r="G7" s="985"/>
      <c r="H7" s="985"/>
    </row>
    <row r="8" spans="1:9" ht="11.25" customHeight="1">
      <c r="A8" s="978" t="s">
        <v>64</v>
      </c>
      <c r="B8" s="1363">
        <f>IF('6.2'!E7=0,"",'6.2'!E7)</f>
        <v>3853360000</v>
      </c>
      <c r="C8" s="986">
        <v>501405500</v>
      </c>
      <c r="D8" s="986">
        <v>221107900</v>
      </c>
      <c r="E8" s="1363">
        <f>IF(SUM(C8:D8)=0,"",SUM(C8:D8))</f>
        <v>722513400</v>
      </c>
      <c r="F8" s="1363">
        <f>IFERROR(B8+E8,"")</f>
        <v>4575873400</v>
      </c>
      <c r="G8" s="1009">
        <f>IFERROR(E8/F8,"")</f>
        <v>0.15789628270747175</v>
      </c>
      <c r="H8" s="986">
        <v>4407331.74</v>
      </c>
      <c r="I8" s="1101"/>
    </row>
    <row r="9" spans="1:9" ht="11.25" customHeight="1">
      <c r="A9" s="978" t="s">
        <v>66</v>
      </c>
      <c r="B9" s="990">
        <f>IF('6.2'!E8=0,"",'6.2'!E8)</f>
        <v>21593020919</v>
      </c>
      <c r="C9" s="988">
        <v>3025364491</v>
      </c>
      <c r="D9" s="988">
        <v>1180388768</v>
      </c>
      <c r="E9" s="990">
        <f>IF(SUM(C9:D9)=0,"",SUM(C9:D9))</f>
        <v>4205753259</v>
      </c>
      <c r="F9" s="990">
        <f>IFERROR(B9+E9,"")</f>
        <v>25798774178</v>
      </c>
      <c r="G9" s="1009">
        <f t="shared" ref="G9:G42" si="0">IFERROR(E9/F9,"")</f>
        <v>0.16302143776220468</v>
      </c>
      <c r="H9" s="988">
        <v>35917132.831859998</v>
      </c>
      <c r="I9" s="1101"/>
    </row>
    <row r="10" spans="1:9" ht="11.25" customHeight="1">
      <c r="A10" s="978" t="s">
        <v>68</v>
      </c>
      <c r="B10" s="990">
        <f>IF('6.2'!E9=0,"",'6.2'!E9)</f>
        <v>1127053500</v>
      </c>
      <c r="C10" s="988">
        <v>186635000</v>
      </c>
      <c r="D10" s="988">
        <v>102979800</v>
      </c>
      <c r="E10" s="990">
        <f t="shared" ref="E10:E42" si="1">IF(SUM(C10:D10)=0,"",SUM(C10:D10))</f>
        <v>289614800</v>
      </c>
      <c r="F10" s="990">
        <f t="shared" ref="F10:F42" si="2">IFERROR(B10+E10,"")</f>
        <v>1416668300</v>
      </c>
      <c r="G10" s="1009">
        <f t="shared" si="0"/>
        <v>0.20443374077051063</v>
      </c>
      <c r="H10" s="988">
        <v>2114188.04</v>
      </c>
      <c r="I10" s="1101"/>
    </row>
    <row r="11" spans="1:9" ht="11.25" customHeight="1">
      <c r="A11" s="978" t="s">
        <v>70</v>
      </c>
      <c r="B11" s="990">
        <f>IF('6.2'!E10=0,"",'6.2'!E10)</f>
        <v>1306347938</v>
      </c>
      <c r="C11" s="988">
        <v>27317100</v>
      </c>
      <c r="D11" s="988">
        <v>54193100</v>
      </c>
      <c r="E11" s="990">
        <f t="shared" si="1"/>
        <v>81510200</v>
      </c>
      <c r="F11" s="990">
        <f t="shared" si="2"/>
        <v>1387858138</v>
      </c>
      <c r="G11" s="1009">
        <f t="shared" si="0"/>
        <v>5.8730930610431019E-2</v>
      </c>
      <c r="H11" s="988">
        <v>415702.02</v>
      </c>
      <c r="I11" s="1101"/>
    </row>
    <row r="12" spans="1:9" ht="11.25" customHeight="1">
      <c r="A12" s="978" t="s">
        <v>72</v>
      </c>
      <c r="B12" s="990">
        <f>IF('6.2'!E11=0,"",'6.2'!E11)</f>
        <v>2749640200</v>
      </c>
      <c r="C12" s="988">
        <v>245048800</v>
      </c>
      <c r="D12" s="988">
        <v>348705500</v>
      </c>
      <c r="E12" s="990">
        <f t="shared" si="1"/>
        <v>593754300</v>
      </c>
      <c r="F12" s="990">
        <f t="shared" si="2"/>
        <v>3343394500</v>
      </c>
      <c r="G12" s="1009">
        <f t="shared" si="0"/>
        <v>0.17759026043740875</v>
      </c>
      <c r="H12" s="988">
        <v>3621903.9000000004</v>
      </c>
      <c r="I12" s="1101"/>
    </row>
    <row r="13" spans="1:9" ht="9" customHeight="1">
      <c r="B13" s="990" t="str">
        <f>IF('6.2'!E12=0,"",'6.2'!E12)</f>
        <v/>
      </c>
      <c r="C13" s="988"/>
      <c r="D13" s="988"/>
      <c r="E13" s="990" t="str">
        <f t="shared" si="1"/>
        <v/>
      </c>
      <c r="F13" s="990" t="str">
        <f t="shared" si="2"/>
        <v/>
      </c>
      <c r="G13" s="1009" t="str">
        <f t="shared" si="0"/>
        <v/>
      </c>
      <c r="H13" s="988"/>
      <c r="I13" s="1101"/>
    </row>
    <row r="14" spans="1:9" ht="11.25" customHeight="1">
      <c r="A14" s="978" t="s">
        <v>74</v>
      </c>
      <c r="B14" s="990">
        <f>IF('6.2'!E13=0,"",'6.2'!E13)</f>
        <v>1448467919</v>
      </c>
      <c r="C14" s="988">
        <v>141225200</v>
      </c>
      <c r="D14" s="988">
        <v>39167300</v>
      </c>
      <c r="E14" s="990">
        <f t="shared" si="1"/>
        <v>180392500</v>
      </c>
      <c r="F14" s="990">
        <f t="shared" si="2"/>
        <v>1628860419</v>
      </c>
      <c r="G14" s="1009">
        <f t="shared" si="0"/>
        <v>0.11074767235779949</v>
      </c>
      <c r="H14" s="988">
        <v>1136472.75</v>
      </c>
      <c r="I14" s="1101"/>
    </row>
    <row r="15" spans="1:9" ht="11.25" customHeight="1">
      <c r="A15" s="978" t="s">
        <v>422</v>
      </c>
      <c r="B15" s="990">
        <f>IF('6.2'!E14=0,"",'6.2'!E14)</f>
        <v>81137153900</v>
      </c>
      <c r="C15" s="988">
        <v>7563050300</v>
      </c>
      <c r="D15" s="988">
        <v>1137319000</v>
      </c>
      <c r="E15" s="990">
        <f t="shared" si="1"/>
        <v>8700369300</v>
      </c>
      <c r="F15" s="990">
        <f t="shared" si="2"/>
        <v>89837523200</v>
      </c>
      <c r="G15" s="1009">
        <f t="shared" si="0"/>
        <v>9.6845605155775269E-2</v>
      </c>
      <c r="H15" s="988">
        <v>881347.41009000002</v>
      </c>
      <c r="I15" s="1101"/>
    </row>
    <row r="16" spans="1:9" ht="11.25" customHeight="1">
      <c r="A16" s="978" t="s">
        <v>78</v>
      </c>
      <c r="B16" s="990">
        <f>IF('6.2'!E15=0,"",'6.2'!E15)</f>
        <v>8827237400</v>
      </c>
      <c r="C16" s="988">
        <v>594613400</v>
      </c>
      <c r="D16" s="988">
        <v>791285600</v>
      </c>
      <c r="E16" s="990">
        <f t="shared" si="1"/>
        <v>1385899000</v>
      </c>
      <c r="F16" s="990">
        <f t="shared" si="2"/>
        <v>10213136400</v>
      </c>
      <c r="G16" s="1009">
        <f t="shared" si="0"/>
        <v>0.135697688322267</v>
      </c>
      <c r="H16" s="988">
        <v>8731163.6999999993</v>
      </c>
      <c r="I16" s="1101"/>
    </row>
    <row r="17" spans="1:9" ht="11.25" customHeight="1">
      <c r="A17" s="978" t="s">
        <v>80</v>
      </c>
      <c r="B17" s="990">
        <f>IF('6.2'!E16=0,"",'6.2'!E16)</f>
        <v>883391700</v>
      </c>
      <c r="C17" s="988">
        <v>249073800</v>
      </c>
      <c r="D17" s="988">
        <v>52096200</v>
      </c>
      <c r="E17" s="990">
        <f t="shared" si="1"/>
        <v>301170000</v>
      </c>
      <c r="F17" s="990">
        <f t="shared" si="2"/>
        <v>1184561700</v>
      </c>
      <c r="G17" s="1009">
        <f t="shared" si="0"/>
        <v>0.25424593754803992</v>
      </c>
      <c r="H17" s="988">
        <v>1505850</v>
      </c>
      <c r="I17" s="1101"/>
    </row>
    <row r="18" spans="1:9" ht="11.25" customHeight="1">
      <c r="A18" s="978" t="s">
        <v>992</v>
      </c>
      <c r="B18" s="990">
        <f>IF('6.2'!E17=0,"",'6.2'!E17)</f>
        <v>10349321997</v>
      </c>
      <c r="C18" s="988">
        <v>352097900</v>
      </c>
      <c r="D18" s="988">
        <v>470872400</v>
      </c>
      <c r="E18" s="990">
        <f t="shared" si="1"/>
        <v>822970300</v>
      </c>
      <c r="F18" s="990">
        <f t="shared" si="2"/>
        <v>11172292297</v>
      </c>
      <c r="G18" s="1009">
        <f t="shared" si="0"/>
        <v>7.3661722959126763E-2</v>
      </c>
      <c r="H18" s="988">
        <v>4114851.5</v>
      </c>
      <c r="I18" s="1101"/>
    </row>
    <row r="19" spans="1:9" ht="9" customHeight="1">
      <c r="B19" s="990" t="str">
        <f>IF('6.2'!E18=0,"",'6.2'!E18)</f>
        <v/>
      </c>
      <c r="C19" s="990"/>
      <c r="D19" s="990"/>
      <c r="E19" s="990" t="str">
        <f t="shared" si="1"/>
        <v/>
      </c>
      <c r="F19" s="990" t="str">
        <f t="shared" si="2"/>
        <v/>
      </c>
      <c r="G19" s="1009" t="str">
        <f t="shared" si="0"/>
        <v/>
      </c>
      <c r="H19" s="990"/>
      <c r="I19" s="1101"/>
    </row>
    <row r="20" spans="1:9" ht="11.25" customHeight="1">
      <c r="A20" s="978" t="s">
        <v>83</v>
      </c>
      <c r="B20" s="990">
        <f>IF('6.2'!E19=0,"",'6.2'!E19)</f>
        <v>617682400</v>
      </c>
      <c r="C20" s="988">
        <v>132217200</v>
      </c>
      <c r="D20" s="988">
        <v>29562700</v>
      </c>
      <c r="E20" s="990">
        <f t="shared" si="1"/>
        <v>161779900</v>
      </c>
      <c r="F20" s="990">
        <f t="shared" si="2"/>
        <v>779462300</v>
      </c>
      <c r="G20" s="1009">
        <f t="shared" si="0"/>
        <v>0.20755320687094167</v>
      </c>
      <c r="H20" s="988">
        <v>970679.39999999991</v>
      </c>
      <c r="I20" s="1101"/>
    </row>
    <row r="21" spans="1:9" ht="11.25" customHeight="1">
      <c r="A21" s="978" t="s">
        <v>85</v>
      </c>
      <c r="B21" s="990">
        <f>IF('6.2'!E20=0,"",'6.2'!E20)</f>
        <v>4117725300</v>
      </c>
      <c r="C21" s="988">
        <v>210601500</v>
      </c>
      <c r="D21" s="988">
        <v>214701000</v>
      </c>
      <c r="E21" s="990">
        <f t="shared" si="1"/>
        <v>425302500</v>
      </c>
      <c r="F21" s="990">
        <f t="shared" si="2"/>
        <v>4543027800</v>
      </c>
      <c r="G21" s="1009">
        <f t="shared" si="0"/>
        <v>9.3616530367698833E-2</v>
      </c>
      <c r="H21" s="988">
        <v>3359888</v>
      </c>
      <c r="I21" s="1101"/>
    </row>
    <row r="22" spans="1:9" ht="11.25" customHeight="1">
      <c r="A22" s="978" t="s">
        <v>87</v>
      </c>
      <c r="B22" s="990">
        <f>IF('6.2'!E21=0,"",'6.2'!E21)</f>
        <v>1312254960</v>
      </c>
      <c r="C22" s="988">
        <v>191125200</v>
      </c>
      <c r="D22" s="988">
        <v>45307500</v>
      </c>
      <c r="E22" s="990">
        <f t="shared" si="1"/>
        <v>236432700</v>
      </c>
      <c r="F22" s="990">
        <f t="shared" si="2"/>
        <v>1548687660</v>
      </c>
      <c r="G22" s="1009">
        <f t="shared" si="0"/>
        <v>0.1526664840862747</v>
      </c>
      <c r="H22" s="988">
        <v>1253093.31</v>
      </c>
      <c r="I22" s="1101"/>
    </row>
    <row r="23" spans="1:9" ht="11.25" customHeight="1">
      <c r="A23" s="978" t="s">
        <v>89</v>
      </c>
      <c r="B23" s="990">
        <f>IF('6.2'!E22=0,"",'6.2'!E22)</f>
        <v>2201430196</v>
      </c>
      <c r="C23" s="988">
        <v>425100724</v>
      </c>
      <c r="D23" s="988">
        <v>120312483</v>
      </c>
      <c r="E23" s="990">
        <f t="shared" si="1"/>
        <v>545413207</v>
      </c>
      <c r="F23" s="990">
        <f t="shared" si="2"/>
        <v>2746843403</v>
      </c>
      <c r="G23" s="1009">
        <f t="shared" si="0"/>
        <v>0.19855999304668043</v>
      </c>
      <c r="H23" s="988">
        <v>2127111.5073000002</v>
      </c>
      <c r="I23" s="1101"/>
    </row>
    <row r="24" spans="1:9" ht="11.25" customHeight="1">
      <c r="A24" s="978" t="s">
        <v>91</v>
      </c>
      <c r="B24" s="990">
        <f>IF('6.2'!E23=0,"",'6.2'!E23)</f>
        <v>1583155399</v>
      </c>
      <c r="C24" s="988">
        <v>235374300</v>
      </c>
      <c r="D24" s="988">
        <v>134956100</v>
      </c>
      <c r="E24" s="990">
        <f t="shared" si="1"/>
        <v>370330400</v>
      </c>
      <c r="F24" s="990">
        <f t="shared" si="2"/>
        <v>1953485799</v>
      </c>
      <c r="G24" s="1009">
        <f t="shared" si="0"/>
        <v>0.18957414494109665</v>
      </c>
      <c r="H24" s="988">
        <v>1925718.08</v>
      </c>
      <c r="I24" s="1101"/>
    </row>
    <row r="25" spans="1:9" ht="9" customHeight="1">
      <c r="B25" s="990" t="str">
        <f>IF('6.2'!E24=0,"",'6.2'!E24)</f>
        <v/>
      </c>
      <c r="C25" s="988"/>
      <c r="D25" s="988"/>
      <c r="E25" s="990" t="str">
        <f t="shared" si="1"/>
        <v/>
      </c>
      <c r="F25" s="990" t="str">
        <f t="shared" si="2"/>
        <v/>
      </c>
      <c r="G25" s="1009" t="str">
        <f t="shared" si="0"/>
        <v/>
      </c>
      <c r="H25" s="988"/>
      <c r="I25" s="1101"/>
    </row>
    <row r="26" spans="1:9" ht="11.25" customHeight="1">
      <c r="A26" s="978" t="s">
        <v>93</v>
      </c>
      <c r="B26" s="990">
        <f>IF('6.2'!E25=0,"",'6.2'!E25)</f>
        <v>4443326629</v>
      </c>
      <c r="C26" s="988">
        <v>128427300</v>
      </c>
      <c r="D26" s="988">
        <v>313053300</v>
      </c>
      <c r="E26" s="990">
        <f t="shared" si="1"/>
        <v>441480600</v>
      </c>
      <c r="F26" s="990">
        <f t="shared" si="2"/>
        <v>4884807229</v>
      </c>
      <c r="G26" s="1009">
        <f t="shared" si="0"/>
        <v>9.0378305489524566E-2</v>
      </c>
      <c r="H26" s="988">
        <v>2295699.12</v>
      </c>
      <c r="I26" s="1101"/>
    </row>
    <row r="27" spans="1:9" ht="11.25" customHeight="1">
      <c r="A27" s="978" t="s">
        <v>95</v>
      </c>
      <c r="B27" s="990">
        <f>IF('6.2'!E26=0,"",'6.2'!E26)</f>
        <v>2887808216</v>
      </c>
      <c r="C27" s="988">
        <v>450493000</v>
      </c>
      <c r="D27" s="988">
        <v>184125200</v>
      </c>
      <c r="E27" s="990">
        <f t="shared" si="1"/>
        <v>634618200</v>
      </c>
      <c r="F27" s="990">
        <f t="shared" si="2"/>
        <v>3522426416</v>
      </c>
      <c r="G27" s="1009">
        <f t="shared" si="0"/>
        <v>0.18016506948657859</v>
      </c>
      <c r="H27" s="988">
        <v>5267331.0599999996</v>
      </c>
      <c r="I27" s="1101"/>
    </row>
    <row r="28" spans="1:9" ht="11.25" customHeight="1">
      <c r="A28" s="978" t="s">
        <v>97</v>
      </c>
      <c r="B28" s="990">
        <f>IF('6.2'!E27=0,"",'6.2'!E27)</f>
        <v>2352990700</v>
      </c>
      <c r="C28" s="988">
        <v>154216000</v>
      </c>
      <c r="D28" s="988">
        <v>71887800</v>
      </c>
      <c r="E28" s="990">
        <f t="shared" si="1"/>
        <v>226103800</v>
      </c>
      <c r="F28" s="990">
        <f t="shared" si="2"/>
        <v>2579094500</v>
      </c>
      <c r="G28" s="1009">
        <f t="shared" si="0"/>
        <v>8.7667900497635898E-2</v>
      </c>
      <c r="H28" s="988">
        <v>1650557.74</v>
      </c>
      <c r="I28" s="1101"/>
    </row>
    <row r="29" spans="1:9" ht="11.25" customHeight="1">
      <c r="A29" s="978" t="s">
        <v>99</v>
      </c>
      <c r="B29" s="990">
        <f>IF('6.2'!E28=0,"",'6.2'!E28)</f>
        <v>853256680</v>
      </c>
      <c r="C29" s="988">
        <v>65163200</v>
      </c>
      <c r="D29" s="988">
        <v>16106000</v>
      </c>
      <c r="E29" s="990">
        <f t="shared" si="1"/>
        <v>81269200</v>
      </c>
      <c r="F29" s="990">
        <f t="shared" si="2"/>
        <v>934525880</v>
      </c>
      <c r="G29" s="1009">
        <f t="shared" si="0"/>
        <v>8.6963027711977323E-2</v>
      </c>
      <c r="H29" s="988">
        <v>617645.92000000004</v>
      </c>
      <c r="I29" s="1101"/>
    </row>
    <row r="30" spans="1:9" ht="11.25" customHeight="1">
      <c r="A30" s="978" t="s">
        <v>101</v>
      </c>
      <c r="B30" s="990">
        <f>IF('6.2'!E29=0,"",'6.2'!E29)</f>
        <v>1009959823</v>
      </c>
      <c r="C30" s="988">
        <v>29985904</v>
      </c>
      <c r="D30" s="988">
        <v>60032520</v>
      </c>
      <c r="E30" s="990">
        <f t="shared" si="1"/>
        <v>90018424</v>
      </c>
      <c r="F30" s="990">
        <f t="shared" si="2"/>
        <v>1099978247</v>
      </c>
      <c r="G30" s="1009">
        <f t="shared" si="0"/>
        <v>8.1836549264051039E-2</v>
      </c>
      <c r="H30" s="988">
        <v>558114.22879999992</v>
      </c>
      <c r="I30" s="1101"/>
    </row>
    <row r="31" spans="1:9" ht="9" customHeight="1">
      <c r="B31" s="990" t="str">
        <f>IF('6.2'!E30=0,"",'6.2'!E30)</f>
        <v/>
      </c>
      <c r="C31" s="988"/>
      <c r="D31" s="988"/>
      <c r="E31" s="990" t="str">
        <f t="shared" si="1"/>
        <v/>
      </c>
      <c r="F31" s="990" t="str">
        <f t="shared" si="2"/>
        <v/>
      </c>
      <c r="G31" s="1009" t="str">
        <f t="shared" si="0"/>
        <v/>
      </c>
      <c r="H31" s="988"/>
      <c r="I31" s="1101"/>
    </row>
    <row r="32" spans="1:9" ht="11.25" customHeight="1">
      <c r="A32" s="978" t="s">
        <v>103</v>
      </c>
      <c r="B32" s="990">
        <f>IF('6.2'!E31=0,"",'6.2'!E31)</f>
        <v>41568315400</v>
      </c>
      <c r="C32" s="988">
        <v>2152120900</v>
      </c>
      <c r="D32" s="988">
        <v>622630900</v>
      </c>
      <c r="E32" s="990">
        <f t="shared" si="1"/>
        <v>2774751800</v>
      </c>
      <c r="F32" s="990">
        <f t="shared" si="2"/>
        <v>44343067200</v>
      </c>
      <c r="G32" s="1009">
        <f t="shared" si="0"/>
        <v>6.2574647520097573E-2</v>
      </c>
      <c r="H32" s="988">
        <v>26360142.100000001</v>
      </c>
      <c r="I32" s="1101"/>
    </row>
    <row r="33" spans="1:9" ht="11.25" customHeight="1">
      <c r="A33" s="978" t="s">
        <v>105</v>
      </c>
      <c r="B33" s="990">
        <f>IF('6.2'!E32=0,"",'6.2'!E32)</f>
        <v>2406963400</v>
      </c>
      <c r="C33" s="988">
        <v>69817400</v>
      </c>
      <c r="D33" s="988">
        <v>122319100</v>
      </c>
      <c r="E33" s="990">
        <f t="shared" si="1"/>
        <v>192136500</v>
      </c>
      <c r="F33" s="990">
        <f t="shared" si="2"/>
        <v>2599099900</v>
      </c>
      <c r="G33" s="1009">
        <f t="shared" si="0"/>
        <v>7.3924245851419559E-2</v>
      </c>
      <c r="H33" s="988">
        <v>1181639.4750000001</v>
      </c>
      <c r="I33" s="1101"/>
    </row>
    <row r="34" spans="1:9" ht="11.25" customHeight="1">
      <c r="A34" s="978" t="s">
        <v>107</v>
      </c>
      <c r="B34" s="990">
        <f>IF('6.2'!E33=0,"",'6.2'!E33)</f>
        <v>518361000</v>
      </c>
      <c r="C34" s="988">
        <v>94860100</v>
      </c>
      <c r="D34" s="988">
        <v>32154700</v>
      </c>
      <c r="E34" s="990">
        <f t="shared" si="1"/>
        <v>127014800</v>
      </c>
      <c r="F34" s="990">
        <f t="shared" si="2"/>
        <v>645375800</v>
      </c>
      <c r="G34" s="1009">
        <f t="shared" si="0"/>
        <v>0.19680750347317019</v>
      </c>
      <c r="H34" s="988">
        <v>749387.32</v>
      </c>
      <c r="I34" s="1101"/>
    </row>
    <row r="35" spans="1:9" ht="11.25" customHeight="1">
      <c r="A35" s="978" t="s">
        <v>109</v>
      </c>
      <c r="B35" s="990">
        <f>IF('6.2'!E34=0,"",'6.2'!E34)</f>
        <v>6211556646</v>
      </c>
      <c r="C35" s="988">
        <v>231498300</v>
      </c>
      <c r="D35" s="988">
        <v>289174100</v>
      </c>
      <c r="E35" s="990">
        <f t="shared" si="1"/>
        <v>520672400</v>
      </c>
      <c r="F35" s="990">
        <f t="shared" si="2"/>
        <v>6732229046</v>
      </c>
      <c r="G35" s="1009">
        <f t="shared" si="0"/>
        <v>7.7340268199781625E-2</v>
      </c>
      <c r="H35" s="988">
        <v>3228168.88</v>
      </c>
      <c r="I35" s="1101"/>
    </row>
    <row r="36" spans="1:9" ht="11.25" customHeight="1">
      <c r="A36" s="978" t="s">
        <v>111</v>
      </c>
      <c r="B36" s="990">
        <f>IF('6.2'!E35=0,"",'6.2'!E35)</f>
        <v>959007718</v>
      </c>
      <c r="C36" s="988">
        <v>64922480</v>
      </c>
      <c r="D36" s="988">
        <v>74417370</v>
      </c>
      <c r="E36" s="990">
        <f t="shared" si="1"/>
        <v>139339850</v>
      </c>
      <c r="F36" s="990">
        <f t="shared" si="2"/>
        <v>1098347568</v>
      </c>
      <c r="G36" s="1009">
        <f t="shared" si="0"/>
        <v>0.12686316614123008</v>
      </c>
      <c r="H36" s="988">
        <v>1072916.845</v>
      </c>
      <c r="I36" s="1101"/>
    </row>
    <row r="37" spans="1:9" ht="9" customHeight="1">
      <c r="B37" s="990" t="str">
        <f>IF('6.2'!E36=0,"",'6.2'!E36)</f>
        <v/>
      </c>
      <c r="C37" s="988"/>
      <c r="D37" s="988"/>
      <c r="E37" s="990" t="str">
        <f t="shared" si="1"/>
        <v/>
      </c>
      <c r="F37" s="990" t="str">
        <f t="shared" si="2"/>
        <v/>
      </c>
      <c r="G37" s="1009" t="str">
        <f t="shared" si="0"/>
        <v/>
      </c>
      <c r="H37" s="988"/>
      <c r="I37" s="1101"/>
    </row>
    <row r="38" spans="1:9" ht="11.25" customHeight="1">
      <c r="A38" s="978" t="s">
        <v>113</v>
      </c>
      <c r="B38" s="990">
        <f>IF('6.2'!E37=0,"",'6.2'!E37)</f>
        <v>1275484276</v>
      </c>
      <c r="C38" s="988">
        <v>164911600</v>
      </c>
      <c r="D38" s="988">
        <v>47332600</v>
      </c>
      <c r="E38" s="990">
        <f t="shared" si="1"/>
        <v>212244200</v>
      </c>
      <c r="F38" s="990">
        <f t="shared" si="2"/>
        <v>1487728476</v>
      </c>
      <c r="G38" s="1009">
        <f t="shared" si="0"/>
        <v>0.14266326377690441</v>
      </c>
      <c r="H38" s="988">
        <v>1273465.2</v>
      </c>
      <c r="I38" s="1101"/>
    </row>
    <row r="39" spans="1:9" ht="11.25" customHeight="1">
      <c r="A39" s="978" t="s">
        <v>488</v>
      </c>
      <c r="B39" s="990">
        <f>IF('6.2'!E38=0,"",'6.2'!E38)</f>
        <v>2783018974</v>
      </c>
      <c r="C39" s="988">
        <v>218447600</v>
      </c>
      <c r="D39" s="988">
        <v>179958800</v>
      </c>
      <c r="E39" s="990">
        <f t="shared" si="1"/>
        <v>398406400</v>
      </c>
      <c r="F39" s="990">
        <f t="shared" si="2"/>
        <v>3181425374</v>
      </c>
      <c r="G39" s="1009">
        <f t="shared" si="0"/>
        <v>0.12522889999430803</v>
      </c>
      <c r="H39" s="988">
        <v>3147410.56</v>
      </c>
      <c r="I39" s="1101"/>
    </row>
    <row r="40" spans="1:9" ht="11.25" customHeight="1">
      <c r="A40" s="978" t="s">
        <v>117</v>
      </c>
      <c r="B40" s="990">
        <f>IF('6.2'!E39=0,"",'6.2'!E39)</f>
        <v>1396709600</v>
      </c>
      <c r="C40" s="988">
        <v>27048300</v>
      </c>
      <c r="D40" s="988">
        <v>70982600</v>
      </c>
      <c r="E40" s="990">
        <f t="shared" si="1"/>
        <v>98030900</v>
      </c>
      <c r="F40" s="990">
        <f t="shared" si="2"/>
        <v>1494740500</v>
      </c>
      <c r="G40" s="1009">
        <f t="shared" si="0"/>
        <v>6.5583892321108575E-2</v>
      </c>
      <c r="H40" s="988">
        <v>843065.74</v>
      </c>
      <c r="I40" s="1101"/>
    </row>
    <row r="41" spans="1:9" ht="11.25" customHeight="1">
      <c r="A41" s="978" t="s">
        <v>119</v>
      </c>
      <c r="B41" s="990">
        <f>IF('6.2'!E40=0,"",'6.2'!E40)</f>
        <v>264793644730</v>
      </c>
      <c r="C41" s="988">
        <v>15018206700</v>
      </c>
      <c r="D41" s="988">
        <v>4606603640</v>
      </c>
      <c r="E41" s="990">
        <f t="shared" si="1"/>
        <v>19624810340</v>
      </c>
      <c r="F41" s="990">
        <f t="shared" si="2"/>
        <v>284418455070</v>
      </c>
      <c r="G41" s="1009">
        <f t="shared" si="0"/>
        <v>6.8999778285027305E-2</v>
      </c>
      <c r="H41" s="988">
        <v>225685318.90999997</v>
      </c>
      <c r="I41" s="1101"/>
    </row>
    <row r="42" spans="1:9" ht="11.25" customHeight="1">
      <c r="A42" s="978" t="s">
        <v>121</v>
      </c>
      <c r="B42" s="990">
        <f>IF('6.2'!E41=0,"",'6.2'!E41)</f>
        <v>13530632300</v>
      </c>
      <c r="C42" s="988">
        <v>672071100</v>
      </c>
      <c r="D42" s="988">
        <v>281380000</v>
      </c>
      <c r="E42" s="990">
        <f t="shared" si="1"/>
        <v>953451100</v>
      </c>
      <c r="F42" s="990">
        <f t="shared" si="2"/>
        <v>14484083400</v>
      </c>
      <c r="G42" s="1009">
        <f t="shared" si="0"/>
        <v>6.5827506903198302E-2</v>
      </c>
      <c r="H42" s="988">
        <v>9477303.9340000004</v>
      </c>
      <c r="I42" s="1101"/>
    </row>
    <row r="43" spans="1:9" ht="15.75">
      <c r="A43" s="1239" t="s">
        <v>1012</v>
      </c>
      <c r="B43" s="998"/>
      <c r="C43" s="998"/>
      <c r="D43" s="998"/>
      <c r="E43" s="998"/>
      <c r="F43" s="998"/>
      <c r="G43" s="998"/>
      <c r="H43" s="998"/>
    </row>
    <row r="44" spans="1:9" s="1010" customFormat="1" ht="12.75">
      <c r="A44" s="1275" t="str">
        <f>A2</f>
        <v>Comparison of Tax Exempt Value to Total Fair Market Value (FMV) of Real Estate by Locality - Tax Year 2020</v>
      </c>
      <c r="B44" s="1275"/>
      <c r="C44" s="1275"/>
      <c r="D44" s="1275"/>
      <c r="E44" s="1275"/>
      <c r="F44" s="1275"/>
      <c r="G44" s="1275"/>
      <c r="H44" s="1275"/>
      <c r="I44" s="1102"/>
    </row>
    <row r="45" spans="1:9" ht="9" customHeight="1" thickBot="1">
      <c r="A45" s="981"/>
      <c r="B45" s="981"/>
      <c r="C45" s="981"/>
      <c r="D45" s="981"/>
      <c r="E45" s="981"/>
      <c r="F45" s="981"/>
      <c r="G45" s="981"/>
      <c r="H45" s="981"/>
    </row>
    <row r="46" spans="1:9" ht="14.25" customHeight="1">
      <c r="A46" s="1105"/>
      <c r="B46" s="1106"/>
      <c r="C46" s="1106"/>
      <c r="D46" s="1106"/>
      <c r="E46" s="1106"/>
      <c r="F46" s="1106" t="s">
        <v>988</v>
      </c>
      <c r="G46" s="1106" t="s">
        <v>1145</v>
      </c>
      <c r="H46" s="1106" t="s">
        <v>1002</v>
      </c>
    </row>
    <row r="47" spans="1:9" ht="12.75" customHeight="1">
      <c r="A47" s="1107"/>
      <c r="B47" s="1108" t="s">
        <v>1003</v>
      </c>
      <c r="C47" s="1442" t="s">
        <v>1004</v>
      </c>
      <c r="D47" s="1442"/>
      <c r="E47" s="1442"/>
      <c r="F47" s="1108" t="s">
        <v>1005</v>
      </c>
      <c r="G47" s="1108" t="s">
        <v>374</v>
      </c>
      <c r="H47" s="1108" t="s">
        <v>1006</v>
      </c>
    </row>
    <row r="48" spans="1:9" ht="12.75">
      <c r="A48" s="1109" t="s">
        <v>23</v>
      </c>
      <c r="B48" s="1104" t="s">
        <v>1007</v>
      </c>
      <c r="C48" s="1104" t="s">
        <v>1008</v>
      </c>
      <c r="D48" s="1104" t="s">
        <v>1009</v>
      </c>
      <c r="E48" s="1104" t="s">
        <v>1010</v>
      </c>
      <c r="F48" s="1104" t="s">
        <v>1011</v>
      </c>
      <c r="G48" s="1104" t="s">
        <v>988</v>
      </c>
      <c r="H48" s="1104" t="s">
        <v>386</v>
      </c>
    </row>
    <row r="49" spans="1:9" ht="9" customHeight="1"/>
    <row r="50" spans="1:9" ht="11.25" customHeight="1">
      <c r="A50" s="978" t="s">
        <v>123</v>
      </c>
      <c r="B50" s="1363">
        <f>IF('6.2'!E48=0,"",'6.2'!E48)</f>
        <v>1888965800</v>
      </c>
      <c r="C50" s="986">
        <v>100273300</v>
      </c>
      <c r="D50" s="986">
        <v>36066700</v>
      </c>
      <c r="E50" s="1363">
        <f t="shared" ref="E50:E84" si="3">IF(SUM(C50:D50)=0,"",SUM(C50:D50))</f>
        <v>136340000</v>
      </c>
      <c r="F50" s="1363">
        <f t="shared" ref="F50:F84" si="4">IFERROR(B50+E50,"")</f>
        <v>2025305800</v>
      </c>
      <c r="G50" s="1009">
        <f t="shared" ref="G50:G84" si="5">IFERROR(E50/F50,"")</f>
        <v>6.7318229178033262E-2</v>
      </c>
      <c r="H50" s="986">
        <v>818040</v>
      </c>
      <c r="I50" s="1101"/>
    </row>
    <row r="51" spans="1:9" ht="11.25" customHeight="1">
      <c r="A51" s="978" t="s">
        <v>125</v>
      </c>
      <c r="B51" s="990">
        <f>IF('6.2'!E49=0,"",'6.2'!E49)</f>
        <v>3001316648</v>
      </c>
      <c r="C51" s="988">
        <v>196044100</v>
      </c>
      <c r="D51" s="988">
        <v>158407400</v>
      </c>
      <c r="E51" s="990">
        <f t="shared" si="3"/>
        <v>354451500</v>
      </c>
      <c r="F51" s="990">
        <f t="shared" si="4"/>
        <v>3355768148</v>
      </c>
      <c r="G51" s="1009">
        <f t="shared" si="5"/>
        <v>0.10562454984002667</v>
      </c>
      <c r="H51" s="988">
        <v>3278676.375</v>
      </c>
      <c r="I51" s="1101"/>
    </row>
    <row r="52" spans="1:9" ht="11.25" customHeight="1">
      <c r="A52" s="978" t="s">
        <v>26</v>
      </c>
      <c r="B52" s="990">
        <f>IF('6.2'!E50=0,"",'6.2'!E50)</f>
        <v>7534945400</v>
      </c>
      <c r="C52" s="988">
        <v>106486500</v>
      </c>
      <c r="D52" s="988">
        <v>411560000</v>
      </c>
      <c r="E52" s="990">
        <f t="shared" si="3"/>
        <v>518046500</v>
      </c>
      <c r="F52" s="990">
        <f t="shared" si="4"/>
        <v>8052991900</v>
      </c>
      <c r="G52" s="1009">
        <f t="shared" si="5"/>
        <v>6.4329693414940603E-2</v>
      </c>
      <c r="H52" s="988">
        <v>3160083.65</v>
      </c>
      <c r="I52" s="1101"/>
    </row>
    <row r="53" spans="1:9" ht="11.25" customHeight="1">
      <c r="A53" s="978" t="s">
        <v>1121</v>
      </c>
      <c r="B53" s="990">
        <f>IF('6.2'!E51=0,"",'6.2'!E51)</f>
        <v>10954173175</v>
      </c>
      <c r="C53" s="988">
        <v>201482600</v>
      </c>
      <c r="D53" s="988">
        <v>963126500</v>
      </c>
      <c r="E53" s="990">
        <f t="shared" si="3"/>
        <v>1164609100</v>
      </c>
      <c r="F53" s="990">
        <f t="shared" si="4"/>
        <v>12118782275</v>
      </c>
      <c r="G53" s="1009">
        <f t="shared" si="5"/>
        <v>9.6099515081023268E-2</v>
      </c>
      <c r="H53" s="988">
        <v>7104115.5099999998</v>
      </c>
      <c r="I53" s="1101"/>
    </row>
    <row r="54" spans="1:9" ht="11.25" customHeight="1">
      <c r="A54" s="978" t="s">
        <v>130</v>
      </c>
      <c r="B54" s="990">
        <f>IF('6.2'!E52=0,"",'6.2'!E52)</f>
        <v>1269136700</v>
      </c>
      <c r="C54" s="988">
        <v>76940400</v>
      </c>
      <c r="D54" s="988">
        <v>72269700</v>
      </c>
      <c r="E54" s="990">
        <f t="shared" si="3"/>
        <v>149210100</v>
      </c>
      <c r="F54" s="990">
        <f t="shared" si="4"/>
        <v>1418346800</v>
      </c>
      <c r="G54" s="1009">
        <f t="shared" si="5"/>
        <v>0.10520001173196851</v>
      </c>
      <c r="H54" s="988">
        <v>969865.65</v>
      </c>
      <c r="I54" s="1101"/>
    </row>
    <row r="55" spans="1:9" ht="9" customHeight="1">
      <c r="B55" s="990" t="str">
        <f>IF('6.2'!E53=0,"",'6.2'!E53)</f>
        <v/>
      </c>
      <c r="C55" s="988"/>
      <c r="D55" s="988"/>
      <c r="E55" s="990" t="str">
        <f t="shared" si="3"/>
        <v/>
      </c>
      <c r="F55" s="990" t="str">
        <f t="shared" si="4"/>
        <v/>
      </c>
      <c r="G55" s="1009" t="str">
        <f t="shared" si="5"/>
        <v/>
      </c>
      <c r="H55" s="988"/>
      <c r="I55" s="1101"/>
    </row>
    <row r="56" spans="1:9" ht="11.25" customHeight="1">
      <c r="A56" s="978" t="s">
        <v>65</v>
      </c>
      <c r="B56" s="990">
        <f>IF('6.2'!E54=0,"",'6.2'!E54)</f>
        <v>4755412776</v>
      </c>
      <c r="C56" s="988">
        <v>237769676</v>
      </c>
      <c r="D56" s="988">
        <v>166297980</v>
      </c>
      <c r="E56" s="990">
        <f t="shared" si="3"/>
        <v>404067656</v>
      </c>
      <c r="F56" s="990">
        <f t="shared" si="4"/>
        <v>5159480432</v>
      </c>
      <c r="G56" s="1009">
        <f t="shared" si="5"/>
        <v>7.8315570981508473E-2</v>
      </c>
      <c r="H56" s="988">
        <v>2808270.2091999995</v>
      </c>
      <c r="I56" s="1101"/>
    </row>
    <row r="57" spans="1:9" ht="11.25" customHeight="1">
      <c r="A57" s="978" t="s">
        <v>67</v>
      </c>
      <c r="B57" s="990">
        <f>IF('6.2'!E55=0,"",'6.2'!E55)</f>
        <v>6266404550</v>
      </c>
      <c r="C57" s="988">
        <v>180947400</v>
      </c>
      <c r="D57" s="988">
        <v>147520900</v>
      </c>
      <c r="E57" s="990">
        <f t="shared" si="3"/>
        <v>328468300</v>
      </c>
      <c r="F57" s="990">
        <f t="shared" si="4"/>
        <v>6594872850</v>
      </c>
      <c r="G57" s="1009">
        <f t="shared" si="5"/>
        <v>4.980661605932251E-2</v>
      </c>
      <c r="H57" s="988">
        <v>1740881.9900000002</v>
      </c>
      <c r="I57" s="1101"/>
    </row>
    <row r="58" spans="1:9" ht="11.25" customHeight="1">
      <c r="A58" s="978" t="s">
        <v>69</v>
      </c>
      <c r="B58" s="990">
        <f>IF('6.2'!E56=0,"",'6.2'!E56)</f>
        <v>1670123300</v>
      </c>
      <c r="C58" s="988">
        <v>130132800</v>
      </c>
      <c r="D58" s="988">
        <v>102937800</v>
      </c>
      <c r="E58" s="990">
        <f t="shared" si="3"/>
        <v>233070600</v>
      </c>
      <c r="F58" s="990">
        <f t="shared" si="4"/>
        <v>1903193900</v>
      </c>
      <c r="G58" s="1009">
        <f t="shared" si="5"/>
        <v>0.12246287674629475</v>
      </c>
      <c r="H58" s="988">
        <v>1351809.48</v>
      </c>
      <c r="I58" s="1101"/>
    </row>
    <row r="59" spans="1:9" ht="11.25" customHeight="1">
      <c r="A59" s="978" t="s">
        <v>71</v>
      </c>
      <c r="B59" s="990">
        <f>IF('6.2'!E57=0,"",'6.2'!E57)</f>
        <v>2365128649</v>
      </c>
      <c r="C59" s="988">
        <v>127304600</v>
      </c>
      <c r="D59" s="988">
        <v>130562900</v>
      </c>
      <c r="E59" s="990">
        <f t="shared" si="3"/>
        <v>257867500</v>
      </c>
      <c r="F59" s="990">
        <f t="shared" si="4"/>
        <v>2622996149</v>
      </c>
      <c r="G59" s="1009">
        <f t="shared" si="5"/>
        <v>9.8310285395695404E-2</v>
      </c>
      <c r="H59" s="988">
        <v>2114563</v>
      </c>
      <c r="I59" s="1101"/>
    </row>
    <row r="60" spans="1:9" ht="11.25" customHeight="1">
      <c r="A60" s="980" t="s">
        <v>73</v>
      </c>
      <c r="B60" s="1364">
        <f>IF('6.2'!E58=0,"",'6.2'!E58)</f>
        <v>633991700</v>
      </c>
      <c r="C60" s="988">
        <v>542039400</v>
      </c>
      <c r="D60" s="988">
        <v>29805800</v>
      </c>
      <c r="E60" s="1364">
        <f t="shared" si="3"/>
        <v>571845200</v>
      </c>
      <c r="F60" s="1364">
        <f t="shared" si="4"/>
        <v>1205836900</v>
      </c>
      <c r="G60" s="1365">
        <f t="shared" si="5"/>
        <v>0.47423096772042722</v>
      </c>
      <c r="H60" s="988">
        <v>3831362.8400000003</v>
      </c>
      <c r="I60" s="1101"/>
    </row>
    <row r="61" spans="1:9" ht="8.25" customHeight="1">
      <c r="B61" s="978" t="str">
        <f>IF('6.2'!E59=0,"",'6.2'!E59)</f>
        <v/>
      </c>
      <c r="E61" s="978" t="str">
        <f t="shared" si="3"/>
        <v/>
      </c>
      <c r="F61" s="978" t="str">
        <f t="shared" si="4"/>
        <v/>
      </c>
      <c r="G61" s="978" t="str">
        <f t="shared" si="5"/>
        <v/>
      </c>
      <c r="I61" s="1101"/>
    </row>
    <row r="62" spans="1:9">
      <c r="A62" s="978" t="s">
        <v>399</v>
      </c>
      <c r="B62" s="990">
        <f>IF('6.2'!E60=0,"",'6.2'!E60)</f>
        <v>2707480841</v>
      </c>
      <c r="C62" s="988">
        <v>161798227</v>
      </c>
      <c r="D62" s="988">
        <v>260253405</v>
      </c>
      <c r="E62" s="990">
        <f t="shared" si="3"/>
        <v>422051632</v>
      </c>
      <c r="F62" s="990">
        <f t="shared" si="4"/>
        <v>3129532473</v>
      </c>
      <c r="G62" s="1009">
        <f t="shared" si="5"/>
        <v>0.13486092112519837</v>
      </c>
      <c r="H62" s="988">
        <v>2110258.16</v>
      </c>
      <c r="I62" s="1101"/>
    </row>
    <row r="63" spans="1:9">
      <c r="A63" s="978" t="s">
        <v>77</v>
      </c>
      <c r="B63" s="990">
        <f>IF('6.2'!E61=0,"",'6.2'!E61)</f>
        <v>16735702847</v>
      </c>
      <c r="C63" s="988">
        <v>1168732601</v>
      </c>
      <c r="D63" s="988">
        <v>445400100</v>
      </c>
      <c r="E63" s="990">
        <f t="shared" si="3"/>
        <v>1614132701</v>
      </c>
      <c r="F63" s="990">
        <f t="shared" si="4"/>
        <v>18349835548</v>
      </c>
      <c r="G63" s="1009">
        <f t="shared" si="5"/>
        <v>8.796442326568582E-2</v>
      </c>
      <c r="H63" s="988">
        <v>13074474.8781</v>
      </c>
      <c r="I63" s="1101"/>
    </row>
    <row r="64" spans="1:9">
      <c r="A64" s="978" t="s">
        <v>79</v>
      </c>
      <c r="B64" s="990">
        <f>IF('6.2'!E62=0,"",'6.2'!E62)</f>
        <v>42850985100</v>
      </c>
      <c r="C64" s="988">
        <v>2406083600</v>
      </c>
      <c r="D64" s="988">
        <v>1678517200</v>
      </c>
      <c r="E64" s="990">
        <f t="shared" si="3"/>
        <v>4084600800</v>
      </c>
      <c r="F64" s="990">
        <f t="shared" si="4"/>
        <v>46935585900</v>
      </c>
      <c r="G64" s="1009">
        <f t="shared" si="5"/>
        <v>8.7025669791415128E-2</v>
      </c>
      <c r="H64" s="988">
        <v>35536026.960000001</v>
      </c>
      <c r="I64" s="1101"/>
    </row>
    <row r="65" spans="1:9">
      <c r="A65" s="978" t="s">
        <v>81</v>
      </c>
      <c r="B65" s="990">
        <f>IF('6.2'!E63=0,"",'6.2'!E63)</f>
        <v>2970077600</v>
      </c>
      <c r="C65" s="988">
        <v>208417600</v>
      </c>
      <c r="D65" s="988">
        <v>377481400</v>
      </c>
      <c r="E65" s="990">
        <f t="shared" si="3"/>
        <v>585899000</v>
      </c>
      <c r="F65" s="990">
        <f t="shared" si="4"/>
        <v>3555976600</v>
      </c>
      <c r="G65" s="1009">
        <f t="shared" si="5"/>
        <v>0.16476458253409204</v>
      </c>
      <c r="H65" s="988">
        <v>3251742.31</v>
      </c>
      <c r="I65" s="1101"/>
    </row>
    <row r="66" spans="1:9">
      <c r="A66" s="978" t="s">
        <v>415</v>
      </c>
      <c r="B66" s="990">
        <f>IF('6.2'!E64=0,"",'6.2'!E64)</f>
        <v>676314100</v>
      </c>
      <c r="C66" s="988">
        <v>61065400</v>
      </c>
      <c r="D66" s="988">
        <v>22198000</v>
      </c>
      <c r="E66" s="990">
        <f t="shared" si="3"/>
        <v>83263400</v>
      </c>
      <c r="F66" s="990">
        <f t="shared" si="4"/>
        <v>759577500</v>
      </c>
      <c r="G66" s="1009">
        <f t="shared" si="5"/>
        <v>0.10961804424170016</v>
      </c>
      <c r="H66" s="988">
        <v>399664.31999999995</v>
      </c>
      <c r="I66" s="1101"/>
    </row>
    <row r="67" spans="1:9" ht="9" customHeight="1">
      <c r="B67" s="990" t="str">
        <f>IF('6.2'!E65=0,"",'6.2'!E65)</f>
        <v/>
      </c>
      <c r="C67" s="988"/>
      <c r="D67" s="988"/>
      <c r="E67" s="990" t="str">
        <f t="shared" si="3"/>
        <v/>
      </c>
      <c r="F67" s="990" t="str">
        <f t="shared" si="4"/>
        <v/>
      </c>
      <c r="G67" s="1009" t="str">
        <f t="shared" si="5"/>
        <v/>
      </c>
      <c r="H67" s="988"/>
      <c r="I67" s="1101"/>
    </row>
    <row r="68" spans="1:9">
      <c r="A68" s="978" t="s">
        <v>84</v>
      </c>
      <c r="B68" s="990">
        <f>IF('6.2'!E66=0,"",'6.2'!E66)</f>
        <v>5007174280</v>
      </c>
      <c r="C68" s="988">
        <v>113202600</v>
      </c>
      <c r="D68" s="988">
        <v>228685400</v>
      </c>
      <c r="E68" s="990">
        <f t="shared" si="3"/>
        <v>341888000</v>
      </c>
      <c r="F68" s="990">
        <f t="shared" si="4"/>
        <v>5349062280</v>
      </c>
      <c r="G68" s="1009">
        <f t="shared" si="5"/>
        <v>6.3915501840072053E-2</v>
      </c>
      <c r="H68" s="988">
        <v>2904555.83</v>
      </c>
      <c r="I68" s="1101"/>
    </row>
    <row r="69" spans="1:9">
      <c r="A69" s="978" t="s">
        <v>423</v>
      </c>
      <c r="B69" s="990">
        <f>IF('6.2'!E67=0,"",'6.2'!E67)</f>
        <v>12366271650</v>
      </c>
      <c r="C69" s="988">
        <v>591390600</v>
      </c>
      <c r="D69" s="988">
        <v>162465900</v>
      </c>
      <c r="E69" s="990">
        <f t="shared" si="3"/>
        <v>753856500</v>
      </c>
      <c r="F69" s="990">
        <f t="shared" si="4"/>
        <v>13120128150</v>
      </c>
      <c r="G69" s="1009">
        <f t="shared" si="5"/>
        <v>5.7458013472223596E-2</v>
      </c>
      <c r="H69" s="988">
        <v>6332394.5999999996</v>
      </c>
      <c r="I69" s="1101"/>
    </row>
    <row r="70" spans="1:9">
      <c r="A70" s="978" t="s">
        <v>88</v>
      </c>
      <c r="B70" s="990">
        <f>IF('6.2'!E68=0,"",'6.2'!E68)</f>
        <v>910856900</v>
      </c>
      <c r="C70" s="988">
        <v>25562800</v>
      </c>
      <c r="D70" s="988">
        <v>41906600</v>
      </c>
      <c r="E70" s="990">
        <f t="shared" si="3"/>
        <v>67469400</v>
      </c>
      <c r="F70" s="990">
        <f t="shared" si="4"/>
        <v>978326300</v>
      </c>
      <c r="G70" s="1009">
        <f t="shared" si="5"/>
        <v>6.8964107373991682E-2</v>
      </c>
      <c r="H70" s="988">
        <v>357587.82</v>
      </c>
      <c r="I70" s="1101"/>
    </row>
    <row r="71" spans="1:9">
      <c r="A71" s="978" t="s">
        <v>90</v>
      </c>
      <c r="B71" s="990">
        <f>IF('6.2'!E69=0,"",'6.2'!E69)</f>
        <v>3082818053</v>
      </c>
      <c r="C71" s="988">
        <v>1223772700</v>
      </c>
      <c r="D71" s="988">
        <v>61541200</v>
      </c>
      <c r="E71" s="990">
        <f t="shared" si="3"/>
        <v>1285313900</v>
      </c>
      <c r="F71" s="990">
        <f t="shared" si="4"/>
        <v>4368131953</v>
      </c>
      <c r="G71" s="1009">
        <f t="shared" si="5"/>
        <v>0.29424795629565542</v>
      </c>
      <c r="H71" s="988">
        <v>8997197.3000000007</v>
      </c>
      <c r="I71" s="1101"/>
    </row>
    <row r="72" spans="1:9" ht="12" customHeight="1">
      <c r="A72" s="978" t="s">
        <v>435</v>
      </c>
      <c r="B72" s="990">
        <f>IF('6.2'!E70=0,"",'6.2'!E70)</f>
        <v>1430067880</v>
      </c>
      <c r="C72" s="988">
        <v>40234935</v>
      </c>
      <c r="D72" s="988">
        <v>43966558</v>
      </c>
      <c r="E72" s="990">
        <f t="shared" si="3"/>
        <v>84201493</v>
      </c>
      <c r="F72" s="990">
        <f t="shared" si="4"/>
        <v>1514269373</v>
      </c>
      <c r="G72" s="1009">
        <f t="shared" si="5"/>
        <v>5.5605359588818681E-2</v>
      </c>
      <c r="H72" s="988">
        <v>724132.83979999996</v>
      </c>
      <c r="I72" s="1101"/>
    </row>
    <row r="73" spans="1:9" ht="8.25" customHeight="1">
      <c r="B73" s="990" t="str">
        <f>IF('6.2'!E71=0,"",'6.2'!E71)</f>
        <v/>
      </c>
      <c r="C73" s="990"/>
      <c r="D73" s="988"/>
      <c r="E73" s="990" t="str">
        <f t="shared" si="3"/>
        <v/>
      </c>
      <c r="F73" s="990" t="str">
        <f t="shared" si="4"/>
        <v/>
      </c>
      <c r="G73" s="1009" t="str">
        <f t="shared" si="5"/>
        <v/>
      </c>
      <c r="H73" s="990"/>
      <c r="I73" s="1101"/>
    </row>
    <row r="74" spans="1:9">
      <c r="A74" s="978" t="s">
        <v>94</v>
      </c>
      <c r="B74" s="990">
        <f>IF('6.2'!E72=0,"",'6.2'!E72)</f>
        <v>2679367400</v>
      </c>
      <c r="C74" s="988">
        <v>47658400</v>
      </c>
      <c r="D74" s="988">
        <v>78365500</v>
      </c>
      <c r="E74" s="990">
        <f t="shared" si="3"/>
        <v>126023900</v>
      </c>
      <c r="F74" s="990">
        <f t="shared" si="4"/>
        <v>2805391300</v>
      </c>
      <c r="G74" s="1009">
        <f t="shared" si="5"/>
        <v>4.4922039930757607E-2</v>
      </c>
      <c r="H74" s="988">
        <v>793950.57000000007</v>
      </c>
      <c r="I74" s="1101"/>
    </row>
    <row r="75" spans="1:9">
      <c r="A75" s="978" t="s">
        <v>96</v>
      </c>
      <c r="B75" s="990">
        <f>IF('6.2'!E73=0,"",'6.2'!E73)</f>
        <v>958424982</v>
      </c>
      <c r="C75" s="988">
        <v>161214078</v>
      </c>
      <c r="D75" s="988">
        <v>82507700</v>
      </c>
      <c r="E75" s="990">
        <f t="shared" si="3"/>
        <v>243721778</v>
      </c>
      <c r="F75" s="990">
        <f t="shared" si="4"/>
        <v>1202146760</v>
      </c>
      <c r="G75" s="1009">
        <f t="shared" si="5"/>
        <v>0.20273878873158549</v>
      </c>
      <c r="H75" s="988">
        <v>1507906.6404860001</v>
      </c>
      <c r="I75" s="1101"/>
    </row>
    <row r="76" spans="1:9">
      <c r="A76" s="978" t="s">
        <v>98</v>
      </c>
      <c r="B76" s="990">
        <f>IF('6.2'!E74=0,"",'6.2'!E74)</f>
        <v>92069625650</v>
      </c>
      <c r="C76" s="988">
        <v>5525577850</v>
      </c>
      <c r="D76" s="988">
        <v>1981894580</v>
      </c>
      <c r="E76" s="990">
        <f t="shared" si="3"/>
        <v>7507472430</v>
      </c>
      <c r="F76" s="990">
        <f t="shared" si="4"/>
        <v>99577098080</v>
      </c>
      <c r="G76" s="1009">
        <f t="shared" si="5"/>
        <v>7.5393565134510301E-2</v>
      </c>
      <c r="H76" s="988">
        <v>77702339.6505</v>
      </c>
      <c r="I76" s="1101"/>
    </row>
    <row r="77" spans="1:9">
      <c r="A77" s="978" t="s">
        <v>100</v>
      </c>
      <c r="B77" s="990">
        <f>IF('6.2'!E75=0,"",'6.2'!E75)</f>
        <v>5819154300</v>
      </c>
      <c r="C77" s="988">
        <v>64783300</v>
      </c>
      <c r="D77" s="988">
        <v>129609000</v>
      </c>
      <c r="E77" s="990">
        <f t="shared" si="3"/>
        <v>194392300</v>
      </c>
      <c r="F77" s="990">
        <f t="shared" si="4"/>
        <v>6013546600</v>
      </c>
      <c r="G77" s="1009">
        <f t="shared" si="5"/>
        <v>3.232573270488999E-2</v>
      </c>
      <c r="H77" s="988">
        <v>1399624.56</v>
      </c>
      <c r="I77" s="1101"/>
    </row>
    <row r="78" spans="1:9">
      <c r="A78" s="978" t="s">
        <v>102</v>
      </c>
      <c r="B78" s="990">
        <f>IF('6.2'!E76=0,"",'6.2'!E76)</f>
        <v>940522000</v>
      </c>
      <c r="C78" s="988">
        <v>45096900</v>
      </c>
      <c r="D78" s="988">
        <v>52965200</v>
      </c>
      <c r="E78" s="990">
        <f t="shared" si="3"/>
        <v>98062100</v>
      </c>
      <c r="F78" s="990">
        <f t="shared" si="4"/>
        <v>1038584100</v>
      </c>
      <c r="G78" s="1009">
        <f t="shared" si="5"/>
        <v>9.441902682700419E-2</v>
      </c>
      <c r="H78" s="988">
        <v>372635.98</v>
      </c>
      <c r="I78" s="1101"/>
    </row>
    <row r="79" spans="1:9" ht="9" customHeight="1">
      <c r="B79" s="990" t="str">
        <f>IF('6.2'!E77=0,"",'6.2'!E77)</f>
        <v/>
      </c>
      <c r="C79" s="988"/>
      <c r="D79" s="988"/>
      <c r="E79" s="990" t="str">
        <f t="shared" si="3"/>
        <v/>
      </c>
      <c r="F79" s="990" t="str">
        <f t="shared" si="4"/>
        <v/>
      </c>
      <c r="G79" s="1009" t="str">
        <f t="shared" si="5"/>
        <v/>
      </c>
      <c r="H79" s="988"/>
      <c r="I79" s="1101"/>
    </row>
    <row r="80" spans="1:9">
      <c r="A80" s="978" t="s">
        <v>104</v>
      </c>
      <c r="B80" s="990">
        <f>IF('6.2'!E78=0,"",'6.2'!E78)</f>
        <v>2287559800</v>
      </c>
      <c r="C80" s="988">
        <v>106971100</v>
      </c>
      <c r="D80" s="988">
        <v>238330800</v>
      </c>
      <c r="E80" s="990">
        <f t="shared" si="3"/>
        <v>345301900</v>
      </c>
      <c r="F80" s="990">
        <f t="shared" si="4"/>
        <v>2632861700</v>
      </c>
      <c r="G80" s="1009">
        <f t="shared" si="5"/>
        <v>0.13115079307052094</v>
      </c>
      <c r="H80" s="988">
        <v>2451643.4899999998</v>
      </c>
      <c r="I80" s="1101"/>
    </row>
    <row r="81" spans="1:9">
      <c r="A81" s="978" t="s">
        <v>106</v>
      </c>
      <c r="B81" s="990">
        <f>IF('6.2'!E79=0,"",'6.2'!E79)</f>
        <v>1634386900</v>
      </c>
      <c r="C81" s="988">
        <v>14040800</v>
      </c>
      <c r="D81" s="988">
        <v>7299703</v>
      </c>
      <c r="E81" s="990">
        <f t="shared" si="3"/>
        <v>21340503</v>
      </c>
      <c r="F81" s="990">
        <f t="shared" si="4"/>
        <v>1655727403</v>
      </c>
      <c r="G81" s="1009">
        <f t="shared" si="5"/>
        <v>1.288889883765486E-2</v>
      </c>
      <c r="H81" s="988">
        <v>137646.24434999999</v>
      </c>
      <c r="I81" s="1101"/>
    </row>
    <row r="82" spans="1:9">
      <c r="A82" s="978" t="s">
        <v>108</v>
      </c>
      <c r="B82" s="990">
        <f>IF('6.2'!E80=0,"",'6.2'!E80)</f>
        <v>4533434600</v>
      </c>
      <c r="C82" s="988">
        <v>229717200</v>
      </c>
      <c r="D82" s="988">
        <v>237281200</v>
      </c>
      <c r="E82" s="990">
        <f t="shared" si="3"/>
        <v>466998400</v>
      </c>
      <c r="F82" s="990">
        <f t="shared" si="4"/>
        <v>5000433000</v>
      </c>
      <c r="G82" s="1009">
        <f t="shared" si="5"/>
        <v>9.3391592288107853E-2</v>
      </c>
      <c r="H82" s="988">
        <v>1961393.2799999998</v>
      </c>
      <c r="I82" s="1101"/>
    </row>
    <row r="83" spans="1:9">
      <c r="A83" s="978" t="s">
        <v>110</v>
      </c>
      <c r="B83" s="990">
        <f>IF('6.2'!E81=0,"",'6.2'!E81)</f>
        <v>2281881900</v>
      </c>
      <c r="C83" s="988">
        <v>34122300</v>
      </c>
      <c r="D83" s="988">
        <v>78243800</v>
      </c>
      <c r="E83" s="990">
        <f t="shared" si="3"/>
        <v>112366100</v>
      </c>
      <c r="F83" s="990">
        <f t="shared" si="4"/>
        <v>2394248000</v>
      </c>
      <c r="G83" s="1009">
        <f t="shared" si="5"/>
        <v>4.6931687945442578E-2</v>
      </c>
      <c r="H83" s="988">
        <v>696669.82000000007</v>
      </c>
      <c r="I83" s="1101"/>
    </row>
    <row r="84" spans="1:9">
      <c r="A84" s="978" t="s">
        <v>112</v>
      </c>
      <c r="B84" s="990">
        <f>IF('6.2'!E82=0,"",'6.2'!E82)</f>
        <v>8775035200</v>
      </c>
      <c r="C84" s="988">
        <v>898147200</v>
      </c>
      <c r="D84" s="988">
        <v>3111880800</v>
      </c>
      <c r="E84" s="990">
        <f t="shared" si="3"/>
        <v>4010028000</v>
      </c>
      <c r="F84" s="990">
        <f t="shared" si="4"/>
        <v>12785063200</v>
      </c>
      <c r="G84" s="1009">
        <f t="shared" si="5"/>
        <v>0.31364944680132673</v>
      </c>
      <c r="H84" s="988">
        <v>35689249.200000003</v>
      </c>
      <c r="I84" s="1101"/>
    </row>
    <row r="85" spans="1:9" ht="15.75">
      <c r="A85" s="1239" t="s">
        <v>1012</v>
      </c>
      <c r="B85" s="998"/>
      <c r="C85" s="998"/>
      <c r="D85" s="998"/>
      <c r="E85" s="998"/>
      <c r="F85" s="998"/>
      <c r="G85" s="998"/>
      <c r="H85" s="998"/>
    </row>
    <row r="86" spans="1:9" ht="12.75">
      <c r="A86" s="1275" t="str">
        <f>A44</f>
        <v>Comparison of Tax Exempt Value to Total Fair Market Value (FMV) of Real Estate by Locality - Tax Year 2020</v>
      </c>
      <c r="B86" s="1275"/>
      <c r="C86" s="1275"/>
      <c r="D86" s="1275"/>
      <c r="E86" s="1275"/>
      <c r="F86" s="1275"/>
      <c r="G86" s="1275"/>
      <c r="H86" s="1275"/>
    </row>
    <row r="87" spans="1:9" ht="9" customHeight="1" thickBot="1">
      <c r="A87" s="981"/>
      <c r="B87" s="981"/>
      <c r="C87" s="981"/>
      <c r="D87" s="981"/>
      <c r="E87" s="981"/>
      <c r="F87" s="981"/>
      <c r="G87" s="981"/>
      <c r="H87" s="981"/>
    </row>
    <row r="88" spans="1:9" ht="13.5" customHeight="1">
      <c r="A88" s="1105"/>
      <c r="B88" s="1106"/>
      <c r="C88" s="1106"/>
      <c r="D88" s="1106"/>
      <c r="E88" s="1106"/>
      <c r="F88" s="1106" t="s">
        <v>988</v>
      </c>
      <c r="G88" s="1106" t="s">
        <v>1145</v>
      </c>
      <c r="H88" s="1106" t="s">
        <v>1002</v>
      </c>
    </row>
    <row r="89" spans="1:9" ht="12.75">
      <c r="A89" s="1107"/>
      <c r="B89" s="1108" t="s">
        <v>1003</v>
      </c>
      <c r="C89" s="1442" t="s">
        <v>1004</v>
      </c>
      <c r="D89" s="1442"/>
      <c r="E89" s="1442"/>
      <c r="F89" s="1108" t="s">
        <v>1005</v>
      </c>
      <c r="G89" s="1108" t="s">
        <v>374</v>
      </c>
      <c r="H89" s="1108" t="s">
        <v>1006</v>
      </c>
    </row>
    <row r="90" spans="1:9" ht="12.75">
      <c r="A90" s="1109" t="s">
        <v>23</v>
      </c>
      <c r="B90" s="1104" t="s">
        <v>1007</v>
      </c>
      <c r="C90" s="1104" t="s">
        <v>1008</v>
      </c>
      <c r="D90" s="1104" t="s">
        <v>1009</v>
      </c>
      <c r="E90" s="1104" t="s">
        <v>1010</v>
      </c>
      <c r="F90" s="1104" t="s">
        <v>1011</v>
      </c>
      <c r="G90" s="1104" t="s">
        <v>988</v>
      </c>
      <c r="H90" s="1104" t="s">
        <v>386</v>
      </c>
    </row>
    <row r="91" spans="1:9" ht="9" customHeight="1">
      <c r="B91" s="990"/>
      <c r="C91" s="990"/>
      <c r="D91" s="988"/>
      <c r="E91" s="990"/>
      <c r="F91" s="990"/>
      <c r="G91" s="1009"/>
      <c r="H91" s="990"/>
    </row>
    <row r="92" spans="1:9">
      <c r="A92" s="978" t="s">
        <v>114</v>
      </c>
      <c r="B92" s="1363">
        <f>IF('6.2'!E89=0,"",'6.2'!E89)</f>
        <v>2995774850</v>
      </c>
      <c r="C92" s="986">
        <v>89946900</v>
      </c>
      <c r="D92" s="986">
        <v>94814200</v>
      </c>
      <c r="E92" s="1363">
        <f t="shared" ref="E92:E126" si="6">IF(SUM(C92:D92)=0,"",SUM(C92:D92))</f>
        <v>184761100</v>
      </c>
      <c r="F92" s="1363">
        <f t="shared" ref="F92:F126" si="7">IFERROR(B92+E92,"")</f>
        <v>3180535950</v>
      </c>
      <c r="G92" s="1009">
        <f t="shared" ref="G92:G126" si="8">IFERROR(E92/F92,"")</f>
        <v>5.809118428609493E-2</v>
      </c>
      <c r="H92" s="986">
        <v>1330279.92</v>
      </c>
      <c r="I92" s="1101"/>
    </row>
    <row r="93" spans="1:9">
      <c r="A93" s="978" t="s">
        <v>475</v>
      </c>
      <c r="B93" s="990">
        <f>IF('6.2'!E90=0,"",'6.2'!E90)</f>
        <v>3447862953</v>
      </c>
      <c r="C93" s="988">
        <v>298915569</v>
      </c>
      <c r="D93" s="988">
        <v>158544500</v>
      </c>
      <c r="E93" s="990">
        <f t="shared" si="6"/>
        <v>457460069</v>
      </c>
      <c r="F93" s="990">
        <f t="shared" si="7"/>
        <v>3905323022</v>
      </c>
      <c r="G93" s="1009">
        <f t="shared" si="8"/>
        <v>0.11713757515651672</v>
      </c>
      <c r="H93" s="988">
        <v>3613934.5450999998</v>
      </c>
      <c r="I93" s="1101"/>
    </row>
    <row r="94" spans="1:9">
      <c r="A94" s="978" t="s">
        <v>118</v>
      </c>
      <c r="B94" s="990">
        <f>IF('6.2'!E91=0,"",'6.2'!E91)</f>
        <v>2052773049</v>
      </c>
      <c r="C94" s="988">
        <v>186481100</v>
      </c>
      <c r="D94" s="988">
        <v>363529900</v>
      </c>
      <c r="E94" s="990">
        <f t="shared" si="6"/>
        <v>550011000</v>
      </c>
      <c r="F94" s="990">
        <f t="shared" si="7"/>
        <v>2602784049</v>
      </c>
      <c r="G94" s="1009">
        <f t="shared" si="8"/>
        <v>0.21131641720768821</v>
      </c>
      <c r="H94" s="988">
        <v>4592591.8499999996</v>
      </c>
      <c r="I94" s="1101"/>
    </row>
    <row r="95" spans="1:9">
      <c r="A95" s="978" t="s">
        <v>120</v>
      </c>
      <c r="B95" s="990">
        <f>IF('6.2'!E92=0,"",'6.2'!E92)</f>
        <v>2945818700</v>
      </c>
      <c r="C95" s="988">
        <v>14741100</v>
      </c>
      <c r="D95" s="988">
        <v>75483500</v>
      </c>
      <c r="E95" s="990">
        <f t="shared" si="6"/>
        <v>90224600</v>
      </c>
      <c r="F95" s="990">
        <f t="shared" si="7"/>
        <v>3036043300</v>
      </c>
      <c r="G95" s="1009">
        <f t="shared" si="8"/>
        <v>2.9717823853171E-2</v>
      </c>
      <c r="H95" s="988">
        <v>532325.1399999999</v>
      </c>
      <c r="I95" s="1101"/>
    </row>
    <row r="96" spans="1:9">
      <c r="A96" s="978" t="s">
        <v>122</v>
      </c>
      <c r="B96" s="990">
        <f>IF('6.2'!E93=0,"",'6.2'!E93)</f>
        <v>980114262</v>
      </c>
      <c r="C96" s="988">
        <v>158503299</v>
      </c>
      <c r="D96" s="988">
        <v>79950345</v>
      </c>
      <c r="E96" s="990">
        <f t="shared" si="6"/>
        <v>238453644</v>
      </c>
      <c r="F96" s="990">
        <f t="shared" si="7"/>
        <v>1218567906</v>
      </c>
      <c r="G96" s="1009">
        <f t="shared" si="8"/>
        <v>0.19568350916341956</v>
      </c>
      <c r="H96" s="988">
        <v>1144577.4912</v>
      </c>
      <c r="I96" s="1101"/>
    </row>
    <row r="97" spans="1:9" ht="9" customHeight="1">
      <c r="B97" s="990" t="str">
        <f>IF('6.2'!E94=0,"",'6.2'!E94)</f>
        <v/>
      </c>
      <c r="C97" s="988"/>
      <c r="D97" s="988"/>
      <c r="E97" s="990" t="str">
        <f t="shared" si="6"/>
        <v/>
      </c>
      <c r="F97" s="990" t="str">
        <f t="shared" si="7"/>
        <v/>
      </c>
      <c r="G97" s="1009" t="str">
        <f t="shared" si="8"/>
        <v/>
      </c>
      <c r="H97" s="988"/>
      <c r="I97" s="1101"/>
    </row>
    <row r="98" spans="1:9">
      <c r="A98" s="978" t="s">
        <v>124</v>
      </c>
      <c r="B98" s="990">
        <f>IF('6.2'!E95=0,"",'6.2'!E95)</f>
        <v>4959432400</v>
      </c>
      <c r="C98" s="988">
        <v>368885100</v>
      </c>
      <c r="D98" s="988">
        <v>112629900</v>
      </c>
      <c r="E98" s="990">
        <f t="shared" si="6"/>
        <v>481515000</v>
      </c>
      <c r="F98" s="990">
        <f t="shared" si="7"/>
        <v>5440947400</v>
      </c>
      <c r="G98" s="1009">
        <f t="shared" si="8"/>
        <v>8.8498374382373193E-2</v>
      </c>
      <c r="H98" s="988">
        <v>3466908</v>
      </c>
      <c r="I98" s="1101"/>
    </row>
    <row r="99" spans="1:9">
      <c r="A99" s="978" t="s">
        <v>126</v>
      </c>
      <c r="B99" s="990">
        <f>IF('6.2'!E96=0,"",'6.2'!E96)</f>
        <v>2534063500</v>
      </c>
      <c r="C99" s="988">
        <v>256270600</v>
      </c>
      <c r="D99" s="988">
        <v>199825500</v>
      </c>
      <c r="E99" s="990">
        <f t="shared" si="6"/>
        <v>456096100</v>
      </c>
      <c r="F99" s="990">
        <f t="shared" si="7"/>
        <v>2990159600</v>
      </c>
      <c r="G99" s="1009">
        <f t="shared" si="8"/>
        <v>0.15253235981116192</v>
      </c>
      <c r="H99" s="988">
        <v>3329501.53</v>
      </c>
      <c r="I99" s="1101"/>
    </row>
    <row r="100" spans="1:9">
      <c r="A100" s="978" t="s">
        <v>127</v>
      </c>
      <c r="B100" s="990">
        <f>IF('6.2'!E97=0,"",'6.2'!E97)</f>
        <v>1588613000</v>
      </c>
      <c r="C100" s="988">
        <v>45312600</v>
      </c>
      <c r="D100" s="988">
        <v>109915600</v>
      </c>
      <c r="E100" s="990">
        <f t="shared" si="6"/>
        <v>155228200</v>
      </c>
      <c r="F100" s="990">
        <f t="shared" si="7"/>
        <v>1743841200</v>
      </c>
      <c r="G100" s="1009">
        <f t="shared" si="8"/>
        <v>8.901510068692034E-2</v>
      </c>
      <c r="H100" s="988">
        <v>1055551.7600000002</v>
      </c>
      <c r="I100" s="1101"/>
    </row>
    <row r="101" spans="1:9">
      <c r="A101" s="978" t="s">
        <v>129</v>
      </c>
      <c r="B101" s="990">
        <f>IF('6.2'!E98=0,"",'6.2'!E98)</f>
        <v>4874940500</v>
      </c>
      <c r="C101" s="988">
        <v>168579100</v>
      </c>
      <c r="D101" s="988">
        <v>443459400</v>
      </c>
      <c r="E101" s="990">
        <f t="shared" si="6"/>
        <v>612038500</v>
      </c>
      <c r="F101" s="990">
        <f t="shared" si="7"/>
        <v>5486979000</v>
      </c>
      <c r="G101" s="1009">
        <f t="shared" si="8"/>
        <v>0.11154380215415441</v>
      </c>
      <c r="H101" s="988">
        <v>3794638.6999999997</v>
      </c>
      <c r="I101" s="1101"/>
    </row>
    <row r="102" spans="1:9">
      <c r="A102" s="978" t="s">
        <v>131</v>
      </c>
      <c r="B102" s="990">
        <f>IF('6.2'!E99=0,"",'6.2'!E99)</f>
        <v>3854983400</v>
      </c>
      <c r="C102" s="988">
        <v>124691900</v>
      </c>
      <c r="D102" s="988">
        <v>173339300</v>
      </c>
      <c r="E102" s="990">
        <f t="shared" si="6"/>
        <v>298031200</v>
      </c>
      <c r="F102" s="990">
        <f t="shared" si="7"/>
        <v>4153014600</v>
      </c>
      <c r="G102" s="1009">
        <f t="shared" si="8"/>
        <v>7.176261793059914E-2</v>
      </c>
      <c r="H102" s="988">
        <v>2622674.56</v>
      </c>
      <c r="I102" s="1101"/>
    </row>
    <row r="103" spans="1:9" ht="6" customHeight="1">
      <c r="B103" s="990" t="str">
        <f>IF('6.2'!E100=0,"",'6.2'!E100)</f>
        <v/>
      </c>
      <c r="C103" s="990"/>
      <c r="D103" s="988"/>
      <c r="E103" s="990" t="str">
        <f t="shared" si="6"/>
        <v/>
      </c>
      <c r="F103" s="990" t="str">
        <f t="shared" si="7"/>
        <v/>
      </c>
      <c r="G103" s="1009" t="str">
        <f t="shared" si="8"/>
        <v/>
      </c>
      <c r="H103" s="990"/>
      <c r="I103" s="1101"/>
    </row>
    <row r="104" spans="1:9">
      <c r="A104" s="978" t="s">
        <v>132</v>
      </c>
      <c r="B104" s="990">
        <f>IF('6.2'!E101=0,"",'6.2'!E101)</f>
        <v>1560582014</v>
      </c>
      <c r="C104" s="988">
        <v>89637700</v>
      </c>
      <c r="D104" s="988">
        <v>338494200</v>
      </c>
      <c r="E104" s="990">
        <f t="shared" si="6"/>
        <v>428131900</v>
      </c>
      <c r="F104" s="990">
        <f t="shared" si="7"/>
        <v>1988713914</v>
      </c>
      <c r="G104" s="1009">
        <f t="shared" si="8"/>
        <v>0.21528078874797876</v>
      </c>
      <c r="H104" s="988">
        <v>2183472.69</v>
      </c>
      <c r="I104" s="1101"/>
    </row>
    <row r="105" spans="1:9">
      <c r="A105" s="978" t="s">
        <v>134</v>
      </c>
      <c r="B105" s="990">
        <f>IF('6.2'!E102=0,"",'6.2'!E102)</f>
        <v>3001941606</v>
      </c>
      <c r="C105" s="988">
        <v>2522070700</v>
      </c>
      <c r="D105" s="988">
        <v>114317200</v>
      </c>
      <c r="E105" s="990">
        <f t="shared" si="6"/>
        <v>2636387900</v>
      </c>
      <c r="F105" s="990">
        <f t="shared" si="7"/>
        <v>5638329506</v>
      </c>
      <c r="G105" s="1009">
        <f t="shared" si="8"/>
        <v>0.4675831551161565</v>
      </c>
      <c r="H105" s="988">
        <v>22672935.940000001</v>
      </c>
      <c r="I105" s="1101"/>
    </row>
    <row r="106" spans="1:9">
      <c r="A106" s="978" t="s">
        <v>136</v>
      </c>
      <c r="B106" s="990">
        <f>IF('6.2'!E103=0,"",'6.2'!E103)</f>
        <v>65843955300</v>
      </c>
      <c r="C106" s="988">
        <v>2876137900</v>
      </c>
      <c r="D106" s="988">
        <v>1963512800</v>
      </c>
      <c r="E106" s="990">
        <f t="shared" si="6"/>
        <v>4839650700</v>
      </c>
      <c r="F106" s="990">
        <f t="shared" si="7"/>
        <v>70683606000</v>
      </c>
      <c r="G106" s="1009">
        <f t="shared" si="8"/>
        <v>6.8469210526695537E-2</v>
      </c>
      <c r="H106" s="988">
        <v>54446070.375</v>
      </c>
      <c r="I106" s="1101"/>
    </row>
    <row r="107" spans="1:9">
      <c r="A107" s="978" t="s">
        <v>138</v>
      </c>
      <c r="B107" s="990">
        <f>IF('6.2'!E104=0,"",'6.2'!E104)</f>
        <v>2763058950</v>
      </c>
      <c r="C107" s="988">
        <v>543832500</v>
      </c>
      <c r="D107" s="988">
        <v>95961300</v>
      </c>
      <c r="E107" s="990">
        <f t="shared" si="6"/>
        <v>639793800</v>
      </c>
      <c r="F107" s="990">
        <f t="shared" si="7"/>
        <v>3402852750</v>
      </c>
      <c r="G107" s="1009">
        <f t="shared" si="8"/>
        <v>0.18801689259107671</v>
      </c>
      <c r="H107" s="988">
        <v>4926412.26</v>
      </c>
      <c r="I107" s="1101"/>
    </row>
    <row r="108" spans="1:9">
      <c r="A108" s="978" t="s">
        <v>140</v>
      </c>
      <c r="B108" s="990">
        <f>IF('6.2'!E105=0,"",'6.2'!E105)</f>
        <v>2175920500</v>
      </c>
      <c r="C108" s="988">
        <v>111095400</v>
      </c>
      <c r="D108" s="988">
        <v>31360000</v>
      </c>
      <c r="E108" s="990">
        <f t="shared" si="6"/>
        <v>142455400</v>
      </c>
      <c r="F108" s="990">
        <f t="shared" si="7"/>
        <v>2318375900</v>
      </c>
      <c r="G108" s="1009">
        <f t="shared" si="8"/>
        <v>6.1446204646968594E-2</v>
      </c>
      <c r="H108" s="988">
        <v>954451.18</v>
      </c>
      <c r="I108" s="1101"/>
    </row>
    <row r="109" spans="1:9" ht="6" customHeight="1">
      <c r="B109" s="990" t="str">
        <f>IF('6.2'!E106=0,"",'6.2'!E106)</f>
        <v/>
      </c>
      <c r="C109" s="988"/>
      <c r="D109" s="988"/>
      <c r="E109" s="990" t="str">
        <f t="shared" si="6"/>
        <v/>
      </c>
      <c r="F109" s="990" t="str">
        <f t="shared" si="7"/>
        <v/>
      </c>
      <c r="G109" s="1009" t="str">
        <f t="shared" si="8"/>
        <v/>
      </c>
      <c r="H109" s="988"/>
      <c r="I109" s="1101"/>
    </row>
    <row r="110" spans="1:9">
      <c r="A110" s="978" t="s">
        <v>142</v>
      </c>
      <c r="B110" s="990">
        <f>IF('6.2'!E107=0,"",'6.2'!E107)</f>
        <v>894356111</v>
      </c>
      <c r="C110" s="988">
        <v>73278696</v>
      </c>
      <c r="D110" s="988">
        <v>55156083</v>
      </c>
      <c r="E110" s="990">
        <f t="shared" si="6"/>
        <v>128434779</v>
      </c>
      <c r="F110" s="990">
        <f t="shared" si="7"/>
        <v>1022790890</v>
      </c>
      <c r="G110" s="1009">
        <f t="shared" si="8"/>
        <v>0.12557286172151963</v>
      </c>
      <c r="H110" s="988">
        <v>899043.45299999986</v>
      </c>
      <c r="I110" s="1101"/>
    </row>
    <row r="111" spans="1:9">
      <c r="A111" s="978" t="s">
        <v>27</v>
      </c>
      <c r="B111" s="990">
        <f>IF('6.2'!E108=0,"",'6.2'!E108)</f>
        <v>9157469600</v>
      </c>
      <c r="C111" s="988">
        <v>675596700</v>
      </c>
      <c r="D111" s="988">
        <v>455605300</v>
      </c>
      <c r="E111" s="990">
        <f t="shared" si="6"/>
        <v>1131202000</v>
      </c>
      <c r="F111" s="990">
        <f t="shared" si="7"/>
        <v>10288671600</v>
      </c>
      <c r="G111" s="1009">
        <f t="shared" si="8"/>
        <v>0.10994636081104969</v>
      </c>
      <c r="H111" s="988">
        <v>12330101.800000001</v>
      </c>
      <c r="I111" s="1101"/>
    </row>
    <row r="112" spans="1:9">
      <c r="A112" s="978" t="s">
        <v>144</v>
      </c>
      <c r="B112" s="990">
        <f>IF('6.2'!E109=0,"",'6.2'!E109)</f>
        <v>3106512516</v>
      </c>
      <c r="C112" s="988">
        <v>213461100</v>
      </c>
      <c r="D112" s="988">
        <v>191677000</v>
      </c>
      <c r="E112" s="990">
        <f t="shared" si="6"/>
        <v>405138100</v>
      </c>
      <c r="F112" s="990">
        <f t="shared" si="7"/>
        <v>3511650616</v>
      </c>
      <c r="G112" s="1009">
        <f t="shared" si="8"/>
        <v>0.11536970624414761</v>
      </c>
      <c r="H112" s="988">
        <v>2998021.94</v>
      </c>
      <c r="I112" s="1101"/>
    </row>
    <row r="113" spans="1:9">
      <c r="A113" s="978" t="s">
        <v>145</v>
      </c>
      <c r="B113" s="990">
        <f>IF('6.2'!E110=0,"",'6.2'!E110)</f>
        <v>9267920700</v>
      </c>
      <c r="C113" s="988">
        <v>330784300</v>
      </c>
      <c r="D113" s="988">
        <v>857205200</v>
      </c>
      <c r="E113" s="990">
        <f t="shared" si="6"/>
        <v>1187989500</v>
      </c>
      <c r="F113" s="990">
        <f t="shared" si="7"/>
        <v>10455910200</v>
      </c>
      <c r="G113" s="1009">
        <f t="shared" si="8"/>
        <v>0.11361894634481463</v>
      </c>
      <c r="H113" s="988">
        <v>8791122.2999999989</v>
      </c>
      <c r="I113" s="1101"/>
    </row>
    <row r="114" spans="1:9">
      <c r="A114" s="980" t="s">
        <v>147</v>
      </c>
      <c r="B114" s="1364">
        <f>IF('6.2'!E111=0,"",'6.2'!E111)</f>
        <v>1601523666</v>
      </c>
      <c r="C114" s="988">
        <v>130896560</v>
      </c>
      <c r="D114" s="988">
        <v>101803700</v>
      </c>
      <c r="E114" s="1364">
        <f t="shared" si="6"/>
        <v>232700260</v>
      </c>
      <c r="F114" s="1364">
        <f t="shared" si="7"/>
        <v>1834223926</v>
      </c>
      <c r="G114" s="1365">
        <f t="shared" si="8"/>
        <v>0.1268657859607486</v>
      </c>
      <c r="H114" s="988">
        <v>1466011.6380000003</v>
      </c>
      <c r="I114" s="1101"/>
    </row>
    <row r="115" spans="1:9" ht="8.25" customHeight="1">
      <c r="B115" s="978" t="str">
        <f>IF('6.2'!E112=0,"",'6.2'!E112)</f>
        <v/>
      </c>
      <c r="E115" s="978" t="str">
        <f t="shared" si="6"/>
        <v/>
      </c>
      <c r="F115" s="978" t="str">
        <f t="shared" si="7"/>
        <v/>
      </c>
      <c r="G115" s="978" t="str">
        <f t="shared" si="8"/>
        <v/>
      </c>
      <c r="I115" s="1101"/>
    </row>
    <row r="116" spans="1:9">
      <c r="A116" s="978" t="s">
        <v>149</v>
      </c>
      <c r="B116" s="988">
        <f>IF('6.2'!E113=0,"",'6.2'!E113)</f>
        <v>1241987300</v>
      </c>
      <c r="C116" s="988">
        <v>129833543</v>
      </c>
      <c r="D116" s="988">
        <v>162744500</v>
      </c>
      <c r="E116" s="988">
        <f t="shared" si="6"/>
        <v>292578043</v>
      </c>
      <c r="F116" s="1097">
        <f t="shared" si="7"/>
        <v>1534565343</v>
      </c>
      <c r="G116" s="1366">
        <f t="shared" si="8"/>
        <v>0.19065857595091015</v>
      </c>
      <c r="H116" s="988">
        <v>2340624.344</v>
      </c>
      <c r="I116" s="1101"/>
    </row>
    <row r="117" spans="1:9">
      <c r="A117" s="978" t="s">
        <v>151</v>
      </c>
      <c r="B117" s="990">
        <f>IF('6.2'!E114=0,"",'6.2'!E114)</f>
        <v>5061658135</v>
      </c>
      <c r="C117" s="988">
        <v>604366300</v>
      </c>
      <c r="D117" s="988">
        <v>211710800</v>
      </c>
      <c r="E117" s="990">
        <f t="shared" si="6"/>
        <v>816077100</v>
      </c>
      <c r="F117" s="990">
        <f t="shared" si="7"/>
        <v>5877735235</v>
      </c>
      <c r="G117" s="1009">
        <f t="shared" si="8"/>
        <v>0.13884209944342618</v>
      </c>
      <c r="H117" s="988">
        <v>5222893.4400000004</v>
      </c>
      <c r="I117" s="1101"/>
    </row>
    <row r="118" spans="1:9">
      <c r="A118" s="978" t="s">
        <v>153</v>
      </c>
      <c r="B118" s="990">
        <f>IF('6.2'!E115=0,"",'6.2'!E115)</f>
        <v>1707893500</v>
      </c>
      <c r="C118" s="988">
        <v>146852600</v>
      </c>
      <c r="D118" s="988">
        <v>207066800</v>
      </c>
      <c r="E118" s="990">
        <f t="shared" si="6"/>
        <v>353919400</v>
      </c>
      <c r="F118" s="990">
        <f t="shared" si="7"/>
        <v>2061812900</v>
      </c>
      <c r="G118" s="1009">
        <f t="shared" si="8"/>
        <v>0.17165446971449252</v>
      </c>
      <c r="H118" s="988">
        <v>2619003.56</v>
      </c>
      <c r="I118" s="1101"/>
    </row>
    <row r="119" spans="1:9">
      <c r="A119" s="978" t="s">
        <v>155</v>
      </c>
      <c r="B119" s="990">
        <f>IF('6.2'!E116=0,"",'6.2'!E116)</f>
        <v>1831352600</v>
      </c>
      <c r="C119" s="988">
        <v>163753900</v>
      </c>
      <c r="D119" s="988">
        <v>154903400</v>
      </c>
      <c r="E119" s="990">
        <f t="shared" si="6"/>
        <v>318657300</v>
      </c>
      <c r="F119" s="990">
        <f t="shared" si="7"/>
        <v>2150009900</v>
      </c>
      <c r="G119" s="1009">
        <f t="shared" si="8"/>
        <v>0.14821201520979044</v>
      </c>
      <c r="H119" s="988">
        <v>2836049.9699999997</v>
      </c>
      <c r="I119" s="1101"/>
    </row>
    <row r="120" spans="1:9">
      <c r="A120" s="978" t="s">
        <v>157</v>
      </c>
      <c r="B120" s="990">
        <f>IF('6.2'!E117=0,"",'6.2'!E117)</f>
        <v>17043131200</v>
      </c>
      <c r="C120" s="988">
        <v>701570400</v>
      </c>
      <c r="D120" s="988">
        <v>205899400</v>
      </c>
      <c r="E120" s="990">
        <f t="shared" si="6"/>
        <v>907469800</v>
      </c>
      <c r="F120" s="990">
        <f t="shared" si="7"/>
        <v>17950601000</v>
      </c>
      <c r="G120" s="1009">
        <f t="shared" si="8"/>
        <v>5.0553727978244291E-2</v>
      </c>
      <c r="H120" s="988">
        <v>7345060.5611999994</v>
      </c>
      <c r="I120" s="1101"/>
    </row>
    <row r="121" spans="1:9" ht="9" customHeight="1">
      <c r="B121" s="990" t="str">
        <f>IF('6.2'!E118=0,"",'6.2'!E118)</f>
        <v/>
      </c>
      <c r="C121" s="988"/>
      <c r="D121" s="988"/>
      <c r="E121" s="990" t="str">
        <f t="shared" si="6"/>
        <v/>
      </c>
      <c r="F121" s="990" t="str">
        <f t="shared" si="7"/>
        <v/>
      </c>
      <c r="G121" s="1009" t="str">
        <f t="shared" si="8"/>
        <v/>
      </c>
      <c r="H121" s="988"/>
      <c r="I121" s="1101"/>
    </row>
    <row r="122" spans="1:9">
      <c r="A122" s="978" t="s">
        <v>159</v>
      </c>
      <c r="B122" s="990">
        <f>IF('6.2'!E119=0,"",'6.2'!E119)</f>
        <v>19020060300</v>
      </c>
      <c r="C122" s="988">
        <v>1031851600</v>
      </c>
      <c r="D122" s="988">
        <v>929695700</v>
      </c>
      <c r="E122" s="990">
        <f t="shared" si="6"/>
        <v>1961547300</v>
      </c>
      <c r="F122" s="990">
        <f t="shared" si="7"/>
        <v>20981607600</v>
      </c>
      <c r="G122" s="1009">
        <f t="shared" si="8"/>
        <v>9.3488894530655509E-2</v>
      </c>
      <c r="H122" s="988">
        <v>19027008.809999999</v>
      </c>
      <c r="I122" s="1101"/>
    </row>
    <row r="123" spans="1:9">
      <c r="A123" s="978" t="s">
        <v>161</v>
      </c>
      <c r="B123" s="990">
        <f>IF('6.2'!E120=0,"",'6.2'!E120)</f>
        <v>960993500</v>
      </c>
      <c r="C123" s="988">
        <v>58923600</v>
      </c>
      <c r="D123" s="988">
        <v>63625300</v>
      </c>
      <c r="E123" s="990">
        <f t="shared" si="6"/>
        <v>122548900</v>
      </c>
      <c r="F123" s="990">
        <f t="shared" si="7"/>
        <v>1083542400</v>
      </c>
      <c r="G123" s="1009">
        <f t="shared" si="8"/>
        <v>0.11310023493312306</v>
      </c>
      <c r="H123" s="988">
        <v>870097.19</v>
      </c>
      <c r="I123" s="1101"/>
    </row>
    <row r="124" spans="1:9" ht="12" customHeight="1">
      <c r="A124" s="978" t="s">
        <v>163</v>
      </c>
      <c r="B124" s="990">
        <f>IF('6.2'!E121=0,"",'6.2'!E121)</f>
        <v>898110922</v>
      </c>
      <c r="C124" s="988">
        <v>216486800</v>
      </c>
      <c r="D124" s="988">
        <v>72789300</v>
      </c>
      <c r="E124" s="990">
        <f t="shared" si="6"/>
        <v>289276100</v>
      </c>
      <c r="F124" s="990">
        <f t="shared" si="7"/>
        <v>1187387022</v>
      </c>
      <c r="G124" s="1009">
        <f t="shared" si="8"/>
        <v>0.24362410455922939</v>
      </c>
      <c r="H124" s="988">
        <v>1677801.38</v>
      </c>
      <c r="I124" s="1101"/>
    </row>
    <row r="125" spans="1:9">
      <c r="A125" s="978" t="s">
        <v>165</v>
      </c>
      <c r="B125" s="990">
        <f>IF('6.2'!E122=0,"",'6.2'!E122)</f>
        <v>2748032200</v>
      </c>
      <c r="C125" s="988">
        <v>329812300</v>
      </c>
      <c r="D125" s="988">
        <v>215053800</v>
      </c>
      <c r="E125" s="990">
        <f t="shared" si="6"/>
        <v>544866100</v>
      </c>
      <c r="F125" s="990">
        <f t="shared" si="7"/>
        <v>3292898300</v>
      </c>
      <c r="G125" s="1009">
        <f t="shared" si="8"/>
        <v>0.16546702945548</v>
      </c>
      <c r="H125" s="988">
        <v>3160223.38</v>
      </c>
      <c r="I125" s="1101"/>
    </row>
    <row r="126" spans="1:9">
      <c r="A126" s="978" t="s">
        <v>167</v>
      </c>
      <c r="B126" s="990">
        <f>IF('6.2'!E123=0,"",'6.2'!E123)</f>
        <v>5029349600</v>
      </c>
      <c r="C126" s="988">
        <v>410589300</v>
      </c>
      <c r="D126" s="988">
        <v>452054400</v>
      </c>
      <c r="E126" s="990">
        <f t="shared" si="6"/>
        <v>862643700</v>
      </c>
      <c r="F126" s="990">
        <f t="shared" si="7"/>
        <v>5891993300</v>
      </c>
      <c r="G126" s="1009">
        <f t="shared" si="8"/>
        <v>0.14640948420630417</v>
      </c>
      <c r="H126" s="988">
        <v>5650316.2350000003</v>
      </c>
      <c r="I126" s="1101"/>
    </row>
    <row r="127" spans="1:9" ht="15.75">
      <c r="A127" s="1239" t="s">
        <v>1012</v>
      </c>
      <c r="B127" s="998"/>
      <c r="C127" s="998"/>
      <c r="D127" s="998"/>
      <c r="E127" s="998"/>
      <c r="F127" s="998"/>
      <c r="G127" s="998"/>
      <c r="H127" s="998"/>
    </row>
    <row r="128" spans="1:9" ht="12.75">
      <c r="A128" s="1275" t="str">
        <f>A86</f>
        <v>Comparison of Tax Exempt Value to Total Fair Market Value (FMV) of Real Estate by Locality - Tax Year 2020</v>
      </c>
      <c r="B128" s="1275"/>
      <c r="C128" s="1275"/>
      <c r="D128" s="1275"/>
      <c r="E128" s="1275"/>
      <c r="F128" s="1275"/>
      <c r="G128" s="1275"/>
      <c r="H128" s="1275"/>
    </row>
    <row r="129" spans="1:9" ht="9" customHeight="1" thickBot="1">
      <c r="A129" s="981"/>
      <c r="B129" s="981"/>
      <c r="C129" s="981"/>
      <c r="D129" s="981"/>
      <c r="E129" s="981"/>
      <c r="F129" s="981"/>
      <c r="G129" s="981"/>
      <c r="H129" s="981"/>
    </row>
    <row r="130" spans="1:9" ht="12" customHeight="1">
      <c r="A130" s="1105"/>
      <c r="B130" s="1106"/>
      <c r="C130" s="1106"/>
      <c r="D130" s="1106"/>
      <c r="E130" s="1106"/>
      <c r="F130" s="1106" t="s">
        <v>988</v>
      </c>
      <c r="G130" s="1106" t="s">
        <v>1145</v>
      </c>
      <c r="H130" s="1106" t="s">
        <v>1002</v>
      </c>
    </row>
    <row r="131" spans="1:9" ht="12.75">
      <c r="A131" s="1107"/>
      <c r="B131" s="1108" t="s">
        <v>1003</v>
      </c>
      <c r="C131" s="1442" t="s">
        <v>1004</v>
      </c>
      <c r="D131" s="1442"/>
      <c r="E131" s="1442"/>
      <c r="F131" s="1108" t="s">
        <v>1005</v>
      </c>
      <c r="G131" s="1108" t="s">
        <v>374</v>
      </c>
      <c r="H131" s="1108" t="s">
        <v>1006</v>
      </c>
    </row>
    <row r="132" spans="1:9" ht="12.75">
      <c r="A132" s="1109" t="s">
        <v>23</v>
      </c>
      <c r="B132" s="1104" t="s">
        <v>1007</v>
      </c>
      <c r="C132" s="1104" t="s">
        <v>1008</v>
      </c>
      <c r="D132" s="1104" t="s">
        <v>1009</v>
      </c>
      <c r="E132" s="1104" t="s">
        <v>1010</v>
      </c>
      <c r="F132" s="1104" t="s">
        <v>1011</v>
      </c>
      <c r="G132" s="1104" t="s">
        <v>988</v>
      </c>
      <c r="H132" s="1104" t="s">
        <v>386</v>
      </c>
    </row>
    <row r="133" spans="1:9" ht="9" customHeight="1">
      <c r="B133" s="990"/>
      <c r="C133" s="988"/>
      <c r="D133" s="988"/>
      <c r="E133" s="990"/>
      <c r="F133" s="990"/>
      <c r="G133" s="1009"/>
      <c r="H133" s="988"/>
    </row>
    <row r="134" spans="1:9">
      <c r="A134" s="978" t="s">
        <v>169</v>
      </c>
      <c r="B134" s="1363">
        <f>IF('6.2'!E130=0,"",'6.2'!E130)</f>
        <v>4876210724</v>
      </c>
      <c r="C134" s="986">
        <v>274671500</v>
      </c>
      <c r="D134" s="986">
        <v>515954800</v>
      </c>
      <c r="E134" s="1363">
        <f t="shared" ref="E134:E138" si="9">IF(SUM(C134:D134)=0,"",SUM(C134:D134))</f>
        <v>790626300</v>
      </c>
      <c r="F134" s="1363">
        <f t="shared" ref="F134:F138" si="10">IFERROR(B134+E134,"")</f>
        <v>5666837024</v>
      </c>
      <c r="G134" s="1009">
        <f t="shared" ref="G134:G138" si="11">IFERROR(E134/F134,"")</f>
        <v>0.13951809389463041</v>
      </c>
      <c r="H134" s="986">
        <v>4980945.6900000004</v>
      </c>
      <c r="I134" s="1101"/>
    </row>
    <row r="135" spans="1:9">
      <c r="A135" s="978" t="s">
        <v>1122</v>
      </c>
      <c r="B135" s="990">
        <f>IF('6.2'!E131=0,"",'6.2'!E131)</f>
        <v>2647085400</v>
      </c>
      <c r="C135" s="988">
        <v>67034800</v>
      </c>
      <c r="D135" s="988">
        <v>67902300</v>
      </c>
      <c r="E135" s="990">
        <f t="shared" si="9"/>
        <v>134937100</v>
      </c>
      <c r="F135" s="990">
        <f t="shared" si="10"/>
        <v>2782022500</v>
      </c>
      <c r="G135" s="1009">
        <f t="shared" si="11"/>
        <v>4.8503238201703977E-2</v>
      </c>
      <c r="H135" s="988">
        <v>840948.91999999993</v>
      </c>
      <c r="I135" s="1101"/>
    </row>
    <row r="136" spans="1:9">
      <c r="A136" s="978" t="s">
        <v>173</v>
      </c>
      <c r="B136" s="990">
        <f>IF('6.2'!E132=0,"",'6.2'!E132)</f>
        <v>1864850616</v>
      </c>
      <c r="C136" s="988">
        <v>462115300</v>
      </c>
      <c r="D136" s="988">
        <v>523267300</v>
      </c>
      <c r="E136" s="990">
        <f t="shared" si="9"/>
        <v>985382600</v>
      </c>
      <c r="F136" s="990">
        <f t="shared" si="10"/>
        <v>2850233216</v>
      </c>
      <c r="G136" s="1009">
        <f t="shared" si="11"/>
        <v>0.34571999037428941</v>
      </c>
      <c r="H136" s="988">
        <v>6799139.9399999995</v>
      </c>
      <c r="I136" s="1101"/>
    </row>
    <row r="137" spans="1:9">
      <c r="A137" s="978" t="s">
        <v>175</v>
      </c>
      <c r="B137" s="990">
        <f>IF('6.2'!E133=0,"",'6.2'!E133)</f>
        <v>2617098000</v>
      </c>
      <c r="C137" s="988">
        <v>236401800</v>
      </c>
      <c r="D137" s="988">
        <v>155273700</v>
      </c>
      <c r="E137" s="990">
        <f t="shared" si="9"/>
        <v>391675500</v>
      </c>
      <c r="F137" s="990">
        <f t="shared" si="10"/>
        <v>3008773500</v>
      </c>
      <c r="G137" s="1009">
        <f t="shared" si="11"/>
        <v>0.13017779503841018</v>
      </c>
      <c r="H137" s="988">
        <v>2115047.7000000002</v>
      </c>
      <c r="I137" s="1101"/>
    </row>
    <row r="138" spans="1:9">
      <c r="A138" s="978" t="s">
        <v>177</v>
      </c>
      <c r="B138" s="990">
        <f>IF('6.2'!E134=0,"",'6.2'!E134)</f>
        <v>9559129449</v>
      </c>
      <c r="C138" s="988">
        <v>4655289400</v>
      </c>
      <c r="D138" s="988">
        <v>521394600</v>
      </c>
      <c r="E138" s="990">
        <f t="shared" si="9"/>
        <v>5176684000</v>
      </c>
      <c r="F138" s="990">
        <f t="shared" si="10"/>
        <v>14735813449</v>
      </c>
      <c r="G138" s="1009">
        <f t="shared" si="11"/>
        <v>0.35129950700830159</v>
      </c>
      <c r="H138" s="988">
        <v>41154637.800000004</v>
      </c>
      <c r="I138" s="1101"/>
    </row>
    <row r="139" spans="1:9" ht="8.25" customHeight="1">
      <c r="B139" s="986"/>
      <c r="C139" s="986"/>
      <c r="D139" s="986"/>
      <c r="E139" s="986"/>
      <c r="F139" s="986"/>
      <c r="G139" s="986"/>
      <c r="H139" s="986"/>
    </row>
    <row r="140" spans="1:9" ht="12.75" customHeight="1">
      <c r="A140" s="1002" t="s">
        <v>24</v>
      </c>
      <c r="B140" s="1003">
        <f>SUM(B8:B60,B62:B114,B116:B138)</f>
        <v>947869581524</v>
      </c>
      <c r="C140" s="1003">
        <f>SUM(C8:C60,C62:C114,C116:C138)</f>
        <v>67418123233</v>
      </c>
      <c r="D140" s="1003">
        <f>SUM(D8:D60,D62:D114,D116:D138)</f>
        <v>33930384735</v>
      </c>
      <c r="E140" s="1003">
        <f>SUM(E8:E60,E62:E114,E116:E138)</f>
        <v>101348507968</v>
      </c>
      <c r="F140" s="1003">
        <f>SUM(F8:F60,F62:F114,F116:F138)</f>
        <v>1049218089492</v>
      </c>
      <c r="G140" s="1103">
        <f>E140/F140</f>
        <v>9.6594320077982937E-2</v>
      </c>
      <c r="H140" s="1003">
        <f>SUM(H8:H60,H62:H114,H116:H138)</f>
        <v>823259790.37198591</v>
      </c>
    </row>
    <row r="141" spans="1:9" ht="7.5" customHeight="1">
      <c r="A141" s="1011"/>
      <c r="B141" s="1012"/>
      <c r="C141" s="1012"/>
      <c r="D141" s="1012"/>
      <c r="E141" s="1012"/>
      <c r="F141" s="1012"/>
      <c r="G141" s="1013"/>
      <c r="H141" s="1012"/>
    </row>
    <row r="142" spans="1:9" ht="9" customHeight="1" thickBot="1">
      <c r="A142" s="1014"/>
      <c r="B142" s="1014"/>
      <c r="C142" s="1014"/>
      <c r="D142" s="1014"/>
      <c r="E142" s="1014"/>
      <c r="F142" s="1014"/>
      <c r="G142" s="1014"/>
      <c r="H142" s="1014"/>
    </row>
    <row r="143" spans="1:9" ht="14.25" customHeight="1">
      <c r="A143" s="1105"/>
      <c r="B143" s="1106"/>
      <c r="C143" s="1106"/>
      <c r="D143" s="1106"/>
      <c r="E143" s="1106"/>
      <c r="F143" s="1106" t="s">
        <v>988</v>
      </c>
      <c r="G143" s="1106" t="s">
        <v>1145</v>
      </c>
      <c r="H143" s="1106" t="s">
        <v>1002</v>
      </c>
    </row>
    <row r="144" spans="1:9" ht="12.75" customHeight="1">
      <c r="A144" s="1107"/>
      <c r="B144" s="1108" t="s">
        <v>1003</v>
      </c>
      <c r="C144" s="1442" t="s">
        <v>1004</v>
      </c>
      <c r="D144" s="1442"/>
      <c r="E144" s="1442"/>
      <c r="F144" s="1108" t="s">
        <v>1005</v>
      </c>
      <c r="G144" s="1108" t="s">
        <v>374</v>
      </c>
      <c r="H144" s="1108" t="s">
        <v>1006</v>
      </c>
    </row>
    <row r="145" spans="1:9" ht="12.75">
      <c r="A145" s="1109" t="s">
        <v>23</v>
      </c>
      <c r="B145" s="1104" t="s">
        <v>1007</v>
      </c>
      <c r="C145" s="1104" t="s">
        <v>1008</v>
      </c>
      <c r="D145" s="1104" t="s">
        <v>1009</v>
      </c>
      <c r="E145" s="1104" t="s">
        <v>1010</v>
      </c>
      <c r="F145" s="1104" t="s">
        <v>1011</v>
      </c>
      <c r="G145" s="1104" t="s">
        <v>988</v>
      </c>
      <c r="H145" s="1104" t="s">
        <v>386</v>
      </c>
    </row>
    <row r="146" spans="1:9" ht="9" customHeight="1">
      <c r="A146" s="985"/>
      <c r="B146" s="985"/>
      <c r="C146" s="985"/>
      <c r="D146" s="985"/>
      <c r="E146" s="985"/>
      <c r="F146" s="985"/>
      <c r="G146" s="985"/>
      <c r="H146" s="985"/>
    </row>
    <row r="147" spans="1:9" ht="12" customHeight="1">
      <c r="A147" s="978" t="s">
        <v>473</v>
      </c>
      <c r="B147" s="986">
        <f>IF('6.2'!E142=0,"",'6.2'!E142)</f>
        <v>41809801491</v>
      </c>
      <c r="C147" s="986">
        <v>3941991732</v>
      </c>
      <c r="D147" s="986">
        <v>1273331876</v>
      </c>
      <c r="E147" s="986">
        <f t="shared" ref="E147:E169" si="12">IF(SUM(C147:D147)=0,"",SUM(C147:D147))</f>
        <v>5215323608</v>
      </c>
      <c r="F147" s="986">
        <f t="shared" ref="F147:F169" si="13">IFERROR(B147+E147,"")</f>
        <v>47025125099</v>
      </c>
      <c r="G147" s="1015">
        <f t="shared" ref="G147:G169" si="14">IFERROR(E147/F147,"")</f>
        <v>0.1109050448461413</v>
      </c>
      <c r="H147" s="986">
        <v>58933156.770399995</v>
      </c>
      <c r="I147" s="1101"/>
    </row>
    <row r="148" spans="1:9" ht="12" customHeight="1">
      <c r="A148" s="978" t="s">
        <v>478</v>
      </c>
      <c r="B148" s="988">
        <f>IF('6.2'!E143=0,"",'6.2'!E143)</f>
        <v>1200368320</v>
      </c>
      <c r="C148" s="988">
        <v>156901350</v>
      </c>
      <c r="D148" s="988">
        <v>87520500</v>
      </c>
      <c r="E148" s="988">
        <f t="shared" si="12"/>
        <v>244421850</v>
      </c>
      <c r="F148" s="988">
        <f t="shared" si="13"/>
        <v>1444790170</v>
      </c>
      <c r="G148" s="1015">
        <f t="shared" si="14"/>
        <v>0.16917463523440224</v>
      </c>
      <c r="H148" s="988">
        <v>2859735.645</v>
      </c>
      <c r="I148" s="1101"/>
    </row>
    <row r="149" spans="1:9" ht="12" customHeight="1">
      <c r="A149" s="978" t="s">
        <v>186</v>
      </c>
      <c r="B149" s="988">
        <f>IF('6.2'!E144=0,"",'6.2'!E144)</f>
        <v>328617450</v>
      </c>
      <c r="C149" s="988">
        <v>43255300</v>
      </c>
      <c r="D149" s="988">
        <v>87951300</v>
      </c>
      <c r="E149" s="988">
        <f t="shared" si="12"/>
        <v>131206600</v>
      </c>
      <c r="F149" s="988">
        <f t="shared" si="13"/>
        <v>459824050</v>
      </c>
      <c r="G149" s="1015">
        <f t="shared" si="14"/>
        <v>0.28534088201780661</v>
      </c>
      <c r="H149" s="988">
        <v>1587598.7599999998</v>
      </c>
      <c r="I149" s="1101"/>
    </row>
    <row r="150" spans="1:9" ht="12" customHeight="1">
      <c r="A150" s="978" t="s">
        <v>188</v>
      </c>
      <c r="B150" s="988">
        <f>IF('6.2'!E145=0,"",'6.2'!E145)</f>
        <v>8187130300</v>
      </c>
      <c r="C150" s="988">
        <v>1064855800</v>
      </c>
      <c r="D150" s="988">
        <v>1195194700</v>
      </c>
      <c r="E150" s="988">
        <f t="shared" si="12"/>
        <v>2260050500</v>
      </c>
      <c r="F150" s="988">
        <f t="shared" si="13"/>
        <v>10447180800</v>
      </c>
      <c r="G150" s="1015">
        <f t="shared" si="14"/>
        <v>0.21633113691303207</v>
      </c>
      <c r="H150" s="988">
        <v>21470479.75</v>
      </c>
      <c r="I150" s="1101"/>
    </row>
    <row r="151" spans="1:9" ht="12" customHeight="1">
      <c r="A151" s="978" t="s">
        <v>133</v>
      </c>
      <c r="B151" s="988">
        <f>IF('6.2'!E146=0,"",'6.2'!E146)</f>
        <v>28062056400</v>
      </c>
      <c r="C151" s="988">
        <v>2105752600</v>
      </c>
      <c r="D151" s="988">
        <v>1042367500</v>
      </c>
      <c r="E151" s="988">
        <f t="shared" si="12"/>
        <v>3148120100</v>
      </c>
      <c r="F151" s="988">
        <f t="shared" si="13"/>
        <v>31210176500</v>
      </c>
      <c r="G151" s="1015">
        <f t="shared" si="14"/>
        <v>0.10086838502819745</v>
      </c>
      <c r="H151" s="988">
        <v>33055261.050000001</v>
      </c>
      <c r="I151" s="1101"/>
    </row>
    <row r="152" spans="1:9" ht="5.25" customHeight="1">
      <c r="B152" s="988" t="str">
        <f>IF('6.2'!E147=0,"",'6.2'!E147)</f>
        <v/>
      </c>
      <c r="C152" s="988"/>
      <c r="D152" s="988"/>
      <c r="E152" s="988" t="str">
        <f t="shared" si="12"/>
        <v/>
      </c>
      <c r="F152" s="988" t="str">
        <f t="shared" si="13"/>
        <v/>
      </c>
      <c r="G152" s="1015" t="str">
        <f t="shared" si="14"/>
        <v/>
      </c>
      <c r="H152" s="988"/>
      <c r="I152" s="1101"/>
    </row>
    <row r="153" spans="1:9" ht="12" customHeight="1">
      <c r="A153" s="978" t="s">
        <v>135</v>
      </c>
      <c r="B153" s="988">
        <f>IF('6.2'!E148=0,"",'6.2'!E148)</f>
        <v>1816773900</v>
      </c>
      <c r="C153" s="988">
        <v>70602300</v>
      </c>
      <c r="D153" s="988">
        <v>63426800</v>
      </c>
      <c r="E153" s="988">
        <f t="shared" si="12"/>
        <v>134029100</v>
      </c>
      <c r="F153" s="988">
        <f t="shared" si="13"/>
        <v>1950803000</v>
      </c>
      <c r="G153" s="1015">
        <f t="shared" si="14"/>
        <v>6.8704579601323146E-2</v>
      </c>
      <c r="H153" s="988">
        <v>1608349.2</v>
      </c>
      <c r="I153" s="1101"/>
    </row>
    <row r="154" spans="1:9" ht="12" customHeight="1">
      <c r="A154" s="978" t="s">
        <v>137</v>
      </c>
      <c r="B154" s="988">
        <f>IF('6.2'!E149=0,"",'6.2'!E149)</f>
        <v>299114968</v>
      </c>
      <c r="C154" s="988">
        <v>70602300</v>
      </c>
      <c r="D154" s="988">
        <v>63426800</v>
      </c>
      <c r="E154" s="988">
        <f t="shared" si="12"/>
        <v>134029100</v>
      </c>
      <c r="F154" s="988">
        <f t="shared" si="13"/>
        <v>433144068</v>
      </c>
      <c r="G154" s="1015">
        <f t="shared" si="14"/>
        <v>0.30943307297007699</v>
      </c>
      <c r="H154" s="988">
        <v>1608349.2</v>
      </c>
      <c r="I154" s="1101"/>
    </row>
    <row r="155" spans="1:9" ht="12" customHeight="1">
      <c r="A155" s="978" t="s">
        <v>139</v>
      </c>
      <c r="B155" s="988">
        <f>IF('6.2'!E150=0,"",'6.2'!E150)</f>
        <v>2264173900</v>
      </c>
      <c r="C155" s="988">
        <v>345829000</v>
      </c>
      <c r="D155" s="988">
        <v>193638600</v>
      </c>
      <c r="E155" s="988">
        <f t="shared" si="12"/>
        <v>539467600</v>
      </c>
      <c r="F155" s="988">
        <f t="shared" si="13"/>
        <v>2803641500</v>
      </c>
      <c r="G155" s="1015">
        <f t="shared" si="14"/>
        <v>0.19241675513791617</v>
      </c>
      <c r="H155" s="988">
        <v>4531527.84</v>
      </c>
      <c r="I155" s="1101"/>
    </row>
    <row r="156" spans="1:9" ht="12" customHeight="1">
      <c r="A156" s="978" t="s">
        <v>141</v>
      </c>
      <c r="B156" s="988">
        <f>IF('6.2'!E151=0,"",'6.2'!E151)</f>
        <v>355601700</v>
      </c>
      <c r="C156" s="988">
        <v>42040300</v>
      </c>
      <c r="D156" s="988">
        <v>34268900</v>
      </c>
      <c r="E156" s="988">
        <f t="shared" si="12"/>
        <v>76309200</v>
      </c>
      <c r="F156" s="988">
        <f t="shared" si="13"/>
        <v>431910900</v>
      </c>
      <c r="G156" s="1015">
        <f t="shared" si="14"/>
        <v>0.17667810652613769</v>
      </c>
      <c r="H156" s="988">
        <v>724937.39999999991</v>
      </c>
      <c r="I156" s="1101"/>
    </row>
    <row r="157" spans="1:9" ht="12" customHeight="1">
      <c r="A157" s="978" t="s">
        <v>1052</v>
      </c>
      <c r="B157" s="988">
        <f>IF('6.2'!E152=0,"",'6.2'!E152)</f>
        <v>6439994300</v>
      </c>
      <c r="C157" s="988">
        <v>241035300</v>
      </c>
      <c r="D157" s="988">
        <v>350466500</v>
      </c>
      <c r="E157" s="988">
        <f t="shared" si="12"/>
        <v>591501800</v>
      </c>
      <c r="F157" s="988">
        <f t="shared" si="13"/>
        <v>7031496100</v>
      </c>
      <c r="G157" s="1015">
        <f t="shared" si="14"/>
        <v>8.412175610820577E-2</v>
      </c>
      <c r="H157" s="988">
        <v>6358644.3499999996</v>
      </c>
      <c r="I157" s="1101"/>
    </row>
    <row r="158" spans="1:9" ht="5.25" customHeight="1">
      <c r="B158" s="988" t="str">
        <f>IF('6.2'!E153=0,"",'6.2'!E153)</f>
        <v/>
      </c>
      <c r="C158" s="988"/>
      <c r="D158" s="988"/>
      <c r="E158" s="988" t="str">
        <f t="shared" si="12"/>
        <v/>
      </c>
      <c r="F158" s="988" t="str">
        <f t="shared" si="13"/>
        <v/>
      </c>
      <c r="G158" s="1015" t="str">
        <f t="shared" si="14"/>
        <v/>
      </c>
      <c r="H158" s="988"/>
      <c r="I158" s="1101"/>
    </row>
    <row r="159" spans="1:9" ht="12" customHeight="1">
      <c r="A159" s="978" t="s">
        <v>504</v>
      </c>
      <c r="B159" s="988">
        <f>IF('6.2'!E154=0,"",'6.2'!E154)</f>
        <v>4450079500</v>
      </c>
      <c r="C159" s="988">
        <v>190574300</v>
      </c>
      <c r="D159" s="988">
        <v>118461100</v>
      </c>
      <c r="E159" s="988">
        <f t="shared" si="12"/>
        <v>309035400</v>
      </c>
      <c r="F159" s="988">
        <f t="shared" si="13"/>
        <v>4759114900</v>
      </c>
      <c r="G159" s="1015">
        <f t="shared" si="14"/>
        <v>6.4935477813321971E-2</v>
      </c>
      <c r="H159" s="988">
        <v>4187429.67</v>
      </c>
      <c r="I159" s="1101"/>
    </row>
    <row r="160" spans="1:9" ht="12" customHeight="1">
      <c r="A160" s="978" t="s">
        <v>26</v>
      </c>
      <c r="B160" s="988">
        <f>IF('6.2'!E155=0,"",'6.2'!E155)</f>
        <v>571192990</v>
      </c>
      <c r="C160" s="988">
        <v>38997600</v>
      </c>
      <c r="D160" s="988">
        <v>65437500</v>
      </c>
      <c r="E160" s="988">
        <f t="shared" si="12"/>
        <v>104435100</v>
      </c>
      <c r="F160" s="988">
        <f t="shared" si="13"/>
        <v>675628090</v>
      </c>
      <c r="G160" s="1015">
        <f t="shared" si="14"/>
        <v>0.15457483421093401</v>
      </c>
      <c r="H160" s="988">
        <v>1075681.53</v>
      </c>
      <c r="I160" s="1101"/>
    </row>
    <row r="161" spans="1:9" ht="12" customHeight="1">
      <c r="A161" s="978" t="s">
        <v>146</v>
      </c>
      <c r="B161" s="988">
        <f>IF('6.2'!E156=0,"",'6.2'!E156)</f>
        <v>4099237700</v>
      </c>
      <c r="C161" s="988">
        <v>791868300</v>
      </c>
      <c r="D161" s="988">
        <v>429376500</v>
      </c>
      <c r="E161" s="988">
        <f t="shared" si="12"/>
        <v>1221244800</v>
      </c>
      <c r="F161" s="988">
        <f t="shared" si="13"/>
        <v>5320482500</v>
      </c>
      <c r="G161" s="1015">
        <f t="shared" si="14"/>
        <v>0.22953647531027496</v>
      </c>
      <c r="H161" s="988">
        <v>10380580.800000001</v>
      </c>
      <c r="I161" s="1101"/>
    </row>
    <row r="162" spans="1:9" ht="12" customHeight="1">
      <c r="A162" s="978" t="s">
        <v>148</v>
      </c>
      <c r="B162" s="988">
        <f>IF('6.2'!E157=0,"",'6.2'!E157)</f>
        <v>470460350</v>
      </c>
      <c r="C162" s="988">
        <v>62753000</v>
      </c>
      <c r="D162" s="988">
        <v>25444900</v>
      </c>
      <c r="E162" s="988">
        <f t="shared" si="12"/>
        <v>88197900</v>
      </c>
      <c r="F162" s="988">
        <f t="shared" si="13"/>
        <v>558658250</v>
      </c>
      <c r="G162" s="1015">
        <f t="shared" si="14"/>
        <v>0.1578745145175964</v>
      </c>
      <c r="H162" s="988">
        <v>811420.67999999993</v>
      </c>
      <c r="I162" s="1101"/>
    </row>
    <row r="163" spans="1:9" ht="12" customHeight="1">
      <c r="A163" s="978" t="s">
        <v>514</v>
      </c>
      <c r="B163" s="988">
        <f>IF('6.2'!E158=0,"",'6.2'!E158)</f>
        <v>11188876600</v>
      </c>
      <c r="C163" s="988">
        <v>3035484100</v>
      </c>
      <c r="D163" s="988">
        <v>553202600</v>
      </c>
      <c r="E163" s="988">
        <f t="shared" si="12"/>
        <v>3588686700</v>
      </c>
      <c r="F163" s="988">
        <f t="shared" si="13"/>
        <v>14777563300</v>
      </c>
      <c r="G163" s="1015">
        <f t="shared" si="14"/>
        <v>0.2428469854701959</v>
      </c>
      <c r="H163" s="988">
        <v>44499715.079999998</v>
      </c>
      <c r="I163" s="1101"/>
    </row>
    <row r="164" spans="1:9" ht="5.25" customHeight="1">
      <c r="B164" s="988" t="str">
        <f>IF('6.2'!E159=0,"",'6.2'!E159)</f>
        <v/>
      </c>
      <c r="C164" s="988"/>
      <c r="D164" s="988"/>
      <c r="E164" s="988" t="str">
        <f t="shared" si="12"/>
        <v/>
      </c>
      <c r="F164" s="988" t="str">
        <f t="shared" si="13"/>
        <v/>
      </c>
      <c r="G164" s="1015" t="str">
        <f t="shared" si="14"/>
        <v/>
      </c>
      <c r="H164" s="988"/>
      <c r="I164" s="1101"/>
    </row>
    <row r="165" spans="1:9" ht="12" customHeight="1">
      <c r="A165" s="978" t="s">
        <v>994</v>
      </c>
      <c r="B165" s="988">
        <f>IF('6.2'!E160=0,"",'6.2'!E160)</f>
        <v>4372278453</v>
      </c>
      <c r="C165" s="988">
        <v>1198552230</v>
      </c>
      <c r="D165" s="988">
        <v>338276400</v>
      </c>
      <c r="E165" s="988">
        <f t="shared" si="12"/>
        <v>1536828630</v>
      </c>
      <c r="F165" s="988">
        <f t="shared" si="13"/>
        <v>5909107083</v>
      </c>
      <c r="G165" s="1015">
        <f t="shared" si="14"/>
        <v>0.26007797936533011</v>
      </c>
      <c r="H165" s="988">
        <v>13216726.218000002</v>
      </c>
      <c r="I165" s="1101"/>
    </row>
    <row r="166" spans="1:9" ht="12" customHeight="1">
      <c r="A166" s="978" t="s">
        <v>154</v>
      </c>
      <c r="B166" s="988">
        <f>IF('6.2'!E161=0,"",'6.2'!E161)</f>
        <v>1380321000</v>
      </c>
      <c r="C166" s="988">
        <v>169936200</v>
      </c>
      <c r="D166" s="988">
        <v>39909500</v>
      </c>
      <c r="E166" s="988">
        <f t="shared" si="12"/>
        <v>209845700</v>
      </c>
      <c r="F166" s="988">
        <f t="shared" si="13"/>
        <v>1590166700</v>
      </c>
      <c r="G166" s="1015">
        <f t="shared" si="14"/>
        <v>0.131964592139931</v>
      </c>
      <c r="H166" s="988">
        <v>2371256.4099999997</v>
      </c>
      <c r="I166" s="1101"/>
    </row>
    <row r="167" spans="1:9" ht="12" customHeight="1">
      <c r="A167" s="978" t="s">
        <v>995</v>
      </c>
      <c r="B167" s="988">
        <f>IF('6.2'!E162=0,"",'6.2'!E162)</f>
        <v>575280400</v>
      </c>
      <c r="C167" s="988">
        <v>531387900</v>
      </c>
      <c r="D167" s="988">
        <v>543230900</v>
      </c>
      <c r="E167" s="988">
        <f t="shared" si="12"/>
        <v>1074618800</v>
      </c>
      <c r="F167" s="988">
        <f t="shared" si="13"/>
        <v>1649899200</v>
      </c>
      <c r="G167" s="1015">
        <f t="shared" si="14"/>
        <v>0.65132391118196797</v>
      </c>
      <c r="H167" s="988">
        <v>11390959.280000001</v>
      </c>
      <c r="I167" s="1101"/>
    </row>
    <row r="168" spans="1:9" ht="12" customHeight="1">
      <c r="A168" s="980" t="s">
        <v>158</v>
      </c>
      <c r="B168" s="988">
        <f>IF('6.2'!E163=0,"",'6.2'!E163)</f>
        <v>5626575300</v>
      </c>
      <c r="C168" s="988">
        <v>462701600</v>
      </c>
      <c r="D168" s="988">
        <v>1357092800</v>
      </c>
      <c r="E168" s="988">
        <f t="shared" si="12"/>
        <v>1819794400</v>
      </c>
      <c r="F168" s="1097">
        <f t="shared" si="13"/>
        <v>7446369700</v>
      </c>
      <c r="G168" s="1366">
        <f t="shared" si="14"/>
        <v>0.24438679159322427</v>
      </c>
      <c r="H168" s="988">
        <v>20199717.840000004</v>
      </c>
      <c r="I168" s="1101"/>
    </row>
    <row r="169" spans="1:9" ht="12" customHeight="1">
      <c r="A169" s="978" t="s">
        <v>996</v>
      </c>
      <c r="B169" s="988">
        <f>IF('6.2'!E164=0,"",'6.2'!E164)</f>
        <v>5063746000</v>
      </c>
      <c r="C169" s="988">
        <v>571514000</v>
      </c>
      <c r="D169" s="988">
        <v>237596800</v>
      </c>
      <c r="E169" s="988">
        <f t="shared" si="12"/>
        <v>809110800</v>
      </c>
      <c r="F169" s="1097">
        <f t="shared" si="13"/>
        <v>5872856800</v>
      </c>
      <c r="G169" s="1366">
        <f t="shared" si="14"/>
        <v>0.13777124618465073</v>
      </c>
      <c r="H169" s="988">
        <v>11974839.84</v>
      </c>
      <c r="I169" s="1101"/>
    </row>
    <row r="170" spans="1:9" ht="15.75">
      <c r="A170" s="1239" t="s">
        <v>1012</v>
      </c>
      <c r="B170" s="998"/>
      <c r="C170" s="998"/>
      <c r="D170" s="998"/>
      <c r="E170" s="998"/>
      <c r="F170" s="998"/>
      <c r="G170" s="998"/>
      <c r="H170" s="998"/>
    </row>
    <row r="171" spans="1:9" ht="12.75">
      <c r="A171" s="1275" t="str">
        <f>A128</f>
        <v>Comparison of Tax Exempt Value to Total Fair Market Value (FMV) of Real Estate by Locality - Tax Year 2020</v>
      </c>
      <c r="B171" s="1275"/>
      <c r="C171" s="1275"/>
      <c r="D171" s="1275"/>
      <c r="E171" s="1275"/>
      <c r="F171" s="1275"/>
      <c r="G171" s="1275"/>
      <c r="H171" s="1275"/>
    </row>
    <row r="172" spans="1:9" ht="9" customHeight="1" thickBot="1">
      <c r="A172" s="981"/>
      <c r="B172" s="981"/>
      <c r="C172" s="981"/>
      <c r="D172" s="981"/>
      <c r="E172" s="981"/>
      <c r="F172" s="981"/>
      <c r="G172" s="981"/>
      <c r="H172" s="981"/>
    </row>
    <row r="173" spans="1:9" ht="14.25" customHeight="1">
      <c r="A173" s="1105"/>
      <c r="B173" s="1106"/>
      <c r="C173" s="1106"/>
      <c r="D173" s="1106"/>
      <c r="E173" s="1106"/>
      <c r="F173" s="1106" t="s">
        <v>988</v>
      </c>
      <c r="G173" s="1106" t="s">
        <v>1145</v>
      </c>
      <c r="H173" s="1106" t="s">
        <v>1002</v>
      </c>
    </row>
    <row r="174" spans="1:9" ht="12.75">
      <c r="A174" s="1107"/>
      <c r="B174" s="1108" t="s">
        <v>1003</v>
      </c>
      <c r="C174" s="1442" t="s">
        <v>1004</v>
      </c>
      <c r="D174" s="1442"/>
      <c r="E174" s="1442"/>
      <c r="F174" s="1108" t="s">
        <v>1005</v>
      </c>
      <c r="G174" s="1108" t="s">
        <v>374</v>
      </c>
      <c r="H174" s="1108" t="s">
        <v>1006</v>
      </c>
    </row>
    <row r="175" spans="1:9" ht="12.75">
      <c r="A175" s="1109" t="s">
        <v>23</v>
      </c>
      <c r="B175" s="1104" t="s">
        <v>1007</v>
      </c>
      <c r="C175" s="1104" t="s">
        <v>1008</v>
      </c>
      <c r="D175" s="1104" t="s">
        <v>1009</v>
      </c>
      <c r="E175" s="1104" t="s">
        <v>1010</v>
      </c>
      <c r="F175" s="1104" t="s">
        <v>1011</v>
      </c>
      <c r="G175" s="1104" t="s">
        <v>988</v>
      </c>
      <c r="H175" s="1104" t="s">
        <v>386</v>
      </c>
    </row>
    <row r="176" spans="1:9" ht="8.25" customHeight="1"/>
    <row r="177" spans="1:9" ht="12" customHeight="1">
      <c r="A177" s="978" t="s">
        <v>1123</v>
      </c>
      <c r="B177" s="1363">
        <f>IF('6.2'!E171=0,"",'6.2'!E171)</f>
        <v>1625685700</v>
      </c>
      <c r="C177" s="986">
        <v>131520000</v>
      </c>
      <c r="D177" s="986">
        <v>2666400</v>
      </c>
      <c r="E177" s="1363">
        <f t="shared" ref="E177:E197" si="15">IF(SUM(C177:D177)=0,"",SUM(C177:D177))</f>
        <v>134186400</v>
      </c>
      <c r="F177" s="1363">
        <f t="shared" ref="F177:F197" si="16">IFERROR(B177+E177,"")</f>
        <v>1759872100</v>
      </c>
      <c r="G177" s="1009">
        <f t="shared" ref="G177:G197" si="17">IFERROR(E177/F177,"")</f>
        <v>7.6247813690551711E-2</v>
      </c>
      <c r="H177" s="986">
        <v>2079889.2</v>
      </c>
      <c r="I177" s="1101"/>
    </row>
    <row r="178" spans="1:9" ht="12" customHeight="1">
      <c r="A178" s="978" t="s">
        <v>164</v>
      </c>
      <c r="B178" s="988">
        <f>IF('6.2'!E172=0,"",'6.2'!E172)</f>
        <v>638496000</v>
      </c>
      <c r="C178" s="988">
        <v>49198600</v>
      </c>
      <c r="D178" s="988">
        <v>97526700</v>
      </c>
      <c r="E178" s="988">
        <f t="shared" si="15"/>
        <v>146725300</v>
      </c>
      <c r="F178" s="988">
        <f t="shared" si="16"/>
        <v>785221300</v>
      </c>
      <c r="G178" s="1015">
        <f t="shared" si="17"/>
        <v>0.18685853274739236</v>
      </c>
      <c r="H178" s="988">
        <v>1558369.4113</v>
      </c>
      <c r="I178" s="1101"/>
    </row>
    <row r="179" spans="1:9" ht="12" customHeight="1">
      <c r="A179" s="978" t="s">
        <v>166</v>
      </c>
      <c r="B179" s="988">
        <f>IF('6.2'!E173=0,"",'6.2'!E173)</f>
        <v>16006199700</v>
      </c>
      <c r="C179" s="988">
        <v>18124814900</v>
      </c>
      <c r="D179" s="988">
        <v>823363300</v>
      </c>
      <c r="E179" s="988">
        <f t="shared" si="15"/>
        <v>18948178200</v>
      </c>
      <c r="F179" s="988">
        <f t="shared" si="16"/>
        <v>34954377900</v>
      </c>
      <c r="G179" s="1015">
        <f t="shared" si="17"/>
        <v>0.54208311915057716</v>
      </c>
      <c r="H179" s="988">
        <v>231167774.03999999</v>
      </c>
      <c r="I179" s="1101"/>
    </row>
    <row r="180" spans="1:9" ht="12" customHeight="1">
      <c r="A180" s="978" t="s">
        <v>168</v>
      </c>
      <c r="B180" s="988">
        <f>IF('6.2'!E174=0,"",'6.2'!E174)</f>
        <v>21076783700</v>
      </c>
      <c r="C180" s="988">
        <v>9362472000</v>
      </c>
      <c r="D180" s="988">
        <v>2341912500</v>
      </c>
      <c r="E180" s="988">
        <f t="shared" si="15"/>
        <v>11704384500</v>
      </c>
      <c r="F180" s="988">
        <f t="shared" si="16"/>
        <v>32781168200</v>
      </c>
      <c r="G180" s="1015">
        <f t="shared" si="17"/>
        <v>0.35704598532275611</v>
      </c>
      <c r="H180" s="988">
        <v>146304806.25</v>
      </c>
      <c r="I180" s="1101"/>
    </row>
    <row r="181" spans="1:9" ht="12" customHeight="1">
      <c r="A181" s="978" t="s">
        <v>997</v>
      </c>
      <c r="B181" s="988">
        <f>IF('6.2'!E175=0,"",'6.2'!E175)</f>
        <v>225068100</v>
      </c>
      <c r="C181" s="988">
        <v>63260100</v>
      </c>
      <c r="D181" s="988">
        <v>40260700</v>
      </c>
      <c r="E181" s="988">
        <f t="shared" si="15"/>
        <v>103520800</v>
      </c>
      <c r="F181" s="988">
        <f t="shared" si="16"/>
        <v>328588900</v>
      </c>
      <c r="G181" s="1015">
        <f t="shared" si="17"/>
        <v>0.3150465520898606</v>
      </c>
      <c r="H181" s="988">
        <v>931687.2</v>
      </c>
      <c r="I181" s="1101"/>
    </row>
    <row r="182" spans="1:9" ht="9" customHeight="1">
      <c r="B182" s="988" t="str">
        <f>IF('6.2'!E176=0,"",'6.2'!E176)</f>
        <v/>
      </c>
      <c r="C182" s="988"/>
      <c r="D182" s="988"/>
      <c r="E182" s="988" t="str">
        <f t="shared" si="15"/>
        <v/>
      </c>
      <c r="F182" s="988" t="str">
        <f t="shared" si="16"/>
        <v/>
      </c>
      <c r="G182" s="1015" t="str">
        <f t="shared" si="17"/>
        <v/>
      </c>
      <c r="H182" s="988"/>
      <c r="I182" s="1101"/>
    </row>
    <row r="183" spans="1:9" ht="12" customHeight="1">
      <c r="A183" s="1001" t="s">
        <v>1124</v>
      </c>
      <c r="B183" s="988">
        <f>IF('6.2'!E177=0,"",'6.2'!E177)</f>
        <v>1922080749</v>
      </c>
      <c r="C183" s="988">
        <v>212048307</v>
      </c>
      <c r="D183" s="988">
        <v>184754128</v>
      </c>
      <c r="E183" s="988">
        <f t="shared" si="15"/>
        <v>396802435</v>
      </c>
      <c r="F183" s="988">
        <f t="shared" si="16"/>
        <v>2318883184</v>
      </c>
      <c r="G183" s="1015">
        <f t="shared" si="17"/>
        <v>0.17111790612734892</v>
      </c>
      <c r="H183" s="988">
        <v>5356832.8725000005</v>
      </c>
      <c r="I183" s="1101"/>
    </row>
    <row r="184" spans="1:9" ht="12" customHeight="1">
      <c r="A184" s="978" t="s">
        <v>1125</v>
      </c>
      <c r="B184" s="988">
        <f>IF('6.2'!E178=0,"",'6.2'!E178)</f>
        <v>1602049325</v>
      </c>
      <c r="C184" s="988">
        <v>40651900</v>
      </c>
      <c r="D184" s="988">
        <v>63077000</v>
      </c>
      <c r="E184" s="988">
        <f t="shared" si="15"/>
        <v>103728900</v>
      </c>
      <c r="F184" s="988">
        <f t="shared" si="16"/>
        <v>1705778225</v>
      </c>
      <c r="G184" s="1015">
        <f t="shared" si="17"/>
        <v>6.0810308444405194E-2</v>
      </c>
      <c r="H184" s="988">
        <v>1182509.46</v>
      </c>
      <c r="I184" s="1101"/>
    </row>
    <row r="185" spans="1:9" ht="12" customHeight="1">
      <c r="A185" s="978" t="s">
        <v>1126</v>
      </c>
      <c r="B185" s="988">
        <f>IF('6.2'!E179=0,"",'6.2'!E179)</f>
        <v>7494771402</v>
      </c>
      <c r="C185" s="988">
        <v>4972003421</v>
      </c>
      <c r="D185" s="988">
        <v>563378830</v>
      </c>
      <c r="E185" s="988">
        <f t="shared" si="15"/>
        <v>5535382251</v>
      </c>
      <c r="F185" s="988">
        <f t="shared" si="16"/>
        <v>13030153653</v>
      </c>
      <c r="G185" s="1015">
        <f t="shared" si="17"/>
        <v>0.42481327530052265</v>
      </c>
      <c r="H185" s="988">
        <v>71959969.263000011</v>
      </c>
      <c r="I185" s="1101"/>
    </row>
    <row r="186" spans="1:9" ht="12" customHeight="1">
      <c r="A186" s="978" t="s">
        <v>178</v>
      </c>
      <c r="B186" s="988">
        <f>IF('6.2'!E180=0,"",'6.2'!E180)</f>
        <v>890956100</v>
      </c>
      <c r="C186" s="988">
        <v>670174000</v>
      </c>
      <c r="D186" s="988">
        <v>30402100</v>
      </c>
      <c r="E186" s="988">
        <f t="shared" si="15"/>
        <v>700576100</v>
      </c>
      <c r="F186" s="988">
        <f t="shared" si="16"/>
        <v>1591532200</v>
      </c>
      <c r="G186" s="1015">
        <f t="shared" si="17"/>
        <v>0.44018971152452963</v>
      </c>
      <c r="H186" s="988">
        <v>5464493.5800000001</v>
      </c>
      <c r="I186" s="1101"/>
    </row>
    <row r="187" spans="1:9" ht="12" customHeight="1">
      <c r="A187" s="978" t="s">
        <v>441</v>
      </c>
      <c r="B187" s="988">
        <f>IF('6.2'!E181=0,"",'6.2'!E181)</f>
        <v>27062644000</v>
      </c>
      <c r="C187" s="988">
        <v>6011372000</v>
      </c>
      <c r="D187" s="988">
        <v>2250431000</v>
      </c>
      <c r="E187" s="988">
        <f t="shared" si="15"/>
        <v>8261803000</v>
      </c>
      <c r="F187" s="988">
        <f t="shared" si="16"/>
        <v>35324447000</v>
      </c>
      <c r="G187" s="1015">
        <f t="shared" si="17"/>
        <v>0.23388343489142235</v>
      </c>
      <c r="H187" s="988">
        <v>99141636</v>
      </c>
      <c r="I187" s="1101"/>
    </row>
    <row r="188" spans="1:9" ht="11.25" customHeight="1">
      <c r="B188" s="988" t="str">
        <f>IF('6.2'!E182=0,"",'6.2'!E182)</f>
        <v/>
      </c>
      <c r="C188" s="988"/>
      <c r="D188" s="988"/>
      <c r="E188" s="988" t="str">
        <f t="shared" si="15"/>
        <v/>
      </c>
      <c r="F188" s="988" t="str">
        <f t="shared" si="16"/>
        <v/>
      </c>
      <c r="G188" s="1015" t="str">
        <f t="shared" si="17"/>
        <v/>
      </c>
      <c r="H188" s="988"/>
      <c r="I188" s="1101"/>
    </row>
    <row r="189" spans="1:9" ht="12" customHeight="1">
      <c r="A189" s="978" t="s">
        <v>27</v>
      </c>
      <c r="B189" s="988">
        <f>IF('6.2'!E183=0,"",'6.2'!E183)</f>
        <v>7962115600</v>
      </c>
      <c r="C189" s="988">
        <v>1064329900</v>
      </c>
      <c r="D189" s="988">
        <v>1115859800</v>
      </c>
      <c r="E189" s="988">
        <f t="shared" si="15"/>
        <v>2180189700</v>
      </c>
      <c r="F189" s="988">
        <f t="shared" si="16"/>
        <v>10142305300</v>
      </c>
      <c r="G189" s="1015">
        <f t="shared" si="17"/>
        <v>0.2149599756181664</v>
      </c>
      <c r="H189" s="988">
        <v>26598314.34</v>
      </c>
      <c r="I189" s="1101"/>
    </row>
    <row r="190" spans="1:9" ht="12" customHeight="1">
      <c r="A190" s="978" t="s">
        <v>179</v>
      </c>
      <c r="B190" s="988">
        <f>IF('6.2'!E184=0,"",'6.2'!E184)</f>
        <v>2277666100</v>
      </c>
      <c r="C190" s="988">
        <v>342704400</v>
      </c>
      <c r="D190" s="988">
        <v>199441800</v>
      </c>
      <c r="E190" s="988">
        <f t="shared" si="15"/>
        <v>542146200</v>
      </c>
      <c r="F190" s="988">
        <f t="shared" si="16"/>
        <v>2819812300</v>
      </c>
      <c r="G190" s="1015">
        <f t="shared" si="17"/>
        <v>0.19226322262655568</v>
      </c>
      <c r="H190" s="988">
        <v>6505754.4000000004</v>
      </c>
      <c r="I190" s="1101"/>
    </row>
    <row r="191" spans="1:9" ht="12" customHeight="1">
      <c r="A191" s="978" t="s">
        <v>1129</v>
      </c>
      <c r="B191" s="988">
        <f>IF('6.2'!E185=0,"",'6.2'!E185)</f>
        <v>2069133804</v>
      </c>
      <c r="C191" s="988">
        <v>256336765</v>
      </c>
      <c r="D191" s="988">
        <v>153955422</v>
      </c>
      <c r="E191" s="988">
        <f t="shared" si="15"/>
        <v>410292187</v>
      </c>
      <c r="F191" s="988">
        <f t="shared" si="16"/>
        <v>2479425991</v>
      </c>
      <c r="G191" s="1015">
        <f t="shared" si="17"/>
        <v>0.16547869889615915</v>
      </c>
      <c r="H191" s="988">
        <v>3979834.2138999999</v>
      </c>
      <c r="I191" s="1101"/>
    </row>
    <row r="192" spans="1:9" ht="12" customHeight="1">
      <c r="A192" s="978" t="s">
        <v>181</v>
      </c>
      <c r="B192" s="988">
        <f>IF('6.2'!E186=0,"",'6.2'!E186)</f>
        <v>10513127400</v>
      </c>
      <c r="C192" s="988">
        <v>747181400</v>
      </c>
      <c r="D192" s="988">
        <v>370483700</v>
      </c>
      <c r="E192" s="988">
        <f t="shared" si="15"/>
        <v>1117665100</v>
      </c>
      <c r="F192" s="988">
        <f t="shared" si="16"/>
        <v>11630792500</v>
      </c>
      <c r="G192" s="1015">
        <f t="shared" si="17"/>
        <v>9.6095352057910075E-2</v>
      </c>
      <c r="H192" s="988">
        <v>12406082.610000001</v>
      </c>
      <c r="I192" s="1101"/>
    </row>
    <row r="193" spans="1:9" ht="12" customHeight="1">
      <c r="A193" s="978" t="s">
        <v>673</v>
      </c>
      <c r="B193" s="988">
        <f>IF('6.2'!E187=0,"",'6.2'!E187)</f>
        <v>59558551700</v>
      </c>
      <c r="C193" s="988">
        <v>9705359000</v>
      </c>
      <c r="D193" s="988">
        <v>1716477500</v>
      </c>
      <c r="E193" s="988">
        <f t="shared" si="15"/>
        <v>11421836500</v>
      </c>
      <c r="F193" s="988">
        <f t="shared" si="16"/>
        <v>70980388200</v>
      </c>
      <c r="G193" s="1015">
        <f t="shared" si="17"/>
        <v>0.16091538507533831</v>
      </c>
      <c r="H193" s="988">
        <v>116217186.3875</v>
      </c>
      <c r="I193" s="1101"/>
    </row>
    <row r="194" spans="1:9" ht="9" customHeight="1">
      <c r="B194" s="988" t="str">
        <f>IF('6.2'!E188=0,"",'6.2'!E188)</f>
        <v/>
      </c>
      <c r="C194" s="988"/>
      <c r="D194" s="988"/>
      <c r="E194" s="988" t="str">
        <f t="shared" si="15"/>
        <v/>
      </c>
      <c r="F194" s="988" t="str">
        <f t="shared" si="16"/>
        <v/>
      </c>
      <c r="G194" s="1015" t="str">
        <f t="shared" si="17"/>
        <v/>
      </c>
      <c r="H194" s="988"/>
      <c r="I194" s="1101"/>
    </row>
    <row r="195" spans="1:9">
      <c r="A195" s="978" t="s">
        <v>183</v>
      </c>
      <c r="B195" s="988">
        <f>IF('6.2'!E189=0,"",'6.2'!E189)</f>
        <v>1928424800</v>
      </c>
      <c r="C195" s="988">
        <v>116601000</v>
      </c>
      <c r="D195" s="988">
        <v>201676900</v>
      </c>
      <c r="E195" s="988">
        <f t="shared" si="15"/>
        <v>318277900</v>
      </c>
      <c r="F195" s="988">
        <f t="shared" si="16"/>
        <v>2246702700</v>
      </c>
      <c r="G195" s="1015">
        <f t="shared" si="17"/>
        <v>0.14166444897226499</v>
      </c>
      <c r="H195" s="988">
        <v>2864501.0999999996</v>
      </c>
      <c r="I195" s="1101"/>
    </row>
    <row r="196" spans="1:9">
      <c r="A196" s="978" t="s">
        <v>998</v>
      </c>
      <c r="B196" s="988">
        <f>IF('6.2'!E190=0,"",'6.2'!E190)</f>
        <v>1996684300</v>
      </c>
      <c r="C196" s="988">
        <v>118622200</v>
      </c>
      <c r="D196" s="988">
        <v>924575700</v>
      </c>
      <c r="E196" s="988">
        <f t="shared" si="15"/>
        <v>1043197900</v>
      </c>
      <c r="F196" s="988">
        <f t="shared" si="16"/>
        <v>3039882200</v>
      </c>
      <c r="G196" s="1015">
        <f t="shared" si="17"/>
        <v>0.34317050180431335</v>
      </c>
      <c r="H196" s="988">
        <v>6259187.4000000004</v>
      </c>
      <c r="I196" s="1101"/>
    </row>
    <row r="197" spans="1:9">
      <c r="A197" s="978" t="s">
        <v>187</v>
      </c>
      <c r="B197" s="988">
        <f>IF('6.2'!E191=0,"",'6.2'!E191)</f>
        <v>3210069415</v>
      </c>
      <c r="C197" s="988">
        <v>137922500</v>
      </c>
      <c r="D197" s="988">
        <v>837251675</v>
      </c>
      <c r="E197" s="988">
        <f t="shared" si="15"/>
        <v>975174175</v>
      </c>
      <c r="F197" s="988">
        <f t="shared" si="16"/>
        <v>4185243590</v>
      </c>
      <c r="G197" s="1015">
        <f t="shared" si="17"/>
        <v>0.23300296721797262</v>
      </c>
      <c r="H197" s="988">
        <v>9069119.8275000006</v>
      </c>
      <c r="I197" s="1101"/>
    </row>
    <row r="198" spans="1:9" ht="12" customHeight="1">
      <c r="E198" s="988"/>
      <c r="G198" s="1015"/>
    </row>
    <row r="199" spans="1:9" ht="12.75" customHeight="1">
      <c r="A199" s="1003" t="s">
        <v>29</v>
      </c>
      <c r="B199" s="1003">
        <f>SUM(B147:B168,B169:B197)</f>
        <v>296622188917</v>
      </c>
      <c r="C199" s="1003">
        <f>SUM(C147:C168,C169:C197)</f>
        <v>67263207605</v>
      </c>
      <c r="D199" s="1003">
        <f>SUM(D147:D168,D169:D197)</f>
        <v>20017117631</v>
      </c>
      <c r="E199" s="1003">
        <f>SUM(E147:E168,E169:E197)</f>
        <v>87280325236</v>
      </c>
      <c r="F199" s="1003">
        <f>SUM(F147:F168,F169:F197)</f>
        <v>383902514153</v>
      </c>
      <c r="G199" s="1103">
        <f>E199/F199</f>
        <v>0.2273502309005859</v>
      </c>
      <c r="H199" s="1003">
        <f>SUM(H147:H168,H169:H197)</f>
        <v>1001894314.8691001</v>
      </c>
    </row>
    <row r="200" spans="1:9" ht="12.75" customHeight="1">
      <c r="A200" s="1003" t="s">
        <v>24</v>
      </c>
      <c r="B200" s="1003">
        <f t="shared" ref="B200:H200" si="18">B140</f>
        <v>947869581524</v>
      </c>
      <c r="C200" s="1003">
        <f t="shared" si="18"/>
        <v>67418123233</v>
      </c>
      <c r="D200" s="1003">
        <f t="shared" si="18"/>
        <v>33930384735</v>
      </c>
      <c r="E200" s="1003">
        <f t="shared" si="18"/>
        <v>101348507968</v>
      </c>
      <c r="F200" s="1003">
        <f t="shared" si="18"/>
        <v>1049218089492</v>
      </c>
      <c r="G200" s="1103">
        <f>E200/F200</f>
        <v>9.6594320077982937E-2</v>
      </c>
      <c r="H200" s="1003">
        <f t="shared" si="18"/>
        <v>823259790.37198591</v>
      </c>
    </row>
    <row r="201" spans="1:9">
      <c r="A201" s="986"/>
      <c r="B201" s="986"/>
      <c r="C201" s="986"/>
      <c r="D201" s="986"/>
      <c r="E201" s="986"/>
      <c r="F201" s="986"/>
      <c r="G201" s="986"/>
      <c r="H201" s="986"/>
    </row>
    <row r="202" spans="1:9" ht="12.75" customHeight="1">
      <c r="A202" s="1003" t="s">
        <v>30</v>
      </c>
      <c r="B202" s="1003">
        <f>SUM(B199:B200)</f>
        <v>1244491770441</v>
      </c>
      <c r="C202" s="1003">
        <f>SUM(C199:C200)</f>
        <v>134681330838</v>
      </c>
      <c r="D202" s="1003">
        <f>SUM(D199:D200)</f>
        <v>53947502366</v>
      </c>
      <c r="E202" s="1003">
        <f>SUM(E199:E200)</f>
        <v>188628833204</v>
      </c>
      <c r="F202" s="1003">
        <f>SUM(F199:F200)</f>
        <v>1433120603645</v>
      </c>
      <c r="G202" s="1103">
        <f>E202/F202</f>
        <v>0.131621046214981</v>
      </c>
      <c r="H202" s="1003">
        <f>SUM(H199:H200)</f>
        <v>1825154105.241086</v>
      </c>
    </row>
    <row r="203" spans="1:9">
      <c r="A203" s="1017"/>
      <c r="B203" s="1017"/>
      <c r="C203" s="1017"/>
      <c r="D203" s="1017"/>
      <c r="E203" s="1017"/>
      <c r="F203" s="1017"/>
      <c r="G203" s="1367"/>
      <c r="H203" s="1017"/>
    </row>
    <row r="204" spans="1:9">
      <c r="A204" s="1017"/>
      <c r="B204" s="1017"/>
      <c r="C204" s="1017"/>
      <c r="D204" s="1017"/>
      <c r="E204" s="1017"/>
      <c r="F204" s="1017"/>
      <c r="G204" s="1017"/>
      <c r="H204" s="1017"/>
    </row>
    <row r="205" spans="1:9">
      <c r="A205" s="978" t="s">
        <v>1</v>
      </c>
      <c r="B205" s="986"/>
      <c r="C205" s="986"/>
      <c r="D205" s="986"/>
      <c r="E205" s="986"/>
      <c r="F205" s="986"/>
      <c r="G205" s="986"/>
      <c r="H205" s="986"/>
    </row>
    <row r="206" spans="1:9">
      <c r="A206" s="978" t="s">
        <v>1181</v>
      </c>
      <c r="F206" s="986"/>
      <c r="G206" s="700"/>
    </row>
    <row r="207" spans="1:9">
      <c r="A207" s="1001" t="s">
        <v>1183</v>
      </c>
      <c r="G207" s="700"/>
    </row>
    <row r="208" spans="1:9">
      <c r="A208" s="1001" t="s">
        <v>1013</v>
      </c>
      <c r="G208" s="700"/>
    </row>
    <row r="209" spans="1:9">
      <c r="A209" s="1005" t="s">
        <v>1128</v>
      </c>
    </row>
    <row r="210" spans="1:9">
      <c r="A210" s="1005" t="s">
        <v>1186</v>
      </c>
    </row>
    <row r="211" spans="1:9" ht="12.75">
      <c r="A211" s="1120" t="s">
        <v>1152</v>
      </c>
      <c r="B211" s="1006"/>
      <c r="C211" s="1006"/>
      <c r="D211" s="1006"/>
      <c r="E211" s="1006"/>
      <c r="F211" s="1006"/>
      <c r="G211" s="700"/>
      <c r="H211" s="1006"/>
      <c r="I211" s="1093"/>
    </row>
    <row r="212" spans="1:9">
      <c r="A212" s="1087"/>
      <c r="B212" s="1006"/>
      <c r="C212" s="1006"/>
      <c r="D212" s="1006"/>
      <c r="E212" s="1006"/>
      <c r="F212" s="1006"/>
      <c r="G212" s="700"/>
      <c r="H212" s="1006"/>
      <c r="I212" s="1093"/>
    </row>
    <row r="213" spans="1:9">
      <c r="A213" s="1087"/>
      <c r="B213" s="1006"/>
      <c r="C213" s="1006"/>
      <c r="D213" s="1006"/>
      <c r="E213" s="1006"/>
      <c r="F213" s="1006"/>
      <c r="G213" s="1006"/>
      <c r="H213" s="1006"/>
      <c r="I213" s="1093"/>
    </row>
    <row r="214" spans="1:9">
      <c r="A214" s="1087"/>
      <c r="B214" s="1006"/>
      <c r="C214" s="1006"/>
      <c r="D214" s="1006"/>
      <c r="E214" s="1006"/>
      <c r="F214" s="1006"/>
      <c r="G214" s="700"/>
      <c r="H214" s="1006"/>
      <c r="I214" s="1093"/>
    </row>
    <row r="215" spans="1:9">
      <c r="A215" s="1087"/>
      <c r="I215" s="1093"/>
    </row>
    <row r="216" spans="1:9">
      <c r="A216" s="1087"/>
      <c r="B216" s="1007"/>
      <c r="C216" s="1007"/>
      <c r="D216" s="1007"/>
      <c r="E216" s="1007"/>
      <c r="F216" s="1007"/>
      <c r="G216" s="1007"/>
      <c r="H216" s="1007"/>
      <c r="I216" s="1093"/>
    </row>
    <row r="217" spans="1:9">
      <c r="A217" s="1087"/>
      <c r="B217" s="1007"/>
      <c r="C217" s="1007"/>
      <c r="D217" s="1007"/>
      <c r="E217" s="1007"/>
      <c r="F217" s="1007"/>
      <c r="G217" s="1007"/>
      <c r="H217" s="1007"/>
      <c r="I217" s="1093"/>
    </row>
    <row r="218" spans="1:9">
      <c r="A218" s="1087"/>
      <c r="B218" s="1007"/>
      <c r="C218" s="1007"/>
      <c r="D218" s="1007"/>
      <c r="E218" s="1007"/>
      <c r="F218" s="1007"/>
      <c r="G218" s="1007"/>
      <c r="H218" s="1007"/>
      <c r="I218" s="1093"/>
    </row>
    <row r="219" spans="1:9">
      <c r="A219" s="1087"/>
      <c r="B219" s="1007"/>
      <c r="C219" s="1007"/>
      <c r="D219" s="1007"/>
      <c r="E219" s="1007"/>
      <c r="F219" s="1007"/>
      <c r="G219" s="1007"/>
      <c r="H219" s="1007"/>
      <c r="I219" s="1093"/>
    </row>
    <row r="220" spans="1:9">
      <c r="B220" s="1007"/>
      <c r="C220" s="1007"/>
      <c r="D220" s="1007"/>
      <c r="E220" s="1007"/>
      <c r="F220" s="1007"/>
      <c r="G220" s="1007"/>
      <c r="H220" s="1007"/>
    </row>
  </sheetData>
  <mergeCells count="6">
    <mergeCell ref="C131:E131"/>
    <mergeCell ref="C144:E144"/>
    <mergeCell ref="C174:E174"/>
    <mergeCell ref="C89:E89"/>
    <mergeCell ref="C5:E5"/>
    <mergeCell ref="C47:E47"/>
  </mergeCells>
  <hyperlinks>
    <hyperlink ref="I1" location="TOC!A1" display="Back"/>
  </hyperlinks>
  <pageMargins left="0.5" right="0.25" top="0.5" bottom="0.25" header="0.25" footer="0"/>
  <pageSetup fitToHeight="5" orientation="landscape" r:id="rId1"/>
  <headerFooter scaleWithDoc="0">
    <oddHeader>&amp;R&amp;P</oddHeader>
  </headerFooter>
  <rowBreaks count="4" manualBreakCount="4">
    <brk id="42" max="7" man="1"/>
    <brk id="84" max="7" man="1"/>
    <brk id="126" max="7" man="1"/>
    <brk id="169" max="7" man="1"/>
  </rowBreak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26"/>
  <sheetViews>
    <sheetView zoomScaleNormal="100" workbookViewId="0"/>
  </sheetViews>
  <sheetFormatPr defaultColWidth="10.85546875" defaultRowHeight="12"/>
  <cols>
    <col min="1" max="1" width="14.7109375" style="978" customWidth="1"/>
    <col min="2" max="2" width="15.7109375" style="988" customWidth="1"/>
    <col min="3" max="3" width="0.85546875" style="978" hidden="1" customWidth="1"/>
    <col min="4" max="4" width="14.7109375" style="988" customWidth="1"/>
    <col min="5" max="5" width="0.5703125" style="978" customWidth="1"/>
    <col min="6" max="6" width="14.42578125" style="988" customWidth="1"/>
    <col min="7" max="7" width="0.85546875" style="978" hidden="1" customWidth="1"/>
    <col min="8" max="8" width="12.7109375" style="988" customWidth="1"/>
    <col min="9" max="9" width="0.5703125" style="978" customWidth="1"/>
    <col min="10" max="10" width="13.7109375" style="988" customWidth="1"/>
    <col min="11" max="11" width="0.85546875" style="978" hidden="1" customWidth="1"/>
    <col min="12" max="12" width="11.7109375" style="988" customWidth="1"/>
    <col min="13" max="13" width="0.5703125" style="978" customWidth="1"/>
    <col min="14" max="14" width="15.7109375" style="988" customWidth="1"/>
    <col min="15" max="15" width="0.85546875" style="978" hidden="1" customWidth="1"/>
    <col min="16" max="16" width="12.7109375" style="988" customWidth="1"/>
    <col min="17" max="17" width="5.28515625" style="1037" bestFit="1" customWidth="1"/>
    <col min="18" max="16384" width="10.85546875" style="978"/>
  </cols>
  <sheetData>
    <row r="1" spans="1:17" s="998" customFormat="1" ht="15.75">
      <c r="A1" s="1242" t="s">
        <v>1014</v>
      </c>
      <c r="B1" s="1018"/>
      <c r="D1" s="1018"/>
      <c r="F1" s="1018"/>
      <c r="H1" s="1018"/>
      <c r="J1" s="1018"/>
      <c r="L1" s="1018"/>
      <c r="N1" s="1018"/>
      <c r="P1" s="1018"/>
      <c r="Q1" s="1276" t="s">
        <v>1194</v>
      </c>
    </row>
    <row r="2" spans="1:17" s="998" customFormat="1" ht="12.75">
      <c r="A2" s="1019" t="s">
        <v>1015</v>
      </c>
      <c r="B2" s="1020"/>
      <c r="C2" s="1020"/>
      <c r="D2" s="1020"/>
      <c r="E2" s="1020"/>
      <c r="F2" s="1020"/>
      <c r="G2" s="1020"/>
      <c r="H2" s="1020"/>
      <c r="I2" s="1020"/>
      <c r="J2" s="1020"/>
      <c r="K2" s="1020"/>
      <c r="L2" s="1020"/>
      <c r="M2" s="1020"/>
      <c r="N2" s="1020"/>
      <c r="O2" s="1020"/>
      <c r="P2" s="1020"/>
      <c r="Q2" s="1021"/>
    </row>
    <row r="3" spans="1:17" ht="12.75">
      <c r="A3" s="1022" t="s">
        <v>1140</v>
      </c>
      <c r="B3" s="1023"/>
      <c r="C3" s="1023"/>
      <c r="D3" s="1023"/>
      <c r="E3" s="1023"/>
      <c r="F3" s="1023"/>
      <c r="G3" s="1023"/>
      <c r="H3" s="1023"/>
      <c r="I3" s="1023"/>
      <c r="J3" s="1023"/>
      <c r="K3" s="1023"/>
      <c r="L3" s="1023"/>
      <c r="M3" s="1023"/>
      <c r="N3" s="1023"/>
      <c r="O3" s="1023"/>
      <c r="P3" s="1023"/>
      <c r="Q3" s="1024"/>
    </row>
    <row r="4" spans="1:17" ht="9" customHeight="1" thickBot="1">
      <c r="A4" s="982"/>
      <c r="B4" s="981"/>
      <c r="C4" s="981"/>
      <c r="D4" s="981"/>
      <c r="E4" s="981"/>
      <c r="F4" s="981"/>
      <c r="G4" s="981"/>
      <c r="H4" s="981"/>
      <c r="I4" s="981"/>
      <c r="J4" s="981"/>
      <c r="K4" s="981"/>
      <c r="L4" s="981"/>
      <c r="M4" s="981"/>
      <c r="N4" s="981"/>
      <c r="O4" s="981"/>
      <c r="P4" s="981"/>
      <c r="Q4" s="1024"/>
    </row>
    <row r="5" spans="1:17" ht="12.75">
      <c r="A5" s="1008"/>
      <c r="B5" s="1443" t="s">
        <v>1016</v>
      </c>
      <c r="C5" s="1443"/>
      <c r="D5" s="1443"/>
      <c r="E5" s="1008"/>
      <c r="F5" s="1443" t="s">
        <v>1017</v>
      </c>
      <c r="G5" s="1443"/>
      <c r="H5" s="1443"/>
      <c r="I5" s="1008"/>
      <c r="J5" s="1443" t="s">
        <v>1018</v>
      </c>
      <c r="K5" s="1443"/>
      <c r="L5" s="1443"/>
      <c r="M5" s="1008"/>
      <c r="N5" s="1443" t="s">
        <v>1019</v>
      </c>
      <c r="O5" s="1443"/>
      <c r="P5" s="1443"/>
      <c r="Q5" s="1021"/>
    </row>
    <row r="6" spans="1:17" ht="12.75">
      <c r="A6" s="1240" t="s">
        <v>23</v>
      </c>
      <c r="B6" s="1241" t="s">
        <v>1020</v>
      </c>
      <c r="C6" s="1240"/>
      <c r="D6" s="1241" t="s">
        <v>1021</v>
      </c>
      <c r="E6" s="1109"/>
      <c r="F6" s="1241" t="s">
        <v>1020</v>
      </c>
      <c r="G6" s="1109"/>
      <c r="H6" s="1241" t="s">
        <v>1021</v>
      </c>
      <c r="I6" s="1109"/>
      <c r="J6" s="1241" t="s">
        <v>1020</v>
      </c>
      <c r="K6" s="1109"/>
      <c r="L6" s="1241" t="s">
        <v>1021</v>
      </c>
      <c r="M6" s="1109"/>
      <c r="N6" s="1241" t="s">
        <v>1020</v>
      </c>
      <c r="O6" s="1109"/>
      <c r="P6" s="1241" t="s">
        <v>1021</v>
      </c>
      <c r="Q6" s="1024"/>
    </row>
    <row r="7" spans="1:17" ht="8.25" customHeight="1"/>
    <row r="8" spans="1:17" ht="12" customHeight="1">
      <c r="A8" s="978" t="s">
        <v>1130</v>
      </c>
      <c r="B8" s="1368">
        <v>375448134</v>
      </c>
      <c r="C8" s="1369"/>
      <c r="D8" s="1368">
        <v>11880295</v>
      </c>
      <c r="E8" s="1369"/>
      <c r="F8" s="1368">
        <v>23821929</v>
      </c>
      <c r="G8" s="1369"/>
      <c r="H8" s="1368">
        <v>886703</v>
      </c>
      <c r="I8" s="1369"/>
      <c r="J8" s="1368">
        <v>0</v>
      </c>
      <c r="K8" s="1369"/>
      <c r="L8" s="1368">
        <v>0</v>
      </c>
      <c r="M8" s="1369"/>
      <c r="N8" s="1368">
        <v>462414985</v>
      </c>
      <c r="O8" s="1369"/>
      <c r="P8" s="1370">
        <v>2867116</v>
      </c>
      <c r="Q8" s="1083"/>
    </row>
    <row r="9" spans="1:17" ht="12" customHeight="1">
      <c r="A9" s="978" t="s">
        <v>66</v>
      </c>
      <c r="B9" s="1025">
        <v>1221979296</v>
      </c>
      <c r="C9" s="1026"/>
      <c r="D9" s="1025">
        <v>48281576.11626</v>
      </c>
      <c r="E9" s="1026"/>
      <c r="F9" s="1025">
        <v>19387688</v>
      </c>
      <c r="G9" s="1026"/>
      <c r="H9" s="1025">
        <v>829793.04639999999</v>
      </c>
      <c r="I9" s="1026"/>
      <c r="J9" s="1025">
        <v>0</v>
      </c>
      <c r="K9" s="1026"/>
      <c r="L9" s="1025">
        <v>0</v>
      </c>
      <c r="M9" s="1026"/>
      <c r="N9" s="1025">
        <v>522757820.5</v>
      </c>
      <c r="O9" s="1026"/>
      <c r="P9" s="1027">
        <v>4482113.0960899992</v>
      </c>
      <c r="Q9" s="1083"/>
    </row>
    <row r="10" spans="1:17" ht="12" customHeight="1">
      <c r="A10" s="978" t="s">
        <v>68</v>
      </c>
      <c r="B10" s="1025">
        <v>148904867</v>
      </c>
      <c r="C10" s="1026"/>
      <c r="D10" s="1025">
        <v>4370248.7949999999</v>
      </c>
      <c r="E10" s="1026"/>
      <c r="F10" s="1025">
        <v>211215719</v>
      </c>
      <c r="G10" s="1026"/>
      <c r="H10" s="1025">
        <v>6294228.4261999996</v>
      </c>
      <c r="I10" s="1026"/>
      <c r="J10" s="1025">
        <v>0</v>
      </c>
      <c r="K10" s="1026"/>
      <c r="L10" s="1025">
        <v>0</v>
      </c>
      <c r="M10" s="1026"/>
      <c r="N10" s="1025">
        <v>178377337</v>
      </c>
      <c r="O10" s="1026"/>
      <c r="P10" s="1027">
        <v>1304894.6550999999</v>
      </c>
      <c r="Q10" s="1083"/>
    </row>
    <row r="11" spans="1:17" ht="12" customHeight="1">
      <c r="A11" s="978" t="s">
        <v>70</v>
      </c>
      <c r="B11" s="1025">
        <v>111613131</v>
      </c>
      <c r="C11" s="1026"/>
      <c r="D11" s="1025">
        <v>4448935.0564999999</v>
      </c>
      <c r="E11" s="1026"/>
      <c r="F11" s="1025">
        <v>8005025</v>
      </c>
      <c r="G11" s="1026"/>
      <c r="H11" s="1025">
        <v>80050</v>
      </c>
      <c r="I11" s="1026"/>
      <c r="J11" s="1025">
        <v>0</v>
      </c>
      <c r="K11" s="1026"/>
      <c r="L11" s="1025">
        <v>0</v>
      </c>
      <c r="M11" s="1026"/>
      <c r="N11" s="1025">
        <v>55281178</v>
      </c>
      <c r="O11" s="1026"/>
      <c r="P11" s="1027">
        <v>285079.11340000003</v>
      </c>
      <c r="Q11" s="1083"/>
    </row>
    <row r="12" spans="1:17" ht="12" customHeight="1">
      <c r="A12" s="978" t="s">
        <v>72</v>
      </c>
      <c r="B12" s="1025">
        <v>293808147</v>
      </c>
      <c r="C12" s="1026"/>
      <c r="D12" s="1025">
        <v>9658222.7675000019</v>
      </c>
      <c r="E12" s="1026"/>
      <c r="F12" s="1025">
        <v>125669580</v>
      </c>
      <c r="G12" s="1026"/>
      <c r="H12" s="1025">
        <v>2513391.6</v>
      </c>
      <c r="I12" s="1026"/>
      <c r="J12" s="1025">
        <v>9578020</v>
      </c>
      <c r="K12" s="1026"/>
      <c r="L12" s="1025">
        <v>378331.79</v>
      </c>
      <c r="M12" s="1026"/>
      <c r="N12" s="1025">
        <v>121556726</v>
      </c>
      <c r="O12" s="1026"/>
      <c r="P12" s="1027">
        <v>741529.79619999987</v>
      </c>
      <c r="Q12" s="1083"/>
    </row>
    <row r="13" spans="1:17" ht="8.25" customHeight="1">
      <c r="B13" s="1025"/>
      <c r="C13" s="1026"/>
      <c r="D13" s="1025"/>
      <c r="E13" s="1026"/>
      <c r="F13" s="1025"/>
      <c r="G13" s="1026"/>
      <c r="H13" s="1025"/>
      <c r="I13" s="1026"/>
      <c r="J13" s="1025"/>
      <c r="K13" s="1026"/>
      <c r="L13" s="1025"/>
      <c r="M13" s="1026"/>
      <c r="N13" s="1025"/>
      <c r="O13" s="1026"/>
      <c r="P13" s="1027"/>
      <c r="Q13" s="1083"/>
    </row>
    <row r="14" spans="1:17" ht="12" customHeight="1">
      <c r="A14" s="978" t="s">
        <v>74</v>
      </c>
      <c r="B14" s="1025">
        <v>158630682</v>
      </c>
      <c r="C14" s="1026"/>
      <c r="D14" s="1025">
        <v>5109511.0326000005</v>
      </c>
      <c r="E14" s="1026"/>
      <c r="F14" s="1025">
        <v>3437560</v>
      </c>
      <c r="G14" s="1026"/>
      <c r="H14" s="1025">
        <v>115158.26</v>
      </c>
      <c r="I14" s="1026"/>
      <c r="J14" s="1025">
        <v>16031078</v>
      </c>
      <c r="K14" s="1026"/>
      <c r="L14" s="1025">
        <v>160310.78</v>
      </c>
      <c r="M14" s="1026"/>
      <c r="N14" s="1025">
        <v>133169228</v>
      </c>
      <c r="O14" s="1026"/>
      <c r="P14" s="1027">
        <v>860606.81</v>
      </c>
      <c r="Q14" s="1083"/>
    </row>
    <row r="15" spans="1:17" ht="12" customHeight="1">
      <c r="A15" s="978" t="s">
        <v>422</v>
      </c>
      <c r="B15" s="1025">
        <v>180697600</v>
      </c>
      <c r="C15" s="1026"/>
      <c r="D15" s="1025">
        <v>207982.93759999998</v>
      </c>
      <c r="E15" s="1026"/>
      <c r="F15" s="1025">
        <v>0</v>
      </c>
      <c r="G15" s="1026"/>
      <c r="H15" s="1025">
        <v>0</v>
      </c>
      <c r="I15" s="1026"/>
      <c r="J15" s="1025">
        <v>0</v>
      </c>
      <c r="K15" s="1026"/>
      <c r="L15" s="1025">
        <v>0</v>
      </c>
      <c r="M15" s="1026"/>
      <c r="N15" s="1025">
        <v>0</v>
      </c>
      <c r="O15" s="1026"/>
      <c r="P15" s="1027">
        <v>0</v>
      </c>
      <c r="Q15" s="1083"/>
    </row>
    <row r="16" spans="1:17" ht="12" customHeight="1">
      <c r="A16" s="978" t="s">
        <v>78</v>
      </c>
      <c r="B16" s="1025">
        <v>780556010</v>
      </c>
      <c r="C16" s="1026"/>
      <c r="D16" s="1025">
        <v>18218916.827999998</v>
      </c>
      <c r="E16" s="1026"/>
      <c r="F16" s="1025">
        <v>242485670</v>
      </c>
      <c r="G16" s="1026"/>
      <c r="H16" s="1025">
        <v>4849713.4000000004</v>
      </c>
      <c r="I16" s="1026"/>
      <c r="J16" s="1025">
        <v>0</v>
      </c>
      <c r="K16" s="1026"/>
      <c r="L16" s="1025">
        <v>0</v>
      </c>
      <c r="M16" s="1026"/>
      <c r="N16" s="1025">
        <v>458426290</v>
      </c>
      <c r="O16" s="1026"/>
      <c r="P16" s="1027">
        <v>2900818.43</v>
      </c>
      <c r="Q16" s="1083"/>
    </row>
    <row r="17" spans="1:17" ht="12" customHeight="1">
      <c r="A17" s="978" t="s">
        <v>80</v>
      </c>
      <c r="B17" s="1025">
        <v>62539400</v>
      </c>
      <c r="C17" s="1026"/>
      <c r="D17" s="1025">
        <v>219127.45</v>
      </c>
      <c r="E17" s="1026"/>
      <c r="F17" s="1025">
        <v>4911200</v>
      </c>
      <c r="G17" s="1026"/>
      <c r="H17" s="1025">
        <v>17189.2</v>
      </c>
      <c r="I17" s="1026"/>
      <c r="J17" s="1025">
        <v>0</v>
      </c>
      <c r="K17" s="1026"/>
      <c r="L17" s="1025">
        <v>0</v>
      </c>
      <c r="M17" s="1026"/>
      <c r="N17" s="1025">
        <v>1385637012</v>
      </c>
      <c r="O17" s="1026"/>
      <c r="P17" s="1027">
        <v>6926429.4000000004</v>
      </c>
      <c r="Q17" s="1083"/>
    </row>
    <row r="18" spans="1:17" ht="12" customHeight="1">
      <c r="A18" s="978" t="s">
        <v>992</v>
      </c>
      <c r="B18" s="1025">
        <v>1090743303</v>
      </c>
      <c r="C18" s="1026"/>
      <c r="D18" s="1025">
        <v>24284595.056500003</v>
      </c>
      <c r="E18" s="1026"/>
      <c r="F18" s="1025">
        <v>318561704</v>
      </c>
      <c r="G18" s="1026"/>
      <c r="H18" s="1025">
        <v>3822740.4480000003</v>
      </c>
      <c r="I18" s="1026"/>
      <c r="J18" s="1025">
        <v>0</v>
      </c>
      <c r="K18" s="1026"/>
      <c r="L18" s="1025">
        <v>0</v>
      </c>
      <c r="M18" s="1026"/>
      <c r="N18" s="1025">
        <v>335703653</v>
      </c>
      <c r="O18" s="1026"/>
      <c r="P18" s="1027">
        <v>1679613.5390000001</v>
      </c>
      <c r="Q18" s="1083"/>
    </row>
    <row r="19" spans="1:17" ht="8.25" customHeight="1">
      <c r="B19" s="1025"/>
      <c r="C19" s="1028"/>
      <c r="D19" s="1025"/>
      <c r="E19" s="1028"/>
      <c r="F19" s="1025"/>
      <c r="G19" s="1028"/>
      <c r="H19" s="1025"/>
      <c r="I19" s="1028"/>
      <c r="J19" s="1025"/>
      <c r="K19" s="1028"/>
      <c r="L19" s="1025"/>
      <c r="M19" s="1028"/>
      <c r="N19" s="1025"/>
      <c r="O19" s="1028"/>
      <c r="P19" s="1027"/>
      <c r="Q19" s="1083"/>
    </row>
    <row r="20" spans="1:17" ht="12" customHeight="1">
      <c r="A20" s="978" t="s">
        <v>83</v>
      </c>
      <c r="B20" s="1025">
        <v>69069704</v>
      </c>
      <c r="C20" s="1026"/>
      <c r="D20" s="1025">
        <v>1532297.9441</v>
      </c>
      <c r="E20" s="1026"/>
      <c r="F20" s="1025">
        <v>26999772</v>
      </c>
      <c r="G20" s="1026"/>
      <c r="H20" s="1025">
        <v>240297.97080000001</v>
      </c>
      <c r="I20" s="1026"/>
      <c r="J20" s="1025">
        <v>21122131</v>
      </c>
      <c r="K20" s="1026"/>
      <c r="L20" s="1025">
        <v>154191.5563</v>
      </c>
      <c r="M20" s="1026"/>
      <c r="N20" s="1025">
        <v>100564605</v>
      </c>
      <c r="O20" s="1026"/>
      <c r="P20" s="1027">
        <v>603387.63</v>
      </c>
      <c r="Q20" s="1083"/>
    </row>
    <row r="21" spans="1:17" ht="12" customHeight="1">
      <c r="A21" s="978" t="s">
        <v>85</v>
      </c>
      <c r="B21" s="1025">
        <v>360617963</v>
      </c>
      <c r="C21" s="1026"/>
      <c r="D21" s="1025">
        <v>9663919.6996999998</v>
      </c>
      <c r="E21" s="1026"/>
      <c r="F21" s="1025">
        <v>260336873</v>
      </c>
      <c r="G21" s="1026"/>
      <c r="H21" s="1025">
        <v>4686063.7140000006</v>
      </c>
      <c r="I21" s="1026"/>
      <c r="J21" s="1025">
        <v>0</v>
      </c>
      <c r="K21" s="1026"/>
      <c r="L21" s="1025">
        <v>0</v>
      </c>
      <c r="M21" s="1026"/>
      <c r="N21" s="1025">
        <v>465470488</v>
      </c>
      <c r="O21" s="1026"/>
      <c r="P21" s="1027">
        <v>3693591.4408</v>
      </c>
      <c r="Q21" s="1083"/>
    </row>
    <row r="22" spans="1:17" ht="12" customHeight="1">
      <c r="A22" s="978" t="s">
        <v>87</v>
      </c>
      <c r="B22" s="1025">
        <v>131987030</v>
      </c>
      <c r="C22" s="1026"/>
      <c r="D22" s="1025">
        <v>4579429.7650000006</v>
      </c>
      <c r="E22" s="1026"/>
      <c r="F22" s="1025">
        <v>18357400</v>
      </c>
      <c r="G22" s="1026"/>
      <c r="H22" s="1025">
        <v>624151.6</v>
      </c>
      <c r="I22" s="1026"/>
      <c r="J22" s="1025">
        <v>0</v>
      </c>
      <c r="K22" s="1026"/>
      <c r="L22" s="1025">
        <v>0</v>
      </c>
      <c r="M22" s="1026"/>
      <c r="N22" s="1025">
        <v>1025902873</v>
      </c>
      <c r="O22" s="1026"/>
      <c r="P22" s="1027">
        <v>5437635.9773000004</v>
      </c>
      <c r="Q22" s="1083"/>
    </row>
    <row r="23" spans="1:17" ht="12" customHeight="1">
      <c r="A23" s="978" t="s">
        <v>89</v>
      </c>
      <c r="B23" s="1025">
        <v>286745057</v>
      </c>
      <c r="C23" s="1026"/>
      <c r="D23" s="1025">
        <v>5323492.9635000005</v>
      </c>
      <c r="E23" s="1026"/>
      <c r="F23" s="1025">
        <v>266998235</v>
      </c>
      <c r="G23" s="1026"/>
      <c r="H23" s="1025">
        <v>5206465.5999999996</v>
      </c>
      <c r="I23" s="1026"/>
      <c r="J23" s="1025">
        <v>4329322</v>
      </c>
      <c r="K23" s="1026"/>
      <c r="L23" s="1025">
        <v>86586.44</v>
      </c>
      <c r="M23" s="1026"/>
      <c r="N23" s="1025">
        <v>160844927</v>
      </c>
      <c r="O23" s="1026"/>
      <c r="P23" s="1027">
        <v>631402.46</v>
      </c>
      <c r="Q23" s="1083"/>
    </row>
    <row r="24" spans="1:17" ht="12" customHeight="1">
      <c r="A24" s="978" t="s">
        <v>91</v>
      </c>
      <c r="B24" s="1025">
        <v>122945567</v>
      </c>
      <c r="C24" s="1026"/>
      <c r="D24" s="1025">
        <v>4636239.8265000004</v>
      </c>
      <c r="E24" s="1026"/>
      <c r="F24" s="1025">
        <v>10824530</v>
      </c>
      <c r="G24" s="1026"/>
      <c r="H24" s="1025">
        <v>313911.37</v>
      </c>
      <c r="I24" s="1026"/>
      <c r="J24" s="1025">
        <v>23701060</v>
      </c>
      <c r="K24" s="1026"/>
      <c r="L24" s="1025">
        <v>237010.6</v>
      </c>
      <c r="M24" s="1026"/>
      <c r="N24" s="1025">
        <v>641446847</v>
      </c>
      <c r="O24" s="1026"/>
      <c r="P24" s="1027">
        <v>3337017.5004000003</v>
      </c>
      <c r="Q24" s="1083"/>
    </row>
    <row r="25" spans="1:17" ht="8.25" customHeight="1">
      <c r="B25" s="1025"/>
      <c r="C25" s="1026"/>
      <c r="D25" s="1025"/>
      <c r="E25" s="1026"/>
      <c r="F25" s="1025"/>
      <c r="G25" s="1026"/>
      <c r="H25" s="1025"/>
      <c r="I25" s="1026"/>
      <c r="J25" s="1025"/>
      <c r="K25" s="1026"/>
      <c r="L25" s="1025"/>
      <c r="M25" s="1026"/>
      <c r="N25" s="1025"/>
      <c r="O25" s="1026"/>
      <c r="P25" s="1027"/>
      <c r="Q25" s="1083"/>
    </row>
    <row r="26" spans="1:17" ht="12" customHeight="1">
      <c r="A26" s="978" t="s">
        <v>93</v>
      </c>
      <c r="B26" s="1025">
        <v>421168998</v>
      </c>
      <c r="C26" s="1026"/>
      <c r="D26" s="1025">
        <v>17018470.053100001</v>
      </c>
      <c r="E26" s="1026"/>
      <c r="F26" s="1025">
        <v>201974946</v>
      </c>
      <c r="G26" s="1026"/>
      <c r="H26" s="1025">
        <v>6463198.2720000008</v>
      </c>
      <c r="I26" s="1026"/>
      <c r="J26" s="1025">
        <v>0</v>
      </c>
      <c r="K26" s="1026"/>
      <c r="L26" s="1025">
        <v>0</v>
      </c>
      <c r="M26" s="1026"/>
      <c r="N26" s="1025">
        <v>449003820</v>
      </c>
      <c r="O26" s="1026"/>
      <c r="P26" s="1027">
        <v>2370814.2482000003</v>
      </c>
      <c r="Q26" s="1083"/>
    </row>
    <row r="27" spans="1:17" ht="12" customHeight="1">
      <c r="A27" s="978" t="s">
        <v>95</v>
      </c>
      <c r="B27" s="1025">
        <v>344485897</v>
      </c>
      <c r="C27" s="1026"/>
      <c r="D27" s="1025">
        <v>12501937.470000003</v>
      </c>
      <c r="E27" s="1026"/>
      <c r="F27" s="1025">
        <v>7984910</v>
      </c>
      <c r="G27" s="1026"/>
      <c r="H27" s="1025">
        <v>279471.84999999998</v>
      </c>
      <c r="I27" s="1026"/>
      <c r="J27" s="1025">
        <v>0</v>
      </c>
      <c r="K27" s="1026"/>
      <c r="L27" s="1025">
        <v>0</v>
      </c>
      <c r="M27" s="1026"/>
      <c r="N27" s="1025">
        <v>410095645</v>
      </c>
      <c r="O27" s="1026"/>
      <c r="P27" s="1027">
        <v>3480520.8334999997</v>
      </c>
      <c r="Q27" s="1083"/>
    </row>
    <row r="28" spans="1:17" ht="12" customHeight="1">
      <c r="A28" s="978" t="s">
        <v>97</v>
      </c>
      <c r="B28" s="1025">
        <v>303857365</v>
      </c>
      <c r="C28" s="1026"/>
      <c r="D28" s="1025">
        <v>6795226.3150000004</v>
      </c>
      <c r="E28" s="1026"/>
      <c r="F28" s="1025">
        <v>56020095</v>
      </c>
      <c r="G28" s="1026"/>
      <c r="H28" s="1025">
        <v>1120401.8999999999</v>
      </c>
      <c r="I28" s="1026"/>
      <c r="J28" s="1025">
        <v>33601985</v>
      </c>
      <c r="K28" s="1026"/>
      <c r="L28" s="1025">
        <v>231853.69649999999</v>
      </c>
      <c r="M28" s="1026"/>
      <c r="N28" s="1025">
        <v>137843332</v>
      </c>
      <c r="O28" s="1026"/>
      <c r="P28" s="1027">
        <v>1013755.6797999999</v>
      </c>
      <c r="Q28" s="1083"/>
    </row>
    <row r="29" spans="1:17" ht="12" customHeight="1">
      <c r="A29" s="978" t="s">
        <v>99</v>
      </c>
      <c r="B29" s="1025">
        <v>90537583</v>
      </c>
      <c r="C29" s="1026"/>
      <c r="D29" s="1025">
        <v>3343862.58</v>
      </c>
      <c r="E29" s="1026"/>
      <c r="F29" s="1025">
        <v>6846927</v>
      </c>
      <c r="G29" s="1026"/>
      <c r="H29" s="1025">
        <v>205407.81</v>
      </c>
      <c r="I29" s="1026"/>
      <c r="J29" s="1025">
        <v>630926</v>
      </c>
      <c r="K29" s="1026"/>
      <c r="L29" s="1025">
        <v>17665.928</v>
      </c>
      <c r="M29" s="1026"/>
      <c r="N29" s="1025">
        <v>159541859</v>
      </c>
      <c r="O29" s="1026"/>
      <c r="P29" s="1027">
        <v>1212518.1284</v>
      </c>
      <c r="Q29" s="1083"/>
    </row>
    <row r="30" spans="1:17" ht="12" customHeight="1">
      <c r="A30" s="978" t="s">
        <v>101</v>
      </c>
      <c r="B30" s="1025">
        <v>112073326.40000001</v>
      </c>
      <c r="C30" s="1026"/>
      <c r="D30" s="1025">
        <v>4289863.9290999994</v>
      </c>
      <c r="E30" s="1026"/>
      <c r="F30" s="1025">
        <v>18046727.809999999</v>
      </c>
      <c r="G30" s="1026"/>
      <c r="H30" s="1025">
        <v>541401.83429999987</v>
      </c>
      <c r="I30" s="1026"/>
      <c r="J30" s="1025">
        <v>0</v>
      </c>
      <c r="K30" s="1026"/>
      <c r="L30" s="1025">
        <v>0</v>
      </c>
      <c r="M30" s="1026"/>
      <c r="N30" s="1025">
        <v>94277236</v>
      </c>
      <c r="O30" s="1026"/>
      <c r="P30" s="1027">
        <v>584518.86320000002</v>
      </c>
      <c r="Q30" s="1083"/>
    </row>
    <row r="31" spans="1:17" ht="8.25" customHeight="1">
      <c r="B31" s="1025"/>
      <c r="C31" s="1028"/>
      <c r="D31" s="1025"/>
      <c r="E31" s="1028"/>
      <c r="F31" s="1025"/>
      <c r="G31" s="1028"/>
      <c r="H31" s="1025"/>
      <c r="I31" s="1028"/>
      <c r="J31" s="1025"/>
      <c r="K31" s="1028"/>
      <c r="L31" s="1025"/>
      <c r="M31" s="1028"/>
      <c r="N31" s="1025"/>
      <c r="O31" s="1028"/>
      <c r="P31" s="1027"/>
      <c r="Q31" s="1083"/>
    </row>
    <row r="32" spans="1:17" ht="12" customHeight="1">
      <c r="A32" s="978" t="s">
        <v>103</v>
      </c>
      <c r="B32" s="1025">
        <v>4431855845</v>
      </c>
      <c r="C32" s="1026"/>
      <c r="D32" s="1025">
        <v>159284787.19150001</v>
      </c>
      <c r="E32" s="1026"/>
      <c r="F32" s="1025">
        <v>533404365</v>
      </c>
      <c r="G32" s="1026"/>
      <c r="H32" s="1025">
        <v>5334043.6500000004</v>
      </c>
      <c r="I32" s="1026"/>
      <c r="J32" s="1025">
        <v>0</v>
      </c>
      <c r="K32" s="1026"/>
      <c r="L32" s="1025">
        <v>0</v>
      </c>
      <c r="M32" s="1026"/>
      <c r="N32" s="1025">
        <v>1783916087</v>
      </c>
      <c r="O32" s="1026"/>
      <c r="P32" s="1027">
        <v>16974039.429499999</v>
      </c>
      <c r="Q32" s="1083"/>
    </row>
    <row r="33" spans="1:17" ht="12" customHeight="1">
      <c r="A33" s="978" t="s">
        <v>105</v>
      </c>
      <c r="B33" s="1025">
        <v>190874546</v>
      </c>
      <c r="C33" s="1026"/>
      <c r="D33" s="1025">
        <v>8576383.2131600007</v>
      </c>
      <c r="E33" s="1026"/>
      <c r="F33" s="1025">
        <v>14074437</v>
      </c>
      <c r="G33" s="1026"/>
      <c r="H33" s="1025">
        <v>175930.46249999999</v>
      </c>
      <c r="I33" s="1026"/>
      <c r="J33" s="1025">
        <v>0</v>
      </c>
      <c r="K33" s="1026"/>
      <c r="L33" s="1025">
        <v>0</v>
      </c>
      <c r="M33" s="1026"/>
      <c r="N33" s="1025">
        <v>67261050</v>
      </c>
      <c r="O33" s="1026"/>
      <c r="P33" s="1027">
        <v>413655.45750000002</v>
      </c>
      <c r="Q33" s="1083"/>
    </row>
    <row r="34" spans="1:17" ht="12" customHeight="1">
      <c r="A34" s="978" t="s">
        <v>107</v>
      </c>
      <c r="B34" s="1025">
        <v>40963032</v>
      </c>
      <c r="C34" s="1026"/>
      <c r="D34" s="1025">
        <v>1330711.8788999999</v>
      </c>
      <c r="E34" s="1026"/>
      <c r="F34" s="1025">
        <v>2233193</v>
      </c>
      <c r="G34" s="1026"/>
      <c r="H34" s="1025">
        <v>49130.246000000006</v>
      </c>
      <c r="I34" s="1026"/>
      <c r="J34" s="1025">
        <v>376207</v>
      </c>
      <c r="K34" s="1026"/>
      <c r="L34" s="1025">
        <v>13167.245000000001</v>
      </c>
      <c r="M34" s="1026"/>
      <c r="N34" s="1025">
        <v>476838</v>
      </c>
      <c r="O34" s="1026"/>
      <c r="P34" s="1027">
        <v>16689.330000000002</v>
      </c>
      <c r="Q34" s="1083"/>
    </row>
    <row r="35" spans="1:17" ht="12" customHeight="1">
      <c r="A35" s="978" t="s">
        <v>1131</v>
      </c>
      <c r="B35" s="1025">
        <v>950969299</v>
      </c>
      <c r="C35" s="1026"/>
      <c r="D35" s="1025">
        <v>29365620.900000006</v>
      </c>
      <c r="E35" s="1026"/>
      <c r="F35" s="1025">
        <v>95395875</v>
      </c>
      <c r="G35" s="1026"/>
      <c r="H35" s="1025">
        <v>1907917.5</v>
      </c>
      <c r="I35" s="1026"/>
      <c r="J35" s="1025">
        <v>0</v>
      </c>
      <c r="K35" s="1026"/>
      <c r="L35" s="1025">
        <v>0</v>
      </c>
      <c r="M35" s="1026"/>
      <c r="N35" s="1025">
        <v>268521330</v>
      </c>
      <c r="O35" s="1026"/>
      <c r="P35" s="1027">
        <v>1760618.97</v>
      </c>
      <c r="Q35" s="1083"/>
    </row>
    <row r="36" spans="1:17" ht="12" customHeight="1">
      <c r="A36" s="978" t="s">
        <v>111</v>
      </c>
      <c r="B36" s="1025">
        <v>72558582</v>
      </c>
      <c r="C36" s="1026"/>
      <c r="D36" s="1025">
        <v>3070113.0626999997</v>
      </c>
      <c r="E36" s="1026"/>
      <c r="F36" s="1025">
        <v>6244312</v>
      </c>
      <c r="G36" s="1026"/>
      <c r="H36" s="1025">
        <v>234161.7</v>
      </c>
      <c r="I36" s="1026"/>
      <c r="J36" s="1025">
        <v>0</v>
      </c>
      <c r="K36" s="1026"/>
      <c r="L36" s="1025">
        <v>0</v>
      </c>
      <c r="M36" s="1026"/>
      <c r="N36" s="1025">
        <v>129039658</v>
      </c>
      <c r="O36" s="1026"/>
      <c r="P36" s="1027">
        <v>1001000.9868000001</v>
      </c>
      <c r="Q36" s="1083"/>
    </row>
    <row r="37" spans="1:17" ht="8.25" customHeight="1">
      <c r="B37" s="1025"/>
      <c r="C37" s="1026"/>
      <c r="D37" s="1025"/>
      <c r="E37" s="1026"/>
      <c r="F37" s="1025"/>
      <c r="G37" s="1026"/>
      <c r="H37" s="1025"/>
      <c r="I37" s="1026"/>
      <c r="J37" s="1371"/>
      <c r="K37" s="1026"/>
      <c r="L37" s="1371"/>
      <c r="M37" s="1026"/>
      <c r="N37" s="1025"/>
      <c r="O37" s="1026"/>
      <c r="P37" s="1027"/>
      <c r="Q37" s="1083"/>
    </row>
    <row r="38" spans="1:17" ht="12" customHeight="1">
      <c r="A38" s="978" t="s">
        <v>113</v>
      </c>
      <c r="B38" s="1025">
        <v>192254488</v>
      </c>
      <c r="C38" s="1026"/>
      <c r="D38" s="1025">
        <v>3419548.8154999996</v>
      </c>
      <c r="E38" s="1026"/>
      <c r="F38" s="1025">
        <v>83906481</v>
      </c>
      <c r="G38" s="1026"/>
      <c r="H38" s="1025">
        <v>1552269.8985000001</v>
      </c>
      <c r="I38" s="1026"/>
      <c r="J38" s="1025">
        <v>899434</v>
      </c>
      <c r="K38" s="1026"/>
      <c r="L38" s="1025">
        <v>94440.57</v>
      </c>
      <c r="M38" s="1026"/>
      <c r="N38" s="1025">
        <v>123961172</v>
      </c>
      <c r="O38" s="1026"/>
      <c r="P38" s="1027">
        <v>744993.51949999994</v>
      </c>
      <c r="Q38" s="1083"/>
    </row>
    <row r="39" spans="1:17" ht="12" customHeight="1">
      <c r="A39" s="978" t="s">
        <v>115</v>
      </c>
      <c r="B39" s="1025">
        <v>283568379</v>
      </c>
      <c r="C39" s="1026"/>
      <c r="D39" s="1025">
        <v>12719701.775800001</v>
      </c>
      <c r="E39" s="1026"/>
      <c r="F39" s="1025">
        <v>108460487</v>
      </c>
      <c r="G39" s="1026"/>
      <c r="H39" s="1025">
        <v>3579196.0709999995</v>
      </c>
      <c r="I39" s="1026"/>
      <c r="J39" s="1025">
        <v>0</v>
      </c>
      <c r="K39" s="1026"/>
      <c r="L39" s="1025">
        <v>0</v>
      </c>
      <c r="M39" s="1026"/>
      <c r="N39" s="1025">
        <v>246876060</v>
      </c>
      <c r="O39" s="1026"/>
      <c r="P39" s="1027">
        <v>1968348.8136000002</v>
      </c>
      <c r="Q39" s="1083"/>
    </row>
    <row r="40" spans="1:17" ht="12" customHeight="1">
      <c r="A40" s="978" t="s">
        <v>117</v>
      </c>
      <c r="B40" s="1025">
        <v>142735526</v>
      </c>
      <c r="C40" s="1026"/>
      <c r="D40" s="1025">
        <v>5525465.71</v>
      </c>
      <c r="E40" s="1026"/>
      <c r="F40" s="1025">
        <v>8679000</v>
      </c>
      <c r="G40" s="1026"/>
      <c r="H40" s="1025">
        <v>104148</v>
      </c>
      <c r="I40" s="1026"/>
      <c r="J40" s="1025">
        <v>2807625</v>
      </c>
      <c r="K40" s="1026"/>
      <c r="L40" s="1025">
        <v>105285.9375</v>
      </c>
      <c r="M40" s="1026"/>
      <c r="N40" s="1025">
        <v>44237444</v>
      </c>
      <c r="O40" s="1026"/>
      <c r="P40" s="1027">
        <v>380442.01839999994</v>
      </c>
      <c r="Q40" s="1083"/>
    </row>
    <row r="41" spans="1:17" ht="12" customHeight="1">
      <c r="A41" s="978" t="s">
        <v>494</v>
      </c>
      <c r="B41" s="1025">
        <v>14847626899</v>
      </c>
      <c r="C41" s="1026"/>
      <c r="D41" s="1025">
        <v>674782012.04350007</v>
      </c>
      <c r="E41" s="1026"/>
      <c r="F41" s="1025">
        <v>22532794</v>
      </c>
      <c r="G41" s="1026"/>
      <c r="H41" s="1025">
        <v>1029748.6858000001</v>
      </c>
      <c r="I41" s="1026"/>
      <c r="J41" s="1025">
        <v>0</v>
      </c>
      <c r="K41" s="1026"/>
      <c r="L41" s="1025">
        <v>0</v>
      </c>
      <c r="M41" s="1026"/>
      <c r="N41" s="1025">
        <v>4295551839</v>
      </c>
      <c r="O41" s="1026"/>
      <c r="P41" s="1027">
        <v>49662958.452899992</v>
      </c>
      <c r="Q41" s="1083"/>
    </row>
    <row r="42" spans="1:17" ht="12" customHeight="1">
      <c r="A42" s="978" t="s">
        <v>121</v>
      </c>
      <c r="B42" s="1025">
        <v>973969854</v>
      </c>
      <c r="C42" s="1026"/>
      <c r="D42" s="1025">
        <v>43933279.349060006</v>
      </c>
      <c r="E42" s="1026"/>
      <c r="F42" s="1025">
        <v>283655759</v>
      </c>
      <c r="G42" s="1026"/>
      <c r="H42" s="1025">
        <v>6524082.4569999985</v>
      </c>
      <c r="I42" s="1026"/>
      <c r="J42" s="1025">
        <v>0</v>
      </c>
      <c r="K42" s="1026"/>
      <c r="L42" s="1025">
        <v>0</v>
      </c>
      <c r="M42" s="1026"/>
      <c r="N42" s="1025">
        <v>738721754</v>
      </c>
      <c r="O42" s="1026"/>
      <c r="P42" s="1027">
        <v>7342894</v>
      </c>
      <c r="Q42" s="1083"/>
    </row>
    <row r="43" spans="1:17" ht="15.75">
      <c r="A43" s="1242" t="s">
        <v>1022</v>
      </c>
      <c r="B43" s="1018"/>
      <c r="C43" s="998"/>
      <c r="D43" s="1018"/>
      <c r="E43" s="998"/>
      <c r="F43" s="1018"/>
      <c r="G43" s="998"/>
      <c r="H43" s="1018"/>
      <c r="I43" s="998"/>
      <c r="J43" s="1018"/>
      <c r="K43" s="998"/>
      <c r="L43" s="1018"/>
      <c r="M43" s="998"/>
      <c r="N43" s="1018"/>
      <c r="O43" s="998"/>
      <c r="P43" s="1018"/>
      <c r="Q43" s="1021"/>
    </row>
    <row r="44" spans="1:17" ht="12.75">
      <c r="A44" s="1019" t="s">
        <v>1015</v>
      </c>
      <c r="B44" s="1020"/>
      <c r="C44" s="1020"/>
      <c r="D44" s="1020"/>
      <c r="E44" s="1020"/>
      <c r="F44" s="1020"/>
      <c r="G44" s="1020"/>
      <c r="H44" s="1020"/>
      <c r="I44" s="1020"/>
      <c r="J44" s="1020"/>
      <c r="K44" s="1020"/>
      <c r="L44" s="1020"/>
      <c r="M44" s="1020"/>
      <c r="N44" s="1020"/>
      <c r="O44" s="1020"/>
      <c r="P44" s="1020"/>
      <c r="Q44" s="1021"/>
    </row>
    <row r="45" spans="1:17" ht="12.75">
      <c r="A45" s="1022" t="str">
        <f>A3</f>
        <v>Assessed Values and Levies by Locality - Tax Year 2020</v>
      </c>
      <c r="B45" s="1023"/>
      <c r="C45" s="1023"/>
      <c r="D45" s="1023"/>
      <c r="E45" s="1023"/>
      <c r="F45" s="1023"/>
      <c r="G45" s="1023"/>
      <c r="H45" s="1023"/>
      <c r="I45" s="1023"/>
      <c r="J45" s="1023"/>
      <c r="K45" s="1023"/>
      <c r="L45" s="1023"/>
      <c r="M45" s="1023"/>
      <c r="N45" s="1023"/>
      <c r="O45" s="1023"/>
      <c r="P45" s="1023"/>
      <c r="Q45" s="1024"/>
    </row>
    <row r="46" spans="1:17" ht="9" customHeight="1" thickBot="1">
      <c r="A46" s="981"/>
      <c r="B46" s="981"/>
      <c r="C46" s="981"/>
      <c r="D46" s="981"/>
      <c r="E46" s="981"/>
      <c r="F46" s="981"/>
      <c r="G46" s="981"/>
      <c r="H46" s="981"/>
      <c r="I46" s="981"/>
      <c r="J46" s="981"/>
      <c r="K46" s="981"/>
      <c r="L46" s="981"/>
      <c r="M46" s="981"/>
      <c r="N46" s="981"/>
      <c r="O46" s="981"/>
      <c r="P46" s="981"/>
      <c r="Q46" s="1024"/>
    </row>
    <row r="47" spans="1:17" ht="12.75">
      <c r="A47" s="1008"/>
      <c r="B47" s="1443" t="s">
        <v>1016</v>
      </c>
      <c r="C47" s="1443"/>
      <c r="D47" s="1443"/>
      <c r="E47" s="1008"/>
      <c r="F47" s="1443" t="s">
        <v>1017</v>
      </c>
      <c r="G47" s="1443"/>
      <c r="H47" s="1443"/>
      <c r="I47" s="1008"/>
      <c r="J47" s="1443" t="s">
        <v>1018</v>
      </c>
      <c r="K47" s="1443"/>
      <c r="L47" s="1443"/>
      <c r="M47" s="1008"/>
      <c r="N47" s="1443" t="s">
        <v>1019</v>
      </c>
      <c r="O47" s="1443"/>
      <c r="P47" s="1443"/>
      <c r="Q47" s="1021"/>
    </row>
    <row r="48" spans="1:17" ht="12.75">
      <c r="A48" s="1240" t="s">
        <v>23</v>
      </c>
      <c r="B48" s="1241" t="s">
        <v>1020</v>
      </c>
      <c r="C48" s="1240"/>
      <c r="D48" s="1241" t="s">
        <v>1021</v>
      </c>
      <c r="E48" s="1109"/>
      <c r="F48" s="1241" t="s">
        <v>1020</v>
      </c>
      <c r="G48" s="1109"/>
      <c r="H48" s="1241" t="s">
        <v>1021</v>
      </c>
      <c r="I48" s="1109"/>
      <c r="J48" s="1241" t="s">
        <v>1020</v>
      </c>
      <c r="K48" s="1109"/>
      <c r="L48" s="1241" t="s">
        <v>1021</v>
      </c>
      <c r="M48" s="1109"/>
      <c r="N48" s="1241" t="s">
        <v>1020</v>
      </c>
      <c r="O48" s="1109"/>
      <c r="P48" s="1241" t="s">
        <v>1021</v>
      </c>
      <c r="Q48" s="1024"/>
    </row>
    <row r="49" spans="1:17" ht="8.25" customHeight="1">
      <c r="B49" s="1025"/>
      <c r="C49" s="1028"/>
      <c r="D49" s="1025"/>
      <c r="E49" s="1028"/>
      <c r="F49" s="1025"/>
      <c r="G49" s="1028"/>
      <c r="H49" s="1025"/>
      <c r="I49" s="1028"/>
      <c r="J49" s="1025"/>
      <c r="K49" s="1028"/>
      <c r="L49" s="1025"/>
      <c r="M49" s="1028"/>
      <c r="N49" s="1025"/>
      <c r="O49" s="1028"/>
      <c r="P49" s="1027"/>
      <c r="Q49" s="1088"/>
    </row>
    <row r="50" spans="1:17" ht="12" customHeight="1">
      <c r="A50" s="978" t="s">
        <v>123</v>
      </c>
      <c r="B50" s="1368">
        <v>136913431</v>
      </c>
      <c r="C50" s="1369"/>
      <c r="D50" s="1368">
        <v>3823187.9205000005</v>
      </c>
      <c r="E50" s="1369"/>
      <c r="F50" s="1368">
        <v>14974542</v>
      </c>
      <c r="G50" s="1369"/>
      <c r="H50" s="1368">
        <v>232105.40100000001</v>
      </c>
      <c r="I50" s="1369"/>
      <c r="J50" s="1368">
        <v>2264493</v>
      </c>
      <c r="K50" s="1369"/>
      <c r="L50" s="1368">
        <v>79257.255000000005</v>
      </c>
      <c r="M50" s="1369"/>
      <c r="N50" s="1368">
        <v>70097800</v>
      </c>
      <c r="O50" s="1369"/>
      <c r="P50" s="1370">
        <v>432816.24699999997</v>
      </c>
      <c r="Q50" s="1083"/>
    </row>
    <row r="51" spans="1:17" ht="12" customHeight="1">
      <c r="A51" s="978" t="s">
        <v>125</v>
      </c>
      <c r="B51" s="1025">
        <v>240595352</v>
      </c>
      <c r="C51" s="1026"/>
      <c r="D51" s="1025">
        <v>10397738.4625</v>
      </c>
      <c r="E51" s="1026"/>
      <c r="F51" s="1025">
        <v>1516164</v>
      </c>
      <c r="G51" s="1026"/>
      <c r="H51" s="1025">
        <v>28807.116000000002</v>
      </c>
      <c r="I51" s="1026"/>
      <c r="J51" s="1025">
        <v>15498762</v>
      </c>
      <c r="K51" s="1026"/>
      <c r="L51" s="1025">
        <v>449464.098</v>
      </c>
      <c r="M51" s="1026"/>
      <c r="N51" s="1025">
        <v>502444497</v>
      </c>
      <c r="O51" s="1026"/>
      <c r="P51" s="1027">
        <v>4688580.4539999999</v>
      </c>
      <c r="Q51" s="1083"/>
    </row>
    <row r="52" spans="1:17" s="1030" customFormat="1" ht="12" customHeight="1">
      <c r="A52" s="1029" t="s">
        <v>505</v>
      </c>
      <c r="B52" s="1025">
        <v>723722517</v>
      </c>
      <c r="C52" s="1372"/>
      <c r="D52" s="1025">
        <v>16388991.698400002</v>
      </c>
      <c r="E52" s="1372"/>
      <c r="F52" s="1025">
        <v>143364143</v>
      </c>
      <c r="G52" s="1372"/>
      <c r="H52" s="1025">
        <v>1003549.0009999999</v>
      </c>
      <c r="I52" s="1372"/>
      <c r="J52" s="1025">
        <v>81388745</v>
      </c>
      <c r="K52" s="1372"/>
      <c r="L52" s="1025">
        <v>878998.44600000011</v>
      </c>
      <c r="M52" s="1372"/>
      <c r="N52" s="1025">
        <v>197146140</v>
      </c>
      <c r="O52" s="1372"/>
      <c r="P52" s="1027">
        <v>1208752.9620000001</v>
      </c>
      <c r="Q52" s="1083"/>
    </row>
    <row r="53" spans="1:17" ht="12" customHeight="1">
      <c r="A53" s="978" t="s">
        <v>1121</v>
      </c>
      <c r="B53" s="1025">
        <v>1133847750</v>
      </c>
      <c r="C53" s="1026"/>
      <c r="D53" s="1025">
        <v>52008092.899999999</v>
      </c>
      <c r="E53" s="1026"/>
      <c r="F53" s="1025">
        <v>406949415</v>
      </c>
      <c r="G53" s="1026"/>
      <c r="H53" s="1025">
        <v>8138988.2999999998</v>
      </c>
      <c r="I53" s="1026"/>
      <c r="J53" s="1025">
        <v>0</v>
      </c>
      <c r="K53" s="1026"/>
      <c r="L53" s="1025">
        <v>0</v>
      </c>
      <c r="M53" s="1026"/>
      <c r="N53" s="1025">
        <v>405888133</v>
      </c>
      <c r="O53" s="1026"/>
      <c r="P53" s="1027">
        <v>2538511.8400000003</v>
      </c>
      <c r="Q53" s="1083"/>
    </row>
    <row r="54" spans="1:17" ht="12" customHeight="1">
      <c r="A54" s="978" t="s">
        <v>130</v>
      </c>
      <c r="B54" s="1025">
        <v>204165513</v>
      </c>
      <c r="C54" s="1026"/>
      <c r="D54" s="1025">
        <v>4027790.4405999999</v>
      </c>
      <c r="E54" s="1026"/>
      <c r="F54" s="1025">
        <v>265367284</v>
      </c>
      <c r="G54" s="1026"/>
      <c r="H54" s="1025">
        <v>5360419.1368000004</v>
      </c>
      <c r="I54" s="1026"/>
      <c r="J54" s="1025">
        <v>28787458</v>
      </c>
      <c r="K54" s="1026"/>
      <c r="L54" s="1025">
        <v>238935.9014</v>
      </c>
      <c r="M54" s="1026"/>
      <c r="N54" s="1025">
        <v>117740566</v>
      </c>
      <c r="O54" s="1026"/>
      <c r="P54" s="1027">
        <v>768612.92870000005</v>
      </c>
      <c r="Q54" s="1083"/>
    </row>
    <row r="55" spans="1:17" ht="8.25" customHeight="1">
      <c r="B55" s="1025"/>
      <c r="C55" s="1026"/>
      <c r="D55" s="1025"/>
      <c r="E55" s="1026"/>
      <c r="F55" s="1025"/>
      <c r="G55" s="1026"/>
      <c r="H55" s="1025"/>
      <c r="I55" s="1026"/>
      <c r="J55" s="1025"/>
      <c r="K55" s="1026"/>
      <c r="L55" s="1025"/>
      <c r="M55" s="1026"/>
      <c r="N55" s="1025"/>
      <c r="O55" s="1026"/>
      <c r="P55" s="1027"/>
      <c r="Q55" s="1083"/>
    </row>
    <row r="56" spans="1:17" s="1028" customFormat="1" ht="12" customHeight="1">
      <c r="A56" s="1031" t="s">
        <v>513</v>
      </c>
      <c r="B56" s="1025">
        <v>518342442</v>
      </c>
      <c r="C56" s="1372"/>
      <c r="D56" s="1025">
        <v>13272071.536500001</v>
      </c>
      <c r="E56" s="1372"/>
      <c r="F56" s="1025">
        <v>9064563</v>
      </c>
      <c r="G56" s="1372"/>
      <c r="H56" s="1025">
        <v>267404.60850000003</v>
      </c>
      <c r="I56" s="1372"/>
      <c r="J56" s="1025">
        <v>0</v>
      </c>
      <c r="K56" s="1372"/>
      <c r="L56" s="1025">
        <v>0</v>
      </c>
      <c r="M56" s="1372"/>
      <c r="N56" s="1025">
        <v>150930560</v>
      </c>
      <c r="O56" s="1372"/>
      <c r="P56" s="1027">
        <v>1051022.1931</v>
      </c>
      <c r="Q56" s="1083"/>
    </row>
    <row r="57" spans="1:17" s="1028" customFormat="1" ht="12" customHeight="1">
      <c r="A57" s="1031" t="s">
        <v>515</v>
      </c>
      <c r="B57" s="1025">
        <v>352831664</v>
      </c>
      <c r="C57" s="1372"/>
      <c r="D57" s="1025">
        <v>13886042.955000002</v>
      </c>
      <c r="E57" s="1372"/>
      <c r="F57" s="1025">
        <v>48520170</v>
      </c>
      <c r="G57" s="1372"/>
      <c r="H57" s="1025">
        <v>485201.7</v>
      </c>
      <c r="I57" s="1372"/>
      <c r="J57" s="1025">
        <v>0</v>
      </c>
      <c r="K57" s="1372"/>
      <c r="L57" s="1025">
        <v>0</v>
      </c>
      <c r="M57" s="1372"/>
      <c r="N57" s="1025">
        <v>166009170</v>
      </c>
      <c r="O57" s="1372"/>
      <c r="P57" s="1027">
        <v>895213.36140000017</v>
      </c>
      <c r="Q57" s="1083"/>
    </row>
    <row r="58" spans="1:17" s="1028" customFormat="1" ht="12" customHeight="1">
      <c r="A58" s="1031" t="s">
        <v>517</v>
      </c>
      <c r="B58" s="1025">
        <v>130022884</v>
      </c>
      <c r="C58" s="1372"/>
      <c r="D58" s="1025">
        <v>2846474.8421</v>
      </c>
      <c r="E58" s="1372"/>
      <c r="F58" s="1025">
        <v>13025501</v>
      </c>
      <c r="G58" s="1372"/>
      <c r="H58" s="1025">
        <v>227946.26749999999</v>
      </c>
      <c r="I58" s="1372"/>
      <c r="J58" s="1025">
        <v>499532</v>
      </c>
      <c r="K58" s="1372"/>
      <c r="L58" s="1025">
        <v>33468.644</v>
      </c>
      <c r="M58" s="1372"/>
      <c r="N58" s="1025">
        <v>53723725</v>
      </c>
      <c r="O58" s="1372"/>
      <c r="P58" s="1027">
        <v>311597.60499999998</v>
      </c>
      <c r="Q58" s="1083"/>
    </row>
    <row r="59" spans="1:17" ht="12" customHeight="1">
      <c r="A59" s="978" t="s">
        <v>71</v>
      </c>
      <c r="B59" s="1025">
        <v>152587099</v>
      </c>
      <c r="C59" s="1026"/>
      <c r="D59" s="1025">
        <v>7326304.9500000002</v>
      </c>
      <c r="E59" s="1026"/>
      <c r="F59" s="1025">
        <v>9060129</v>
      </c>
      <c r="G59" s="1026"/>
      <c r="H59" s="1025">
        <v>226503.22500000001</v>
      </c>
      <c r="I59" s="1026"/>
      <c r="J59" s="1025">
        <v>0</v>
      </c>
      <c r="K59" s="1026"/>
      <c r="L59" s="1025">
        <v>0</v>
      </c>
      <c r="M59" s="1026"/>
      <c r="N59" s="1025">
        <v>59271704</v>
      </c>
      <c r="O59" s="1026"/>
      <c r="P59" s="1027">
        <v>486027.97279999993</v>
      </c>
      <c r="Q59" s="1083"/>
    </row>
    <row r="60" spans="1:17" ht="12" customHeight="1">
      <c r="A60" s="980" t="s">
        <v>73</v>
      </c>
      <c r="B60" s="1025">
        <v>70401598</v>
      </c>
      <c r="C60" s="1372"/>
      <c r="D60" s="1025">
        <v>3302984.3950999998</v>
      </c>
      <c r="E60" s="1372"/>
      <c r="F60" s="1025">
        <v>23433180</v>
      </c>
      <c r="G60" s="1372"/>
      <c r="H60" s="1025">
        <v>937327.2</v>
      </c>
      <c r="I60" s="1372"/>
      <c r="J60" s="1025">
        <v>0</v>
      </c>
      <c r="K60" s="1373"/>
      <c r="L60" s="1025">
        <v>0</v>
      </c>
      <c r="M60" s="1373"/>
      <c r="N60" s="1025">
        <v>1052403857</v>
      </c>
      <c r="O60" s="1372"/>
      <c r="P60" s="1027">
        <v>7082912.7661999995</v>
      </c>
      <c r="Q60" s="1083"/>
    </row>
    <row r="61" spans="1:17" ht="8.25" customHeight="1">
      <c r="B61" s="978"/>
      <c r="D61" s="978"/>
      <c r="F61" s="978"/>
      <c r="H61" s="978"/>
      <c r="J61" s="978"/>
      <c r="L61" s="978"/>
      <c r="N61" s="978"/>
      <c r="P61" s="978"/>
      <c r="Q61" s="1083"/>
    </row>
    <row r="62" spans="1:17" ht="12" customHeight="1">
      <c r="A62" s="978" t="s">
        <v>399</v>
      </c>
      <c r="B62" s="1027">
        <v>277587500</v>
      </c>
      <c r="C62" s="1374"/>
      <c r="D62" s="1027">
        <v>9899136.4899999984</v>
      </c>
      <c r="E62" s="1027"/>
      <c r="F62" s="1027">
        <v>123365200</v>
      </c>
      <c r="G62" s="1027"/>
      <c r="H62" s="1027">
        <v>1554401.52</v>
      </c>
      <c r="I62" s="1027"/>
      <c r="J62" s="1027">
        <v>0</v>
      </c>
      <c r="K62" s="1375"/>
      <c r="L62" s="1027">
        <v>0</v>
      </c>
      <c r="M62" s="1375"/>
      <c r="N62" s="1027">
        <v>1115564713</v>
      </c>
      <c r="O62" s="1027"/>
      <c r="P62" s="1027">
        <v>5575356.0650000004</v>
      </c>
      <c r="Q62" s="1083"/>
    </row>
    <row r="63" spans="1:17" ht="12" customHeight="1">
      <c r="A63" s="978" t="s">
        <v>77</v>
      </c>
      <c r="B63" s="1025">
        <v>1829250084</v>
      </c>
      <c r="C63" s="1372"/>
      <c r="D63" s="1025">
        <v>64760773.198702998</v>
      </c>
      <c r="E63" s="1372"/>
      <c r="F63" s="1025">
        <v>51970577.859999999</v>
      </c>
      <c r="G63" s="1372"/>
      <c r="H63" s="1025">
        <v>1855349.6296019999</v>
      </c>
      <c r="I63" s="1372"/>
      <c r="J63" s="1025">
        <v>92247764.299999997</v>
      </c>
      <c r="K63" s="1372"/>
      <c r="L63" s="1025">
        <v>1752707.5216999999</v>
      </c>
      <c r="M63" s="1372"/>
      <c r="N63" s="1025">
        <v>785106439</v>
      </c>
      <c r="O63" s="1372"/>
      <c r="P63" s="1027">
        <v>6368894.6715000011</v>
      </c>
      <c r="Q63" s="1083"/>
    </row>
    <row r="64" spans="1:17" ht="12" customHeight="1">
      <c r="A64" s="978" t="s">
        <v>1132</v>
      </c>
      <c r="B64" s="1025">
        <v>4213909674</v>
      </c>
      <c r="C64" s="1372"/>
      <c r="D64" s="1025">
        <v>128827390</v>
      </c>
      <c r="E64" s="1372"/>
      <c r="F64" s="1025">
        <v>289496363</v>
      </c>
      <c r="G64" s="1372"/>
      <c r="H64" s="1025">
        <v>868489</v>
      </c>
      <c r="I64" s="1372"/>
      <c r="J64" s="1025">
        <v>0</v>
      </c>
      <c r="K64" s="1373"/>
      <c r="L64" s="1025">
        <v>0</v>
      </c>
      <c r="M64" s="1373"/>
      <c r="N64" s="1025">
        <v>1164433236</v>
      </c>
      <c r="O64" s="1372"/>
      <c r="P64" s="1027">
        <v>10183007</v>
      </c>
      <c r="Q64" s="1083"/>
    </row>
    <row r="65" spans="1:17" ht="12" customHeight="1">
      <c r="A65" s="978" t="s">
        <v>81</v>
      </c>
      <c r="B65" s="1025">
        <v>488095142</v>
      </c>
      <c r="C65" s="1372"/>
      <c r="D65" s="1025">
        <v>7335318.8729499998</v>
      </c>
      <c r="E65" s="1372"/>
      <c r="F65" s="1025">
        <v>343004785</v>
      </c>
      <c r="G65" s="1372"/>
      <c r="H65" s="1025">
        <v>5316574.1675000004</v>
      </c>
      <c r="I65" s="1372"/>
      <c r="J65" s="1025">
        <v>0</v>
      </c>
      <c r="K65" s="1373"/>
      <c r="L65" s="1025">
        <v>0</v>
      </c>
      <c r="M65" s="1373"/>
      <c r="N65" s="1025">
        <v>213466296</v>
      </c>
      <c r="O65" s="1372"/>
      <c r="P65" s="1027">
        <v>1186049.3826500003</v>
      </c>
      <c r="Q65" s="1083"/>
    </row>
    <row r="66" spans="1:17" ht="12" customHeight="1">
      <c r="A66" s="978" t="s">
        <v>82</v>
      </c>
      <c r="B66" s="1025">
        <v>24106847</v>
      </c>
      <c r="C66" s="1026"/>
      <c r="D66" s="1025">
        <v>647146.12950000004</v>
      </c>
      <c r="E66" s="1026"/>
      <c r="F66" s="1025">
        <v>120590</v>
      </c>
      <c r="G66" s="1026"/>
      <c r="H66" s="1025">
        <v>1205.9000000000001</v>
      </c>
      <c r="I66" s="1026"/>
      <c r="J66" s="1025">
        <v>396266</v>
      </c>
      <c r="K66" s="1026"/>
      <c r="L66" s="1025">
        <v>3962.66</v>
      </c>
      <c r="M66" s="1026"/>
      <c r="N66" s="1025">
        <v>24063772</v>
      </c>
      <c r="O66" s="1026"/>
      <c r="P66" s="1027">
        <v>119298.6679</v>
      </c>
      <c r="Q66" s="1083"/>
    </row>
    <row r="67" spans="1:17" ht="8.25" customHeight="1">
      <c r="B67" s="1025"/>
      <c r="C67" s="1026"/>
      <c r="D67" s="1025"/>
      <c r="E67" s="1026"/>
      <c r="F67" s="1025"/>
      <c r="G67" s="1026"/>
      <c r="H67" s="1025"/>
      <c r="I67" s="1026"/>
      <c r="J67" s="1025"/>
      <c r="K67" s="1026"/>
      <c r="L67" s="1025"/>
      <c r="M67" s="1026"/>
      <c r="N67" s="1025"/>
      <c r="O67" s="1026"/>
      <c r="P67" s="1027"/>
      <c r="Q67" s="1083"/>
    </row>
    <row r="68" spans="1:17" ht="12" customHeight="1">
      <c r="A68" s="978" t="s">
        <v>84</v>
      </c>
      <c r="B68" s="1025">
        <v>376683327</v>
      </c>
      <c r="C68" s="1026"/>
      <c r="D68" s="1025">
        <v>15941736.008000001</v>
      </c>
      <c r="E68" s="1026"/>
      <c r="F68" s="1025">
        <v>285002834</v>
      </c>
      <c r="G68" s="1026"/>
      <c r="H68" s="1025">
        <v>4987549.5949999997</v>
      </c>
      <c r="I68" s="1026"/>
      <c r="J68" s="1025">
        <v>0</v>
      </c>
      <c r="K68" s="1026"/>
      <c r="L68" s="1025">
        <v>0</v>
      </c>
      <c r="M68" s="1026"/>
      <c r="N68" s="1025">
        <v>863553</v>
      </c>
      <c r="O68" s="1026"/>
      <c r="P68" s="1027">
        <v>38859.885000000002</v>
      </c>
      <c r="Q68" s="1083"/>
    </row>
    <row r="69" spans="1:17" ht="12" customHeight="1">
      <c r="A69" s="978" t="s">
        <v>423</v>
      </c>
      <c r="B69" s="1025">
        <v>979858313</v>
      </c>
      <c r="C69" s="1026"/>
      <c r="D69" s="1025">
        <v>38817175.957599998</v>
      </c>
      <c r="E69" s="1026"/>
      <c r="F69" s="1025">
        <v>155735247</v>
      </c>
      <c r="G69" s="1026"/>
      <c r="H69" s="1025">
        <v>6229409.8799999999</v>
      </c>
      <c r="I69" s="1026"/>
      <c r="J69" s="1025">
        <v>0</v>
      </c>
      <c r="K69" s="1026"/>
      <c r="L69" s="1025">
        <v>0</v>
      </c>
      <c r="M69" s="1026"/>
      <c r="N69" s="1025">
        <v>551095928</v>
      </c>
      <c r="O69" s="1026"/>
      <c r="P69" s="1027">
        <v>4635218.8644000003</v>
      </c>
      <c r="Q69" s="1083"/>
    </row>
    <row r="70" spans="1:17" ht="12" customHeight="1">
      <c r="A70" s="978" t="s">
        <v>88</v>
      </c>
      <c r="B70" s="1025">
        <v>108567998</v>
      </c>
      <c r="C70" s="1026"/>
      <c r="D70" s="1025">
        <v>3195043.92</v>
      </c>
      <c r="E70" s="1026"/>
      <c r="F70" s="1025">
        <v>13939247</v>
      </c>
      <c r="G70" s="1026"/>
      <c r="H70" s="1025">
        <v>153331.89000000001</v>
      </c>
      <c r="I70" s="1026"/>
      <c r="J70" s="1025">
        <v>6363584</v>
      </c>
      <c r="K70" s="1026"/>
      <c r="L70" s="1025">
        <v>41363.339999999997</v>
      </c>
      <c r="M70" s="1026"/>
      <c r="N70" s="1025">
        <v>21107114</v>
      </c>
      <c r="O70" s="1026"/>
      <c r="P70" s="1027">
        <v>112136.1735</v>
      </c>
      <c r="Q70" s="1083"/>
    </row>
    <row r="71" spans="1:17" ht="12" customHeight="1">
      <c r="A71" s="978" t="s">
        <v>90</v>
      </c>
      <c r="B71" s="1025">
        <v>281406342</v>
      </c>
      <c r="C71" s="1372"/>
      <c r="D71" s="1025">
        <v>9690935.8200000003</v>
      </c>
      <c r="E71" s="1372"/>
      <c r="F71" s="1025">
        <v>6349464</v>
      </c>
      <c r="G71" s="1372"/>
      <c r="H71" s="1025">
        <v>158736.6</v>
      </c>
      <c r="I71" s="1372"/>
      <c r="J71" s="1025">
        <v>0</v>
      </c>
      <c r="K71" s="1373"/>
      <c r="L71" s="1025">
        <v>0</v>
      </c>
      <c r="M71" s="1373"/>
      <c r="N71" s="1025">
        <v>255843825</v>
      </c>
      <c r="O71" s="1372"/>
      <c r="P71" s="1027">
        <v>1796653.4109999998</v>
      </c>
      <c r="Q71" s="1083"/>
    </row>
    <row r="72" spans="1:17" ht="12" customHeight="1">
      <c r="A72" s="978" t="s">
        <v>435</v>
      </c>
      <c r="B72" s="1025">
        <v>144027641</v>
      </c>
      <c r="C72" s="1372"/>
      <c r="D72" s="1025">
        <v>5229125.557</v>
      </c>
      <c r="E72" s="1372"/>
      <c r="F72" s="1025">
        <v>23087999</v>
      </c>
      <c r="G72" s="1372"/>
      <c r="H72" s="1025">
        <v>519479.97749999998</v>
      </c>
      <c r="I72" s="1372"/>
      <c r="J72" s="1025">
        <v>0</v>
      </c>
      <c r="K72" s="1372"/>
      <c r="L72" s="1025">
        <v>0</v>
      </c>
      <c r="M72" s="1372"/>
      <c r="N72" s="1025">
        <v>45041718</v>
      </c>
      <c r="O72" s="1372"/>
      <c r="P72" s="1027">
        <v>388665.13650000002</v>
      </c>
      <c r="Q72" s="1083"/>
    </row>
    <row r="73" spans="1:17" ht="8.25" customHeight="1">
      <c r="B73" s="1025"/>
      <c r="C73" s="1028"/>
      <c r="D73" s="1025"/>
      <c r="E73" s="1028"/>
      <c r="F73" s="1025"/>
      <c r="G73" s="1028"/>
      <c r="H73" s="1025"/>
      <c r="I73" s="1028"/>
      <c r="J73" s="1025"/>
      <c r="K73" s="1028"/>
      <c r="L73" s="1025"/>
      <c r="M73" s="1028"/>
      <c r="N73" s="1025"/>
      <c r="O73" s="1028"/>
      <c r="P73" s="1027"/>
      <c r="Q73" s="1083"/>
    </row>
    <row r="74" spans="1:17" ht="12" customHeight="1">
      <c r="A74" s="978" t="s">
        <v>94</v>
      </c>
      <c r="B74" s="1025">
        <v>129855100</v>
      </c>
      <c r="C74" s="1372"/>
      <c r="D74" s="1025">
        <v>2474577.6349999998</v>
      </c>
      <c r="E74" s="1372"/>
      <c r="F74" s="1025">
        <v>451850</v>
      </c>
      <c r="G74" s="1372"/>
      <c r="H74" s="1025">
        <v>6868.12</v>
      </c>
      <c r="I74" s="1372"/>
      <c r="J74" s="1025">
        <v>12194971</v>
      </c>
      <c r="K74" s="1372"/>
      <c r="L74" s="1025">
        <v>121949.71</v>
      </c>
      <c r="M74" s="1372"/>
      <c r="N74" s="1025">
        <v>78250287</v>
      </c>
      <c r="O74" s="1372"/>
      <c r="P74" s="1027">
        <v>493711.41810000007</v>
      </c>
      <c r="Q74" s="1083"/>
    </row>
    <row r="75" spans="1:17">
      <c r="A75" s="978" t="s">
        <v>96</v>
      </c>
      <c r="B75" s="1025">
        <v>172949046</v>
      </c>
      <c r="C75" s="1372"/>
      <c r="D75" s="1025">
        <v>3213882.233033</v>
      </c>
      <c r="E75" s="1372"/>
      <c r="F75" s="1025">
        <v>28230613</v>
      </c>
      <c r="G75" s="1372"/>
      <c r="H75" s="1025">
        <v>564612.26</v>
      </c>
      <c r="I75" s="1373"/>
      <c r="J75" s="1025">
        <v>6058350</v>
      </c>
      <c r="K75" s="1372"/>
      <c r="L75" s="1025">
        <v>85422.735000000001</v>
      </c>
      <c r="M75" s="1372"/>
      <c r="N75" s="1025">
        <v>89586213</v>
      </c>
      <c r="O75" s="1372"/>
      <c r="P75" s="1027">
        <v>55270</v>
      </c>
      <c r="Q75" s="1083"/>
    </row>
    <row r="76" spans="1:17" ht="12" customHeight="1">
      <c r="A76" s="978" t="s">
        <v>98</v>
      </c>
      <c r="B76" s="1025">
        <v>13589630547</v>
      </c>
      <c r="C76" s="1372"/>
      <c r="D76" s="1025">
        <v>549352546.34829998</v>
      </c>
      <c r="E76" s="1372"/>
      <c r="F76" s="1025">
        <v>129797946</v>
      </c>
      <c r="G76" s="1372"/>
      <c r="H76" s="1025">
        <v>4184742.7774999994</v>
      </c>
      <c r="I76" s="1372"/>
      <c r="J76" s="1025">
        <v>0</v>
      </c>
      <c r="K76" s="1373"/>
      <c r="L76" s="1025">
        <v>0</v>
      </c>
      <c r="M76" s="1373"/>
      <c r="N76" s="1025">
        <v>3153161735</v>
      </c>
      <c r="O76" s="1372"/>
      <c r="P76" s="1027">
        <v>32685524.985749997</v>
      </c>
      <c r="Q76" s="1083"/>
    </row>
    <row r="77" spans="1:17" ht="12" customHeight="1">
      <c r="A77" s="978" t="s">
        <v>100</v>
      </c>
      <c r="B77" s="1025">
        <v>486155485</v>
      </c>
      <c r="C77" s="1372"/>
      <c r="D77" s="1025">
        <v>10935959.464000002</v>
      </c>
      <c r="E77" s="1372"/>
      <c r="F77" s="1025">
        <v>17778425</v>
      </c>
      <c r="G77" s="1372"/>
      <c r="H77" s="1025">
        <v>337790.07500000001</v>
      </c>
      <c r="I77" s="1372"/>
      <c r="J77" s="1025">
        <v>76573660</v>
      </c>
      <c r="K77" s="1372"/>
      <c r="L77" s="1025">
        <v>497728.79</v>
      </c>
      <c r="M77" s="1372"/>
      <c r="N77" s="1025">
        <v>2366789607</v>
      </c>
      <c r="O77" s="1372"/>
      <c r="P77" s="1027">
        <v>17051894.068</v>
      </c>
      <c r="Q77" s="1083"/>
    </row>
    <row r="78" spans="1:17" ht="12" customHeight="1">
      <c r="A78" s="978" t="s">
        <v>102</v>
      </c>
      <c r="B78" s="1025">
        <v>105420775</v>
      </c>
      <c r="C78" s="1372"/>
      <c r="D78" s="1025">
        <v>3795816.0387999997</v>
      </c>
      <c r="E78" s="1372"/>
      <c r="F78" s="1025">
        <v>19603747</v>
      </c>
      <c r="G78" s="1372"/>
      <c r="H78" s="1025">
        <v>352867.446</v>
      </c>
      <c r="I78" s="1372"/>
      <c r="J78" s="1025">
        <v>8241430</v>
      </c>
      <c r="K78" s="1372"/>
      <c r="L78" s="1025">
        <v>98897.16</v>
      </c>
      <c r="M78" s="1372"/>
      <c r="N78" s="1025">
        <v>74526314</v>
      </c>
      <c r="O78" s="1372"/>
      <c r="P78" s="1027">
        <v>283199.99320000003</v>
      </c>
      <c r="Q78" s="1083"/>
    </row>
    <row r="79" spans="1:17" ht="8.25" customHeight="1">
      <c r="B79" s="1025"/>
      <c r="C79" s="1372"/>
      <c r="D79" s="1025"/>
      <c r="E79" s="1372"/>
      <c r="F79" s="1025"/>
      <c r="G79" s="1372"/>
      <c r="H79" s="1025"/>
      <c r="I79" s="1372"/>
      <c r="J79" s="1025"/>
      <c r="K79" s="1372"/>
      <c r="L79" s="1025"/>
      <c r="M79" s="1372"/>
      <c r="N79" s="1025"/>
      <c r="O79" s="1372"/>
      <c r="P79" s="1027"/>
      <c r="Q79" s="1083"/>
    </row>
    <row r="80" spans="1:17" ht="12" customHeight="1">
      <c r="A80" s="978" t="s">
        <v>104</v>
      </c>
      <c r="B80" s="1025">
        <v>143522415</v>
      </c>
      <c r="C80" s="1372"/>
      <c r="D80" s="1025">
        <v>5042002.9055999992</v>
      </c>
      <c r="E80" s="1372"/>
      <c r="F80" s="1025">
        <v>8153340</v>
      </c>
      <c r="G80" s="1372"/>
      <c r="H80" s="1025">
        <v>136160.77799999999</v>
      </c>
      <c r="I80" s="1372"/>
      <c r="J80" s="1025">
        <v>27539360</v>
      </c>
      <c r="K80" s="1372"/>
      <c r="L80" s="1025">
        <v>236838.49600000001</v>
      </c>
      <c r="M80" s="1372"/>
      <c r="N80" s="1025">
        <v>52655352</v>
      </c>
      <c r="O80" s="1372"/>
      <c r="P80" s="1027">
        <v>373852.99920000002</v>
      </c>
      <c r="Q80" s="1083"/>
    </row>
    <row r="81" spans="1:17" ht="12" customHeight="1">
      <c r="A81" s="978" t="s">
        <v>106</v>
      </c>
      <c r="B81" s="1371">
        <v>134723341</v>
      </c>
      <c r="C81" s="1026"/>
      <c r="D81" s="1371">
        <v>4007401.655650001</v>
      </c>
      <c r="E81" s="1026"/>
      <c r="F81" s="1371">
        <v>0</v>
      </c>
      <c r="G81" s="1026"/>
      <c r="H81" s="1371">
        <v>0</v>
      </c>
      <c r="I81" s="1026"/>
      <c r="J81" s="1371">
        <v>0</v>
      </c>
      <c r="K81" s="1026"/>
      <c r="L81" s="1371">
        <v>0</v>
      </c>
      <c r="M81" s="1026"/>
      <c r="N81" s="1371">
        <v>24248498</v>
      </c>
      <c r="O81" s="1026"/>
      <c r="P81" s="1371">
        <v>156433.45375000002</v>
      </c>
      <c r="Q81" s="1083"/>
    </row>
    <row r="82" spans="1:17" ht="12" customHeight="1">
      <c r="A82" s="978" t="s">
        <v>108</v>
      </c>
      <c r="B82" s="1025">
        <v>1650616614</v>
      </c>
      <c r="C82" s="1372"/>
      <c r="D82" s="1025">
        <v>54954229.054200009</v>
      </c>
      <c r="E82" s="1372"/>
      <c r="F82" s="1025">
        <v>114424849</v>
      </c>
      <c r="G82" s="1372"/>
      <c r="H82" s="1025">
        <v>755204.00339999993</v>
      </c>
      <c r="I82" s="1372"/>
      <c r="J82" s="1025">
        <v>71232351</v>
      </c>
      <c r="K82" s="1372"/>
      <c r="L82" s="1025">
        <v>512872.92719999998</v>
      </c>
      <c r="M82" s="1372"/>
      <c r="N82" s="1025">
        <v>366840197</v>
      </c>
      <c r="O82" s="1372"/>
      <c r="P82" s="1027">
        <v>1596214.5053999999</v>
      </c>
      <c r="Q82" s="1083"/>
    </row>
    <row r="83" spans="1:17" ht="12" customHeight="1">
      <c r="A83" s="978" t="s">
        <v>110</v>
      </c>
      <c r="B83" s="1025">
        <v>248292593</v>
      </c>
      <c r="C83" s="1372"/>
      <c r="D83" s="1025">
        <v>3874843.0200999994</v>
      </c>
      <c r="E83" s="1372"/>
      <c r="F83" s="1025">
        <v>0</v>
      </c>
      <c r="G83" s="1372"/>
      <c r="H83" s="1025">
        <v>0</v>
      </c>
      <c r="I83" s="1372"/>
      <c r="J83" s="1025">
        <v>0</v>
      </c>
      <c r="K83" s="1372"/>
      <c r="L83" s="1025">
        <v>0</v>
      </c>
      <c r="M83" s="1372"/>
      <c r="N83" s="1025">
        <v>55098470</v>
      </c>
      <c r="O83" s="1372"/>
      <c r="P83" s="1027">
        <v>342337.83040000004</v>
      </c>
      <c r="Q83" s="1083"/>
    </row>
    <row r="84" spans="1:17" ht="12" customHeight="1">
      <c r="A84" s="978" t="s">
        <v>112</v>
      </c>
      <c r="B84" s="1025">
        <v>853850690</v>
      </c>
      <c r="C84" s="1026"/>
      <c r="D84" s="1025">
        <v>21327731.7874</v>
      </c>
      <c r="E84" s="1026"/>
      <c r="F84" s="1025">
        <v>171771292</v>
      </c>
      <c r="G84" s="1026"/>
      <c r="H84" s="1025">
        <v>3126237.5143999998</v>
      </c>
      <c r="I84" s="1026"/>
      <c r="J84" s="1025">
        <v>56122129</v>
      </c>
      <c r="K84" s="1026"/>
      <c r="L84" s="1025">
        <v>1711724.9345</v>
      </c>
      <c r="M84" s="1026"/>
      <c r="N84" s="1025">
        <v>284545490</v>
      </c>
      <c r="O84" s="1026"/>
      <c r="P84" s="1027">
        <v>2540223.0965999998</v>
      </c>
      <c r="Q84" s="1083"/>
    </row>
    <row r="85" spans="1:17" ht="15.75">
      <c r="A85" s="1242" t="s">
        <v>1022</v>
      </c>
      <c r="B85" s="1018"/>
      <c r="C85" s="998"/>
      <c r="D85" s="1018"/>
      <c r="E85" s="998"/>
      <c r="F85" s="1018"/>
      <c r="G85" s="998"/>
      <c r="H85" s="1018"/>
      <c r="I85" s="998"/>
      <c r="J85" s="1018"/>
      <c r="K85" s="998"/>
      <c r="L85" s="1018"/>
      <c r="M85" s="998"/>
      <c r="N85" s="1018"/>
      <c r="O85" s="998"/>
      <c r="P85" s="1018"/>
      <c r="Q85" s="1021"/>
    </row>
    <row r="86" spans="1:17" ht="12.75">
      <c r="A86" s="1019" t="s">
        <v>1015</v>
      </c>
      <c r="B86" s="1020"/>
      <c r="C86" s="1020"/>
      <c r="D86" s="1020"/>
      <c r="E86" s="1020"/>
      <c r="F86" s="1020"/>
      <c r="G86" s="1020"/>
      <c r="H86" s="1020"/>
      <c r="I86" s="1020"/>
      <c r="J86" s="1020"/>
      <c r="K86" s="1020"/>
      <c r="L86" s="1020"/>
      <c r="M86" s="1020"/>
      <c r="N86" s="1020"/>
      <c r="O86" s="1020"/>
      <c r="P86" s="1020"/>
      <c r="Q86" s="1021"/>
    </row>
    <row r="87" spans="1:17" ht="12.75">
      <c r="A87" s="1022" t="str">
        <f>A45</f>
        <v>Assessed Values and Levies by Locality - Tax Year 2020</v>
      </c>
      <c r="B87" s="1023"/>
      <c r="C87" s="1023"/>
      <c r="D87" s="1023"/>
      <c r="E87" s="1023"/>
      <c r="F87" s="1023"/>
      <c r="G87" s="1023"/>
      <c r="H87" s="1023"/>
      <c r="I87" s="1023"/>
      <c r="J87" s="1023"/>
      <c r="K87" s="1023"/>
      <c r="L87" s="1023"/>
      <c r="M87" s="1023"/>
      <c r="N87" s="1023"/>
      <c r="O87" s="1023"/>
      <c r="P87" s="1023"/>
      <c r="Q87" s="1024"/>
    </row>
    <row r="88" spans="1:17" ht="9" customHeight="1" thickBot="1">
      <c r="A88" s="981"/>
      <c r="B88" s="981"/>
      <c r="C88" s="981"/>
      <c r="D88" s="981"/>
      <c r="E88" s="981"/>
      <c r="F88" s="981"/>
      <c r="G88" s="981"/>
      <c r="H88" s="981"/>
      <c r="I88" s="981"/>
      <c r="J88" s="981"/>
      <c r="K88" s="981"/>
      <c r="L88" s="981"/>
      <c r="M88" s="981"/>
      <c r="N88" s="981"/>
      <c r="O88" s="981"/>
      <c r="P88" s="981"/>
      <c r="Q88" s="1024"/>
    </row>
    <row r="89" spans="1:17" ht="12.75">
      <c r="A89" s="1008"/>
      <c r="B89" s="1443" t="s">
        <v>1016</v>
      </c>
      <c r="C89" s="1443"/>
      <c r="D89" s="1443"/>
      <c r="E89" s="1008"/>
      <c r="F89" s="1443" t="s">
        <v>1017</v>
      </c>
      <c r="G89" s="1443"/>
      <c r="H89" s="1443"/>
      <c r="I89" s="1008"/>
      <c r="J89" s="1443" t="s">
        <v>1018</v>
      </c>
      <c r="K89" s="1443"/>
      <c r="L89" s="1443"/>
      <c r="M89" s="1008"/>
      <c r="N89" s="1443" t="s">
        <v>1019</v>
      </c>
      <c r="O89" s="1443"/>
      <c r="P89" s="1443"/>
      <c r="Q89" s="1021"/>
    </row>
    <row r="90" spans="1:17" ht="12.75">
      <c r="A90" s="1240" t="s">
        <v>23</v>
      </c>
      <c r="B90" s="1241" t="s">
        <v>1020</v>
      </c>
      <c r="C90" s="1240"/>
      <c r="D90" s="1241" t="s">
        <v>1021</v>
      </c>
      <c r="E90" s="1109"/>
      <c r="F90" s="1241" t="s">
        <v>1020</v>
      </c>
      <c r="G90" s="1109"/>
      <c r="H90" s="1241" t="s">
        <v>1021</v>
      </c>
      <c r="I90" s="1109"/>
      <c r="J90" s="1241" t="s">
        <v>1020</v>
      </c>
      <c r="K90" s="1109"/>
      <c r="L90" s="1241" t="s">
        <v>1021</v>
      </c>
      <c r="M90" s="1109"/>
      <c r="N90" s="1241" t="s">
        <v>1020</v>
      </c>
      <c r="O90" s="1109"/>
      <c r="P90" s="1241" t="s">
        <v>1021</v>
      </c>
      <c r="Q90" s="1024"/>
    </row>
    <row r="91" spans="1:17" ht="8.25" customHeight="1">
      <c r="B91" s="1025"/>
      <c r="C91" s="1028"/>
      <c r="D91" s="1025"/>
      <c r="E91" s="1028"/>
      <c r="F91" s="1025"/>
      <c r="G91" s="1028"/>
      <c r="H91" s="1025"/>
      <c r="I91" s="1028"/>
      <c r="J91" s="1025"/>
      <c r="K91" s="1028"/>
      <c r="L91" s="1025"/>
      <c r="M91" s="1028"/>
      <c r="N91" s="1025"/>
      <c r="O91" s="1028"/>
      <c r="P91" s="1027"/>
      <c r="Q91" s="1088"/>
    </row>
    <row r="92" spans="1:17" ht="12" customHeight="1">
      <c r="A92" s="978" t="s">
        <v>114</v>
      </c>
      <c r="B92" s="1368">
        <v>206237798</v>
      </c>
      <c r="C92" s="1369"/>
      <c r="D92" s="1368">
        <v>6980182.3533000005</v>
      </c>
      <c r="E92" s="1369"/>
      <c r="F92" s="1368">
        <v>6311254</v>
      </c>
      <c r="G92" s="1369"/>
      <c r="H92" s="1368">
        <v>78890.675000000003</v>
      </c>
      <c r="I92" s="1369"/>
      <c r="J92" s="1368">
        <v>0</v>
      </c>
      <c r="K92" s="1369"/>
      <c r="L92" s="1368">
        <v>0</v>
      </c>
      <c r="M92" s="1369"/>
      <c r="N92" s="1368">
        <v>134272340</v>
      </c>
      <c r="O92" s="1369"/>
      <c r="P92" s="1370">
        <v>971249.15909999993</v>
      </c>
      <c r="Q92" s="1083"/>
    </row>
    <row r="93" spans="1:17" ht="12" customHeight="1">
      <c r="A93" s="978" t="s">
        <v>116</v>
      </c>
      <c r="B93" s="1026">
        <v>263976774</v>
      </c>
      <c r="C93" s="1026"/>
      <c r="D93" s="1026">
        <v>9685218.8102000002</v>
      </c>
      <c r="E93" s="1026"/>
      <c r="F93" s="1026">
        <v>7194415</v>
      </c>
      <c r="G93" s="1026"/>
      <c r="H93" s="1026">
        <v>53958.112500000003</v>
      </c>
      <c r="I93" s="1026"/>
      <c r="J93" s="1026">
        <v>0</v>
      </c>
      <c r="K93" s="1026"/>
      <c r="L93" s="1026">
        <v>0</v>
      </c>
      <c r="M93" s="1026"/>
      <c r="N93" s="1026">
        <v>181504922</v>
      </c>
      <c r="O93" s="1026"/>
      <c r="P93" s="1026">
        <v>1433985.1430000002</v>
      </c>
      <c r="Q93" s="1083"/>
    </row>
    <row r="94" spans="1:17" ht="12" customHeight="1">
      <c r="A94" s="978" t="s">
        <v>118</v>
      </c>
      <c r="B94" s="1026">
        <v>144137300</v>
      </c>
      <c r="C94" s="1372"/>
      <c r="D94" s="1026">
        <v>5200564.1300000008</v>
      </c>
      <c r="E94" s="1372"/>
      <c r="F94" s="1026">
        <v>11524800</v>
      </c>
      <c r="G94" s="1372"/>
      <c r="H94" s="1026">
        <v>180894.26</v>
      </c>
      <c r="I94" s="1372"/>
      <c r="J94" s="1026">
        <v>0</v>
      </c>
      <c r="K94" s="1372"/>
      <c r="L94" s="1026">
        <v>0</v>
      </c>
      <c r="M94" s="1372"/>
      <c r="N94" s="1026">
        <v>59628880</v>
      </c>
      <c r="O94" s="1372"/>
      <c r="P94" s="1026">
        <v>497901.14799999999</v>
      </c>
      <c r="Q94" s="1083"/>
    </row>
    <row r="95" spans="1:17" ht="12" customHeight="1">
      <c r="A95" s="978" t="s">
        <v>120</v>
      </c>
      <c r="B95" s="1026">
        <v>119686583</v>
      </c>
      <c r="C95" s="1372"/>
      <c r="D95" s="1026">
        <v>4293950.1989000002</v>
      </c>
      <c r="E95" s="1372"/>
      <c r="F95" s="1026">
        <v>7077078</v>
      </c>
      <c r="G95" s="1372"/>
      <c r="H95" s="1026">
        <v>254774.80800000002</v>
      </c>
      <c r="I95" s="1372"/>
      <c r="J95" s="1026">
        <v>4600081</v>
      </c>
      <c r="K95" s="1372"/>
      <c r="L95" s="1026">
        <v>46000.81</v>
      </c>
      <c r="M95" s="1372"/>
      <c r="N95" s="1026">
        <v>54223039</v>
      </c>
      <c r="O95" s="1372"/>
      <c r="P95" s="1026">
        <v>320038</v>
      </c>
      <c r="Q95" s="1083"/>
    </row>
    <row r="96" spans="1:17" ht="12" customHeight="1">
      <c r="A96" s="978" t="s">
        <v>122</v>
      </c>
      <c r="B96" s="1026">
        <v>98344753</v>
      </c>
      <c r="C96" s="1372"/>
      <c r="D96" s="1026">
        <v>3572621.0336000002</v>
      </c>
      <c r="E96" s="1372"/>
      <c r="F96" s="1026">
        <v>9834461</v>
      </c>
      <c r="G96" s="1372"/>
      <c r="H96" s="1026">
        <v>132765.22350000002</v>
      </c>
      <c r="I96" s="1372"/>
      <c r="J96" s="1026">
        <v>0</v>
      </c>
      <c r="K96" s="1373"/>
      <c r="L96" s="1026">
        <v>0</v>
      </c>
      <c r="M96" s="1373"/>
      <c r="N96" s="1026">
        <v>104349652</v>
      </c>
      <c r="O96" s="1372"/>
      <c r="P96" s="1026">
        <v>540459.55409999995</v>
      </c>
      <c r="Q96" s="1083"/>
    </row>
    <row r="97" spans="1:17" ht="8.25" customHeight="1">
      <c r="B97" s="1026"/>
      <c r="C97" s="1372"/>
      <c r="D97" s="1026"/>
      <c r="E97" s="1372"/>
      <c r="F97" s="1026"/>
      <c r="G97" s="1372"/>
      <c r="H97" s="1026"/>
      <c r="I97" s="1372"/>
      <c r="J97" s="1026"/>
      <c r="K97" s="1373"/>
      <c r="L97" s="1026"/>
      <c r="M97" s="1373"/>
      <c r="N97" s="1026"/>
      <c r="O97" s="1372"/>
      <c r="P97" s="1026"/>
      <c r="Q97" s="1083"/>
    </row>
    <row r="98" spans="1:17" ht="12" customHeight="1">
      <c r="A98" s="978" t="s">
        <v>124</v>
      </c>
      <c r="B98" s="1026">
        <v>350577389</v>
      </c>
      <c r="C98" s="1372"/>
      <c r="D98" s="1026">
        <v>12212530.901000001</v>
      </c>
      <c r="E98" s="1372"/>
      <c r="F98" s="1026">
        <v>48851439</v>
      </c>
      <c r="G98" s="1372"/>
      <c r="H98" s="1026">
        <v>894469.84808999998</v>
      </c>
      <c r="I98" s="1372"/>
      <c r="J98" s="1026">
        <v>58507493</v>
      </c>
      <c r="K98" s="1372"/>
      <c r="L98" s="1026">
        <v>234029.97200000004</v>
      </c>
      <c r="M98" s="1372"/>
      <c r="N98" s="1026">
        <v>219358231</v>
      </c>
      <c r="O98" s="1372"/>
      <c r="P98" s="1026">
        <v>1581718.605</v>
      </c>
      <c r="Q98" s="1083"/>
    </row>
    <row r="99" spans="1:17" ht="12" customHeight="1">
      <c r="A99" s="978" t="s">
        <v>126</v>
      </c>
      <c r="B99" s="1026">
        <v>239673070</v>
      </c>
      <c r="C99" s="1372"/>
      <c r="D99" s="1026">
        <v>8619436.3699999992</v>
      </c>
      <c r="E99" s="1372"/>
      <c r="F99" s="1026">
        <v>23723080</v>
      </c>
      <c r="G99" s="1372"/>
      <c r="H99" s="1026">
        <v>355846.02</v>
      </c>
      <c r="I99" s="1372"/>
      <c r="J99" s="1026">
        <v>0</v>
      </c>
      <c r="K99" s="1373"/>
      <c r="L99" s="1026">
        <v>0</v>
      </c>
      <c r="M99" s="1373"/>
      <c r="N99" s="1026">
        <v>102142593</v>
      </c>
      <c r="O99" s="1372"/>
      <c r="P99" s="1026">
        <v>776969.99399999995</v>
      </c>
      <c r="Q99" s="1083"/>
    </row>
    <row r="100" spans="1:17" ht="12" customHeight="1">
      <c r="A100" s="978" t="s">
        <v>127</v>
      </c>
      <c r="B100" s="1026">
        <v>187775181</v>
      </c>
      <c r="C100" s="1372"/>
      <c r="D100" s="1026">
        <v>3042574.44</v>
      </c>
      <c r="E100" s="1372"/>
      <c r="F100" s="1026">
        <v>38629724</v>
      </c>
      <c r="G100" s="1372"/>
      <c r="H100" s="1026">
        <v>660568.28040000005</v>
      </c>
      <c r="I100" s="1372"/>
      <c r="J100" s="1025">
        <v>0</v>
      </c>
      <c r="K100" s="1373"/>
      <c r="L100" s="1026">
        <v>0</v>
      </c>
      <c r="M100" s="1373"/>
      <c r="N100" s="1026">
        <v>64635026</v>
      </c>
      <c r="O100" s="1372"/>
      <c r="P100" s="1026">
        <v>440324.28570000001</v>
      </c>
      <c r="Q100" s="1083"/>
    </row>
    <row r="101" spans="1:17" ht="12" customHeight="1">
      <c r="A101" s="978" t="s">
        <v>129</v>
      </c>
      <c r="B101" s="1026">
        <v>193276800</v>
      </c>
      <c r="C101" s="1372"/>
      <c r="D101" s="1026">
        <v>13724414.927399999</v>
      </c>
      <c r="E101" s="1372"/>
      <c r="F101" s="1026">
        <v>37000730</v>
      </c>
      <c r="G101" s="1372"/>
      <c r="H101" s="1026">
        <v>1665032.85</v>
      </c>
      <c r="I101" s="1372"/>
      <c r="J101" s="1026">
        <v>13724850</v>
      </c>
      <c r="K101" s="1372"/>
      <c r="L101" s="1026">
        <v>377433.375</v>
      </c>
      <c r="M101" s="1372"/>
      <c r="N101" s="1026">
        <v>480163665</v>
      </c>
      <c r="O101" s="1372"/>
      <c r="P101" s="1026">
        <v>3085869.0794000002</v>
      </c>
      <c r="Q101" s="1083"/>
    </row>
    <row r="102" spans="1:17" ht="12" customHeight="1">
      <c r="A102" s="978" t="s">
        <v>131</v>
      </c>
      <c r="B102" s="1026">
        <v>325965234</v>
      </c>
      <c r="C102" s="1372"/>
      <c r="D102" s="1026">
        <v>11711558.166399999</v>
      </c>
      <c r="E102" s="1372"/>
      <c r="F102" s="1026">
        <v>11078665</v>
      </c>
      <c r="G102" s="1372"/>
      <c r="H102" s="1026">
        <v>398831.94</v>
      </c>
      <c r="I102" s="1372"/>
      <c r="J102" s="1026">
        <v>0</v>
      </c>
      <c r="K102" s="1372"/>
      <c r="L102" s="1026">
        <v>0</v>
      </c>
      <c r="M102" s="1372"/>
      <c r="N102" s="1026">
        <v>100269307</v>
      </c>
      <c r="O102" s="1372"/>
      <c r="P102" s="1026">
        <v>900348.1767999999</v>
      </c>
      <c r="Q102" s="1083"/>
    </row>
    <row r="103" spans="1:17" ht="8.25" customHeight="1">
      <c r="B103" s="1371"/>
      <c r="C103" s="1028"/>
      <c r="D103" s="1371"/>
      <c r="E103" s="1028"/>
      <c r="F103" s="1371"/>
      <c r="G103" s="1028"/>
      <c r="H103" s="1371"/>
      <c r="I103" s="1028"/>
      <c r="J103" s="1371"/>
      <c r="K103" s="1028"/>
      <c r="L103" s="1371"/>
      <c r="M103" s="1028"/>
      <c r="N103" s="1371"/>
      <c r="O103" s="1028"/>
      <c r="P103" s="1375"/>
      <c r="Q103" s="1083"/>
    </row>
    <row r="104" spans="1:17" ht="12" customHeight="1">
      <c r="A104" s="978" t="s">
        <v>132</v>
      </c>
      <c r="B104" s="1026">
        <v>307758479</v>
      </c>
      <c r="C104" s="1026"/>
      <c r="D104" s="1026">
        <v>6731550.9369999999</v>
      </c>
      <c r="E104" s="1026"/>
      <c r="F104" s="1026">
        <v>1374000</v>
      </c>
      <c r="G104" s="1026"/>
      <c r="H104" s="1026">
        <v>57708</v>
      </c>
      <c r="I104" s="1026"/>
      <c r="J104" s="1026">
        <v>62627050</v>
      </c>
      <c r="K104" s="1026"/>
      <c r="L104" s="1026">
        <v>438389.35</v>
      </c>
      <c r="M104" s="1026"/>
      <c r="N104" s="1026">
        <v>115288296</v>
      </c>
      <c r="O104" s="1026"/>
      <c r="P104" s="1026">
        <v>610268.38959999999</v>
      </c>
      <c r="Q104" s="1083"/>
    </row>
    <row r="105" spans="1:17" ht="12" customHeight="1">
      <c r="A105" s="978" t="s">
        <v>134</v>
      </c>
      <c r="B105" s="1026">
        <v>317764831</v>
      </c>
      <c r="C105" s="1372"/>
      <c r="D105" s="1026">
        <v>12738036.177499998</v>
      </c>
      <c r="E105" s="1372"/>
      <c r="F105" s="1026">
        <v>98618775</v>
      </c>
      <c r="G105" s="1372"/>
      <c r="H105" s="1026">
        <v>1479281.625</v>
      </c>
      <c r="I105" s="1372"/>
      <c r="J105" s="1026">
        <v>0</v>
      </c>
      <c r="K105" s="1373"/>
      <c r="L105" s="1026">
        <v>0</v>
      </c>
      <c r="M105" s="1373"/>
      <c r="N105" s="1026">
        <v>184685926</v>
      </c>
      <c r="O105" s="1372"/>
      <c r="P105" s="1026">
        <v>1588298.9635999999</v>
      </c>
      <c r="Q105" s="1083"/>
    </row>
    <row r="106" spans="1:17">
      <c r="A106" s="978" t="s">
        <v>1133</v>
      </c>
      <c r="B106" s="1026">
        <v>6328961082.6799994</v>
      </c>
      <c r="C106" s="1372"/>
      <c r="D106" s="1026">
        <v>214809807.52000001</v>
      </c>
      <c r="E106" s="1372"/>
      <c r="F106" s="1026">
        <v>0</v>
      </c>
      <c r="G106" s="1372"/>
      <c r="H106" s="1026">
        <v>0</v>
      </c>
      <c r="I106" s="1372"/>
      <c r="J106" s="1026">
        <v>0</v>
      </c>
      <c r="K106" s="1373"/>
      <c r="L106" s="1026">
        <v>0</v>
      </c>
      <c r="M106" s="1373"/>
      <c r="N106" s="1026">
        <v>1891971137</v>
      </c>
      <c r="O106" s="1372"/>
      <c r="P106" s="1026">
        <v>21383490.734999999</v>
      </c>
      <c r="Q106" s="1083"/>
    </row>
    <row r="107" spans="1:17" ht="12" customHeight="1">
      <c r="A107" s="978" t="s">
        <v>138</v>
      </c>
      <c r="B107" s="1026">
        <v>368610820</v>
      </c>
      <c r="C107" s="1372"/>
      <c r="D107" s="1026">
        <v>8528741.6016000006</v>
      </c>
      <c r="E107" s="1372"/>
      <c r="F107" s="1026">
        <v>290271558</v>
      </c>
      <c r="G107" s="1372"/>
      <c r="H107" s="1026">
        <v>4354073.37</v>
      </c>
      <c r="I107" s="1372"/>
      <c r="J107" s="1026">
        <v>0</v>
      </c>
      <c r="K107" s="1372"/>
      <c r="L107" s="1026">
        <v>0</v>
      </c>
      <c r="M107" s="1372"/>
      <c r="N107" s="1026">
        <v>0</v>
      </c>
      <c r="O107" s="1372"/>
      <c r="P107" s="1026">
        <v>0</v>
      </c>
      <c r="Q107" s="1083"/>
    </row>
    <row r="108" spans="1:17" ht="12" customHeight="1">
      <c r="A108" s="978" t="s">
        <v>140</v>
      </c>
      <c r="B108" s="1026">
        <v>68086136</v>
      </c>
      <c r="C108" s="1372"/>
      <c r="D108" s="1026">
        <v>2889810.9912</v>
      </c>
      <c r="E108" s="1372"/>
      <c r="F108" s="1026">
        <v>0</v>
      </c>
      <c r="G108" s="1373"/>
      <c r="H108" s="1026">
        <v>0</v>
      </c>
      <c r="I108" s="1373"/>
      <c r="J108" s="1026">
        <v>0</v>
      </c>
      <c r="K108" s="1373"/>
      <c r="L108" s="1026">
        <v>0</v>
      </c>
      <c r="M108" s="1373"/>
      <c r="N108" s="1026">
        <v>58581558</v>
      </c>
      <c r="O108" s="1372"/>
      <c r="P108" s="1026">
        <v>392496.43859999999</v>
      </c>
      <c r="Q108" s="1083"/>
    </row>
    <row r="109" spans="1:17" ht="8.25" customHeight="1">
      <c r="B109" s="1026"/>
      <c r="C109" s="1372"/>
      <c r="D109" s="1026"/>
      <c r="E109" s="1372"/>
      <c r="F109" s="1026"/>
      <c r="G109" s="1373"/>
      <c r="H109" s="1026"/>
      <c r="I109" s="1373"/>
      <c r="J109" s="1026"/>
      <c r="K109" s="1373"/>
      <c r="L109" s="1026"/>
      <c r="M109" s="1373"/>
      <c r="N109" s="1026"/>
      <c r="O109" s="1372"/>
      <c r="P109" s="1026"/>
      <c r="Q109" s="1083"/>
    </row>
    <row r="110" spans="1:17" ht="12" customHeight="1">
      <c r="A110" s="978" t="s">
        <v>441</v>
      </c>
      <c r="B110" s="1026">
        <v>71955860</v>
      </c>
      <c r="C110" s="1372"/>
      <c r="D110" s="1026">
        <v>2636345.875</v>
      </c>
      <c r="E110" s="1372"/>
      <c r="F110" s="1026">
        <v>11370210</v>
      </c>
      <c r="G110" s="1372"/>
      <c r="H110" s="1026">
        <v>45480.84</v>
      </c>
      <c r="I110" s="1372"/>
      <c r="J110" s="1026">
        <v>2264830</v>
      </c>
      <c r="K110" s="1372"/>
      <c r="L110" s="1026">
        <v>79269.05</v>
      </c>
      <c r="M110" s="1372"/>
      <c r="N110" s="1026">
        <v>87283505</v>
      </c>
      <c r="O110" s="1372"/>
      <c r="P110" s="1026">
        <v>672315.67349999992</v>
      </c>
      <c r="Q110" s="1083"/>
    </row>
    <row r="111" spans="1:17">
      <c r="A111" s="978" t="s">
        <v>27</v>
      </c>
      <c r="B111" s="1026">
        <v>911083077</v>
      </c>
      <c r="C111" s="1026"/>
      <c r="D111" s="1026">
        <v>31766655.248999998</v>
      </c>
      <c r="E111" s="1026"/>
      <c r="F111" s="1026">
        <v>87348140</v>
      </c>
      <c r="G111" s="1026"/>
      <c r="H111" s="1026">
        <v>2489421.9900000002</v>
      </c>
      <c r="I111" s="1026"/>
      <c r="J111" s="1026">
        <v>0</v>
      </c>
      <c r="K111" s="1026"/>
      <c r="L111" s="1026">
        <v>0</v>
      </c>
      <c r="M111" s="1026"/>
      <c r="N111" s="1026">
        <v>340427300</v>
      </c>
      <c r="O111" s="1026"/>
      <c r="P111" s="1026">
        <v>3724870.7860000003</v>
      </c>
      <c r="Q111" s="1083"/>
    </row>
    <row r="112" spans="1:17" ht="12" customHeight="1">
      <c r="A112" s="978" t="s">
        <v>144</v>
      </c>
      <c r="B112" s="1026">
        <v>228937189</v>
      </c>
      <c r="C112" s="1026"/>
      <c r="D112" s="1026">
        <v>10069085.0514</v>
      </c>
      <c r="E112" s="1026"/>
      <c r="F112" s="1026">
        <v>18861706</v>
      </c>
      <c r="G112" s="1026"/>
      <c r="H112" s="1026">
        <v>480973.50299999997</v>
      </c>
      <c r="I112" s="1026"/>
      <c r="J112" s="1026">
        <v>0</v>
      </c>
      <c r="K112" s="1026"/>
      <c r="L112" s="1026">
        <v>0</v>
      </c>
      <c r="M112" s="1026"/>
      <c r="N112" s="1026">
        <v>276632910</v>
      </c>
      <c r="O112" s="1026"/>
      <c r="P112" s="1026">
        <v>2047083.534</v>
      </c>
      <c r="Q112" s="1083"/>
    </row>
    <row r="113" spans="1:17" ht="12" customHeight="1">
      <c r="A113" s="978" t="s">
        <v>145</v>
      </c>
      <c r="B113" s="1026">
        <v>991407790</v>
      </c>
      <c r="C113" s="1026"/>
      <c r="D113" s="1026">
        <v>25729275.146000002</v>
      </c>
      <c r="E113" s="1026"/>
      <c r="F113" s="1026">
        <v>515858500</v>
      </c>
      <c r="G113" s="1026"/>
      <c r="H113" s="1026">
        <v>13154391.75</v>
      </c>
      <c r="I113" s="1026"/>
      <c r="J113" s="1026">
        <v>190370620</v>
      </c>
      <c r="K113" s="1026"/>
      <c r="L113" s="1026">
        <v>1656224.3940000001</v>
      </c>
      <c r="M113" s="1026"/>
      <c r="N113" s="1026">
        <v>335085495</v>
      </c>
      <c r="O113" s="1026"/>
      <c r="P113" s="1026">
        <v>2510013.8881999999</v>
      </c>
      <c r="Q113" s="1083"/>
    </row>
    <row r="114" spans="1:17" ht="12" customHeight="1">
      <c r="A114" s="980" t="s">
        <v>147</v>
      </c>
      <c r="B114" s="1026">
        <v>366990036</v>
      </c>
      <c r="C114" s="1372"/>
      <c r="D114" s="1026">
        <v>6952685.3795999996</v>
      </c>
      <c r="E114" s="1372"/>
      <c r="F114" s="1026">
        <v>59279207</v>
      </c>
      <c r="G114" s="1372"/>
      <c r="H114" s="1026">
        <v>1155944.5364999999</v>
      </c>
      <c r="I114" s="1372"/>
      <c r="J114" s="1026">
        <v>8983665</v>
      </c>
      <c r="K114" s="1372"/>
      <c r="L114" s="1026">
        <v>58393.822500000002</v>
      </c>
      <c r="M114" s="1372"/>
      <c r="N114" s="1026">
        <v>333599353</v>
      </c>
      <c r="O114" s="1372"/>
      <c r="P114" s="1026">
        <v>2109620.6870999997</v>
      </c>
      <c r="Q114" s="1083"/>
    </row>
    <row r="115" spans="1:17" ht="8.25" customHeight="1">
      <c r="Q115" s="1083"/>
    </row>
    <row r="116" spans="1:17" ht="12" customHeight="1">
      <c r="A116" s="978" t="s">
        <v>149</v>
      </c>
      <c r="B116" s="1027">
        <v>163871500</v>
      </c>
      <c r="C116" s="1374"/>
      <c r="D116" s="1027">
        <v>2419261.6821999997</v>
      </c>
      <c r="E116" s="1027"/>
      <c r="F116" s="1027">
        <v>25559661</v>
      </c>
      <c r="G116" s="1027"/>
      <c r="H116" s="1027">
        <v>230036.94900000002</v>
      </c>
      <c r="I116" s="1027"/>
      <c r="J116" s="1027">
        <v>13608622</v>
      </c>
      <c r="K116" s="1375"/>
      <c r="L116" s="1027">
        <v>97982.078399999999</v>
      </c>
      <c r="M116" s="1375"/>
      <c r="N116" s="1027">
        <v>121473559</v>
      </c>
      <c r="O116" s="1027"/>
      <c r="P116" s="1027">
        <v>978549.25300000003</v>
      </c>
      <c r="Q116" s="1083"/>
    </row>
    <row r="117" spans="1:17" ht="12" customHeight="1">
      <c r="A117" s="978" t="s">
        <v>151</v>
      </c>
      <c r="B117" s="1026">
        <v>483068070</v>
      </c>
      <c r="C117" s="1026"/>
      <c r="D117" s="1026">
        <v>18196663.498300001</v>
      </c>
      <c r="E117" s="1026"/>
      <c r="F117" s="1026">
        <v>97846380</v>
      </c>
      <c r="G117" s="1026"/>
      <c r="H117" s="1026">
        <v>3082160.97</v>
      </c>
      <c r="I117" s="1026"/>
      <c r="J117" s="1026">
        <v>51872348</v>
      </c>
      <c r="K117" s="1026"/>
      <c r="L117" s="1026">
        <v>311234.08799999999</v>
      </c>
      <c r="M117" s="1026"/>
      <c r="N117" s="1026">
        <v>295495431</v>
      </c>
      <c r="O117" s="1026"/>
      <c r="P117" s="1026">
        <v>1911942.3374000001</v>
      </c>
      <c r="Q117" s="1083"/>
    </row>
    <row r="118" spans="1:17" ht="12" customHeight="1">
      <c r="A118" s="978" t="s">
        <v>153</v>
      </c>
      <c r="B118" s="1026">
        <v>247281575</v>
      </c>
      <c r="C118" s="1026"/>
      <c r="D118" s="1026">
        <v>5586516.0899999999</v>
      </c>
      <c r="E118" s="1026"/>
      <c r="F118" s="1026">
        <v>124618877</v>
      </c>
      <c r="G118" s="1026"/>
      <c r="H118" s="1026">
        <v>1931592.5935000002</v>
      </c>
      <c r="I118" s="1026"/>
      <c r="J118" s="1026">
        <v>73828542</v>
      </c>
      <c r="K118" s="1026"/>
      <c r="L118" s="1026">
        <v>295314.19</v>
      </c>
      <c r="M118" s="1026"/>
      <c r="N118" s="1026">
        <v>209258716</v>
      </c>
      <c r="O118" s="1026"/>
      <c r="P118" s="1026">
        <v>1548514.1816</v>
      </c>
      <c r="Q118" s="1083"/>
    </row>
    <row r="119" spans="1:17" ht="12" customHeight="1">
      <c r="A119" s="978" t="s">
        <v>155</v>
      </c>
      <c r="B119" s="1026">
        <v>215535295</v>
      </c>
      <c r="C119" s="1026"/>
      <c r="D119" s="1026">
        <v>9130800.2046999987</v>
      </c>
      <c r="E119" s="1026"/>
      <c r="F119" s="1026">
        <v>50876565</v>
      </c>
      <c r="G119" s="1026"/>
      <c r="H119" s="1026">
        <v>1221037.56</v>
      </c>
      <c r="I119" s="1026"/>
      <c r="J119" s="1026">
        <v>15866742</v>
      </c>
      <c r="K119" s="1026"/>
      <c r="L119" s="1026">
        <v>79333.710000000006</v>
      </c>
      <c r="M119" s="1026"/>
      <c r="N119" s="1026">
        <v>240273215</v>
      </c>
      <c r="O119" s="1026"/>
      <c r="P119" s="1026">
        <v>2141034.0244</v>
      </c>
      <c r="Q119" s="1083"/>
    </row>
    <row r="120" spans="1:17" ht="12" customHeight="1">
      <c r="A120" s="978" t="s">
        <v>157</v>
      </c>
      <c r="B120" s="1026">
        <v>1005647024.23</v>
      </c>
      <c r="C120" s="1372"/>
      <c r="D120" s="1026">
        <v>63523105.005606987</v>
      </c>
      <c r="E120" s="1372"/>
      <c r="F120" s="1026">
        <v>29202942</v>
      </c>
      <c r="G120" s="1372"/>
      <c r="H120" s="1026">
        <v>730073.55</v>
      </c>
      <c r="I120" s="1372"/>
      <c r="J120" s="1026">
        <v>0</v>
      </c>
      <c r="K120" s="1373"/>
      <c r="L120" s="1026">
        <v>0</v>
      </c>
      <c r="M120" s="1373"/>
      <c r="N120" s="1026">
        <v>454443849</v>
      </c>
      <c r="O120" s="1372"/>
      <c r="P120" s="1026">
        <v>3740851.3294800003</v>
      </c>
      <c r="Q120" s="1083"/>
    </row>
    <row r="121" spans="1:17" ht="8.25" customHeight="1">
      <c r="B121" s="1026"/>
      <c r="C121" s="1372"/>
      <c r="D121" s="1026"/>
      <c r="E121" s="1372"/>
      <c r="F121" s="1026"/>
      <c r="G121" s="1372"/>
      <c r="H121" s="1026"/>
      <c r="I121" s="1372"/>
      <c r="J121" s="1026"/>
      <c r="K121" s="1373"/>
      <c r="L121" s="1026"/>
      <c r="M121" s="1373"/>
      <c r="N121" s="1026"/>
      <c r="O121" s="1372"/>
      <c r="P121" s="1026"/>
      <c r="Q121" s="1083"/>
    </row>
    <row r="122" spans="1:17" ht="12" customHeight="1">
      <c r="A122" s="978" t="s">
        <v>159</v>
      </c>
      <c r="B122" s="1026">
        <v>1146959670</v>
      </c>
      <c r="C122" s="1026"/>
      <c r="D122" s="1026">
        <v>71242683.515000001</v>
      </c>
      <c r="E122" s="1026"/>
      <c r="F122" s="1026">
        <v>0</v>
      </c>
      <c r="G122" s="1026"/>
      <c r="H122" s="1026">
        <v>0</v>
      </c>
      <c r="I122" s="1026"/>
      <c r="J122" s="1026">
        <v>185942230</v>
      </c>
      <c r="K122" s="1026"/>
      <c r="L122" s="1026">
        <v>929711.15</v>
      </c>
      <c r="M122" s="1026"/>
      <c r="N122" s="1026">
        <v>457272126</v>
      </c>
      <c r="O122" s="1026"/>
      <c r="P122" s="1026">
        <v>4435540</v>
      </c>
      <c r="Q122" s="1083"/>
    </row>
    <row r="123" spans="1:17" ht="12" customHeight="1">
      <c r="A123" s="978" t="s">
        <v>161</v>
      </c>
      <c r="B123" s="1026">
        <v>60516360</v>
      </c>
      <c r="C123" s="1372"/>
      <c r="D123" s="1026">
        <v>2300762.48</v>
      </c>
      <c r="E123" s="1372"/>
      <c r="F123" s="1026">
        <v>2431696</v>
      </c>
      <c r="G123" s="1372"/>
      <c r="H123" s="1026">
        <v>24316.959999999999</v>
      </c>
      <c r="I123" s="1372"/>
      <c r="J123" s="1026">
        <v>0</v>
      </c>
      <c r="K123" s="1373"/>
      <c r="L123" s="1026">
        <v>0</v>
      </c>
      <c r="M123" s="1373"/>
      <c r="N123" s="1026">
        <v>2049700758</v>
      </c>
      <c r="O123" s="1372"/>
      <c r="P123" s="1026">
        <v>14568693.8334</v>
      </c>
      <c r="Q123" s="1083"/>
    </row>
    <row r="124" spans="1:17" ht="12" customHeight="1">
      <c r="A124" s="978" t="s">
        <v>163</v>
      </c>
      <c r="B124" s="1026">
        <v>83886581</v>
      </c>
      <c r="C124" s="1026"/>
      <c r="D124" s="1026">
        <v>3915618.9339999999</v>
      </c>
      <c r="E124" s="1026"/>
      <c r="F124" s="1026">
        <v>26229432</v>
      </c>
      <c r="G124" s="1026"/>
      <c r="H124" s="1026">
        <v>637375.19760000007</v>
      </c>
      <c r="I124" s="1026"/>
      <c r="J124" s="1026">
        <v>13367662</v>
      </c>
      <c r="K124" s="1026"/>
      <c r="L124" s="1026">
        <v>133676.62</v>
      </c>
      <c r="M124" s="1026"/>
      <c r="N124" s="1026">
        <v>121833416</v>
      </c>
      <c r="O124" s="1026"/>
      <c r="P124" s="1026">
        <v>746150.82669999998</v>
      </c>
      <c r="Q124" s="1083"/>
    </row>
    <row r="125" spans="1:17" ht="12" customHeight="1">
      <c r="A125" s="978" t="s">
        <v>165</v>
      </c>
      <c r="B125" s="1026">
        <v>446169285</v>
      </c>
      <c r="C125" s="1372"/>
      <c r="D125" s="1026">
        <v>8487463.0759999994</v>
      </c>
      <c r="E125" s="1372"/>
      <c r="F125" s="1026">
        <v>70396500</v>
      </c>
      <c r="G125" s="1372"/>
      <c r="H125" s="1026">
        <v>1407930</v>
      </c>
      <c r="I125" s="1372"/>
      <c r="J125" s="1026">
        <v>25289540</v>
      </c>
      <c r="K125" s="1372"/>
      <c r="L125" s="1026">
        <v>1087450.22</v>
      </c>
      <c r="M125" s="1372"/>
      <c r="N125" s="1026">
        <v>276925696</v>
      </c>
      <c r="O125" s="1372"/>
      <c r="P125" s="1026">
        <v>1609861.2455999998</v>
      </c>
      <c r="Q125" s="1083"/>
    </row>
    <row r="126" spans="1:17" ht="12" customHeight="1">
      <c r="A126" s="978" t="s">
        <v>167</v>
      </c>
      <c r="B126" s="1026">
        <v>558897680</v>
      </c>
      <c r="C126" s="1372"/>
      <c r="D126" s="1026">
        <v>221722.54053250002</v>
      </c>
      <c r="E126" s="1372"/>
      <c r="F126" s="1026">
        <v>110506555</v>
      </c>
      <c r="G126" s="1372"/>
      <c r="H126" s="1026">
        <v>22653.843775000001</v>
      </c>
      <c r="I126" s="1372"/>
      <c r="J126" s="1026">
        <v>0</v>
      </c>
      <c r="K126" s="1372"/>
      <c r="L126" s="1026">
        <v>0</v>
      </c>
      <c r="M126" s="1372"/>
      <c r="N126" s="1026">
        <v>996724900</v>
      </c>
      <c r="O126" s="1372"/>
      <c r="P126" s="1026">
        <v>66159.797050000008</v>
      </c>
      <c r="Q126" s="1083"/>
    </row>
    <row r="127" spans="1:17" ht="15.75">
      <c r="A127" s="1242" t="s">
        <v>1022</v>
      </c>
      <c r="B127" s="1018"/>
      <c r="C127" s="998"/>
      <c r="D127" s="1018"/>
      <c r="E127" s="998"/>
      <c r="F127" s="1018"/>
      <c r="G127" s="998"/>
      <c r="H127" s="1018"/>
      <c r="I127" s="998"/>
      <c r="J127" s="1018"/>
      <c r="K127" s="998"/>
      <c r="L127" s="1018"/>
      <c r="M127" s="998"/>
      <c r="N127" s="1018"/>
      <c r="O127" s="998"/>
      <c r="P127" s="1018"/>
      <c r="Q127" s="1021"/>
    </row>
    <row r="128" spans="1:17" s="1010" customFormat="1" ht="12.75">
      <c r="A128" s="1019" t="s">
        <v>1015</v>
      </c>
      <c r="B128" s="1019"/>
      <c r="C128" s="1019"/>
      <c r="D128" s="1019"/>
      <c r="E128" s="1019"/>
      <c r="F128" s="1019"/>
      <c r="G128" s="1019"/>
      <c r="H128" s="1019"/>
      <c r="I128" s="1019"/>
      <c r="J128" s="1019"/>
      <c r="K128" s="1019"/>
      <c r="L128" s="1019"/>
      <c r="M128" s="1019"/>
      <c r="N128" s="1019"/>
      <c r="O128" s="1019"/>
      <c r="P128" s="1019"/>
      <c r="Q128" s="1032"/>
    </row>
    <row r="129" spans="1:17" s="1010" customFormat="1" ht="12.75">
      <c r="A129" s="1022" t="str">
        <f>A87</f>
        <v>Assessed Values and Levies by Locality - Tax Year 2020</v>
      </c>
      <c r="B129" s="1275"/>
      <c r="C129" s="1275"/>
      <c r="D129" s="1275"/>
      <c r="E129" s="1275"/>
      <c r="F129" s="1275"/>
      <c r="G129" s="1275"/>
      <c r="H129" s="1275"/>
      <c r="I129" s="1275"/>
      <c r="J129" s="1275"/>
      <c r="K129" s="1275"/>
      <c r="L129" s="1275"/>
      <c r="M129" s="1275"/>
      <c r="N129" s="1275"/>
      <c r="O129" s="1275"/>
      <c r="P129" s="1275"/>
      <c r="Q129" s="1033"/>
    </row>
    <row r="130" spans="1:17" ht="9" customHeight="1" thickBot="1">
      <c r="A130" s="981"/>
      <c r="B130" s="981"/>
      <c r="C130" s="981"/>
      <c r="D130" s="981"/>
      <c r="E130" s="981"/>
      <c r="F130" s="981"/>
      <c r="G130" s="981"/>
      <c r="H130" s="981"/>
      <c r="I130" s="981"/>
      <c r="J130" s="981"/>
      <c r="K130" s="981"/>
      <c r="L130" s="981"/>
      <c r="M130" s="981"/>
      <c r="N130" s="981"/>
      <c r="O130" s="981"/>
      <c r="P130" s="981"/>
      <c r="Q130" s="1024"/>
    </row>
    <row r="131" spans="1:17" ht="12.75">
      <c r="A131" s="1008"/>
      <c r="B131" s="1443" t="s">
        <v>1016</v>
      </c>
      <c r="C131" s="1443"/>
      <c r="D131" s="1443"/>
      <c r="E131" s="1008"/>
      <c r="F131" s="1443" t="s">
        <v>1017</v>
      </c>
      <c r="G131" s="1443"/>
      <c r="H131" s="1443"/>
      <c r="I131" s="1008"/>
      <c r="J131" s="1443" t="s">
        <v>1018</v>
      </c>
      <c r="K131" s="1443"/>
      <c r="L131" s="1443"/>
      <c r="M131" s="1008"/>
      <c r="N131" s="1443" t="s">
        <v>1019</v>
      </c>
      <c r="O131" s="1443"/>
      <c r="P131" s="1443"/>
      <c r="Q131" s="1021"/>
    </row>
    <row r="132" spans="1:17" ht="12.75">
      <c r="A132" s="1240" t="s">
        <v>23</v>
      </c>
      <c r="B132" s="1241" t="s">
        <v>1020</v>
      </c>
      <c r="C132" s="1240"/>
      <c r="D132" s="1241" t="s">
        <v>1021</v>
      </c>
      <c r="E132" s="1109"/>
      <c r="F132" s="1241" t="s">
        <v>1020</v>
      </c>
      <c r="G132" s="1109"/>
      <c r="H132" s="1241" t="s">
        <v>1021</v>
      </c>
      <c r="I132" s="1109"/>
      <c r="J132" s="1241" t="s">
        <v>1020</v>
      </c>
      <c r="K132" s="1109"/>
      <c r="L132" s="1241" t="s">
        <v>1021</v>
      </c>
      <c r="M132" s="1109"/>
      <c r="N132" s="1241" t="s">
        <v>1020</v>
      </c>
      <c r="O132" s="1109"/>
      <c r="P132" s="1241" t="s">
        <v>1021</v>
      </c>
      <c r="Q132" s="1024"/>
    </row>
    <row r="133" spans="1:17" ht="8.25" customHeight="1">
      <c r="B133" s="1026"/>
      <c r="C133" s="1028"/>
      <c r="D133" s="1026"/>
      <c r="E133" s="1028"/>
      <c r="F133" s="1026"/>
      <c r="G133" s="1028"/>
      <c r="H133" s="1026"/>
      <c r="I133" s="1028"/>
      <c r="J133" s="1026"/>
      <c r="K133" s="1028"/>
      <c r="L133" s="1026"/>
      <c r="M133" s="1028"/>
      <c r="N133" s="1026"/>
      <c r="O133" s="1028"/>
      <c r="P133" s="1026"/>
    </row>
    <row r="134" spans="1:17" ht="12" customHeight="1">
      <c r="A134" s="978" t="s">
        <v>169</v>
      </c>
      <c r="B134" s="1368">
        <v>660946617</v>
      </c>
      <c r="C134" s="1369"/>
      <c r="D134" s="1368">
        <v>10927711.495199999</v>
      </c>
      <c r="E134" s="1369"/>
      <c r="F134" s="1368">
        <v>199754342</v>
      </c>
      <c r="G134" s="1369"/>
      <c r="H134" s="1368">
        <v>3096192.3010000004</v>
      </c>
      <c r="I134" s="1369"/>
      <c r="J134" s="1368">
        <v>0</v>
      </c>
      <c r="K134" s="1369"/>
      <c r="L134" s="1368">
        <v>0</v>
      </c>
      <c r="M134" s="1369"/>
      <c r="N134" s="1368">
        <v>278129804</v>
      </c>
      <c r="O134" s="1369"/>
      <c r="P134" s="1370">
        <v>1767353.5786000001</v>
      </c>
      <c r="Q134" s="1083"/>
    </row>
    <row r="135" spans="1:17" ht="12" customHeight="1">
      <c r="A135" s="978" t="s">
        <v>1122</v>
      </c>
      <c r="B135" s="1026">
        <v>190592630</v>
      </c>
      <c r="C135" s="1372"/>
      <c r="D135" s="1026">
        <v>5581420.2700000005</v>
      </c>
      <c r="E135" s="1372"/>
      <c r="F135" s="1026">
        <v>5879860</v>
      </c>
      <c r="G135" s="1372"/>
      <c r="H135" s="1026">
        <v>88197.9</v>
      </c>
      <c r="I135" s="1372"/>
      <c r="J135" s="1026">
        <v>12182200</v>
      </c>
      <c r="K135" s="1372"/>
      <c r="L135" s="1026">
        <v>49904</v>
      </c>
      <c r="M135" s="1372"/>
      <c r="N135" s="1026">
        <v>71939940</v>
      </c>
      <c r="O135" s="1372"/>
      <c r="P135" s="1026">
        <v>482590.01</v>
      </c>
      <c r="Q135" s="1083"/>
    </row>
    <row r="136" spans="1:17" ht="12" customHeight="1">
      <c r="A136" s="978" t="s">
        <v>173</v>
      </c>
      <c r="B136" s="1026">
        <v>423500066</v>
      </c>
      <c r="C136" s="1372"/>
      <c r="D136" s="1026">
        <v>6705073.1081999997</v>
      </c>
      <c r="E136" s="1372"/>
      <c r="F136" s="1026">
        <v>49042550</v>
      </c>
      <c r="G136" s="1372"/>
      <c r="H136" s="1026">
        <v>691499.95499999996</v>
      </c>
      <c r="I136" s="1372"/>
      <c r="J136" s="1026">
        <v>26439853</v>
      </c>
      <c r="K136" s="1372"/>
      <c r="L136" s="1026">
        <v>753535.81050000002</v>
      </c>
      <c r="M136" s="1372"/>
      <c r="N136" s="1026">
        <v>1424428336</v>
      </c>
      <c r="O136" s="1372"/>
      <c r="P136" s="1026">
        <v>9829312.8047999982</v>
      </c>
      <c r="Q136" s="1083"/>
    </row>
    <row r="137" spans="1:17" ht="12" customHeight="1">
      <c r="A137" s="978" t="s">
        <v>175</v>
      </c>
      <c r="B137" s="1026">
        <v>303108435</v>
      </c>
      <c r="C137" s="1372"/>
      <c r="D137" s="1026">
        <v>6778576.0519999992</v>
      </c>
      <c r="E137" s="1372"/>
      <c r="F137" s="1026">
        <v>159253451</v>
      </c>
      <c r="G137" s="1372"/>
      <c r="H137" s="1026">
        <v>2388801.7650000001</v>
      </c>
      <c r="I137" s="1372"/>
      <c r="J137" s="1026">
        <v>75355126</v>
      </c>
      <c r="K137" s="1372"/>
      <c r="L137" s="1026">
        <v>421988.70560000004</v>
      </c>
      <c r="M137" s="1372"/>
      <c r="N137" s="1026">
        <v>359901645</v>
      </c>
      <c r="O137" s="1372"/>
      <c r="P137" s="1026">
        <v>1950574.5004</v>
      </c>
      <c r="Q137" s="1083"/>
    </row>
    <row r="138" spans="1:17" ht="12" customHeight="1">
      <c r="A138" s="978" t="s">
        <v>177</v>
      </c>
      <c r="B138" s="1026">
        <v>786248100</v>
      </c>
      <c r="C138" s="1372"/>
      <c r="D138" s="1026">
        <v>26996277.605</v>
      </c>
      <c r="E138" s="1372"/>
      <c r="F138" s="1026">
        <v>4314345</v>
      </c>
      <c r="G138" s="1372"/>
      <c r="H138" s="1026">
        <v>172573.8</v>
      </c>
      <c r="I138" s="1372"/>
      <c r="J138" s="1026">
        <v>0</v>
      </c>
      <c r="K138" s="1373"/>
      <c r="L138" s="1026">
        <v>0</v>
      </c>
      <c r="M138" s="1373"/>
      <c r="N138" s="1026">
        <v>420293292</v>
      </c>
      <c r="O138" s="1372"/>
      <c r="P138" s="1026">
        <v>3342596.2041500006</v>
      </c>
      <c r="Q138" s="1083"/>
    </row>
    <row r="139" spans="1:17" ht="12" customHeight="1"/>
    <row r="140" spans="1:17" ht="12.75" customHeight="1">
      <c r="A140" s="1003" t="s">
        <v>24</v>
      </c>
      <c r="B140" s="1003">
        <f>SUM(B8:C42,B50:B84,B92:B126,B134:B138)</f>
        <v>77565160305.309998</v>
      </c>
      <c r="C140" s="1003">
        <f t="shared" ref="C140:P140" si="0">SUM(C8:D42,C50:C84,C92:C126,C134:C138)</f>
        <v>1138371775.5260801</v>
      </c>
      <c r="D140" s="1003">
        <f t="shared" si="0"/>
        <v>2852882928.5384564</v>
      </c>
      <c r="E140" s="1003">
        <f t="shared" si="0"/>
        <v>2990473193.8099999</v>
      </c>
      <c r="F140" s="1003">
        <f>SUM(F8:G42,F50:F84,F92:F126,F134:F138)</f>
        <v>7948153551.6700001</v>
      </c>
      <c r="G140" s="1003">
        <f t="shared" si="0"/>
        <v>59580367.972500011</v>
      </c>
      <c r="H140" s="1003">
        <f t="shared" si="0"/>
        <v>151215382.03906706</v>
      </c>
      <c r="I140" s="1003">
        <f t="shared" si="0"/>
        <v>113077788</v>
      </c>
      <c r="J140" s="1003">
        <f t="shared" si="0"/>
        <v>1433318097.3</v>
      </c>
      <c r="K140" s="1003">
        <f t="shared" si="0"/>
        <v>1478844.5433</v>
      </c>
      <c r="L140" s="1003">
        <f t="shared" si="0"/>
        <v>15272308.508099999</v>
      </c>
      <c r="M140" s="1003">
        <f t="shared" si="0"/>
        <v>14996879093.5</v>
      </c>
      <c r="N140" s="1003">
        <f t="shared" si="0"/>
        <v>41397021820.5</v>
      </c>
      <c r="O140" s="1003">
        <f t="shared" si="0"/>
        <v>124679004.57958998</v>
      </c>
      <c r="P140" s="1003">
        <f t="shared" si="0"/>
        <v>324832900.68491983</v>
      </c>
      <c r="Q140" s="1024"/>
    </row>
    <row r="141" spans="1:17" ht="12" customHeight="1">
      <c r="A141" s="1017"/>
      <c r="B141" s="1017"/>
      <c r="C141" s="1017"/>
      <c r="D141" s="1017"/>
      <c r="E141" s="1017"/>
      <c r="F141" s="1017"/>
      <c r="G141" s="1017"/>
      <c r="H141" s="1017"/>
      <c r="I141" s="1017"/>
      <c r="J141" s="1017"/>
      <c r="K141" s="1017"/>
      <c r="L141" s="1017"/>
      <c r="M141" s="1017"/>
      <c r="N141" s="1017"/>
      <c r="O141" s="1017"/>
      <c r="P141" s="1017"/>
      <c r="Q141" s="1024"/>
    </row>
    <row r="142" spans="1:17" ht="12.75" customHeight="1" thickBot="1">
      <c r="A142" s="1014"/>
      <c r="B142" s="1034"/>
      <c r="C142" s="1034"/>
      <c r="D142" s="1034"/>
      <c r="E142" s="1034"/>
      <c r="F142" s="1034"/>
      <c r="G142" s="1034"/>
      <c r="H142" s="1034"/>
      <c r="I142" s="1034"/>
      <c r="J142" s="1034"/>
      <c r="K142" s="1034"/>
      <c r="L142" s="1034"/>
      <c r="M142" s="1034"/>
      <c r="N142" s="1034"/>
      <c r="O142" s="1034"/>
      <c r="P142" s="1034"/>
      <c r="Q142" s="1092"/>
    </row>
    <row r="143" spans="1:17" ht="12.75">
      <c r="A143" s="1008"/>
      <c r="B143" s="1443" t="s">
        <v>1016</v>
      </c>
      <c r="C143" s="1443"/>
      <c r="D143" s="1443"/>
      <c r="E143" s="1008"/>
      <c r="F143" s="1443" t="s">
        <v>1017</v>
      </c>
      <c r="G143" s="1443"/>
      <c r="H143" s="1443"/>
      <c r="I143" s="1008"/>
      <c r="J143" s="1443" t="s">
        <v>1018</v>
      </c>
      <c r="K143" s="1443"/>
      <c r="L143" s="1443"/>
      <c r="M143" s="1008"/>
      <c r="N143" s="1443" t="s">
        <v>1019</v>
      </c>
      <c r="O143" s="1443"/>
      <c r="P143" s="1443"/>
      <c r="Q143" s="1021"/>
    </row>
    <row r="144" spans="1:17" ht="12.75">
      <c r="A144" s="1240" t="s">
        <v>23</v>
      </c>
      <c r="B144" s="1241" t="s">
        <v>1020</v>
      </c>
      <c r="C144" s="1240"/>
      <c r="D144" s="1241" t="s">
        <v>1021</v>
      </c>
      <c r="E144" s="1109"/>
      <c r="F144" s="1241" t="s">
        <v>1020</v>
      </c>
      <c r="G144" s="1109"/>
      <c r="H144" s="1241" t="s">
        <v>1021</v>
      </c>
      <c r="I144" s="1109"/>
      <c r="J144" s="1241" t="s">
        <v>1020</v>
      </c>
      <c r="K144" s="1109"/>
      <c r="L144" s="1241" t="s">
        <v>1021</v>
      </c>
      <c r="M144" s="1109"/>
      <c r="N144" s="1241" t="s">
        <v>1020</v>
      </c>
      <c r="O144" s="1109"/>
      <c r="P144" s="1241" t="s">
        <v>1021</v>
      </c>
      <c r="Q144" s="1024"/>
    </row>
    <row r="145" spans="1:17" ht="8.25" customHeight="1"/>
    <row r="146" spans="1:17" ht="12" customHeight="1">
      <c r="A146" s="978" t="s">
        <v>473</v>
      </c>
      <c r="B146" s="1376">
        <v>1759334253.9000001</v>
      </c>
      <c r="C146" s="1372"/>
      <c r="D146" s="1368">
        <v>7565241.2909625014</v>
      </c>
      <c r="E146" s="1025"/>
      <c r="F146" s="1376">
        <v>15352365.6</v>
      </c>
      <c r="G146" s="1368"/>
      <c r="H146" s="1376">
        <v>69085.645199999999</v>
      </c>
      <c r="I146" s="1368"/>
      <c r="J146" s="1376">
        <v>0</v>
      </c>
      <c r="K146" s="1368"/>
      <c r="L146" s="1376">
        <v>0</v>
      </c>
      <c r="M146" s="1368"/>
      <c r="N146" s="1376">
        <v>639514515</v>
      </c>
      <c r="O146" s="1368"/>
      <c r="P146" s="1370">
        <v>7252634</v>
      </c>
      <c r="Q146" s="1083"/>
    </row>
    <row r="147" spans="1:17" ht="12" customHeight="1">
      <c r="A147" s="978" t="s">
        <v>184</v>
      </c>
      <c r="B147" s="1025">
        <v>118036302</v>
      </c>
      <c r="C147" s="1372"/>
      <c r="D147" s="1025">
        <v>3056101.4938999997</v>
      </c>
      <c r="E147" s="1372"/>
      <c r="F147" s="1025">
        <v>11008823</v>
      </c>
      <c r="G147" s="1372"/>
      <c r="H147" s="1025">
        <v>770617.61</v>
      </c>
      <c r="I147" s="1372"/>
      <c r="J147" s="1371">
        <v>0</v>
      </c>
      <c r="K147" s="1373"/>
      <c r="L147" s="1373">
        <v>0</v>
      </c>
      <c r="M147" s="1373"/>
      <c r="N147" s="1025">
        <v>21707519</v>
      </c>
      <c r="O147" s="1372"/>
      <c r="P147" s="1027">
        <v>253977.97229999996</v>
      </c>
      <c r="Q147" s="1083"/>
    </row>
    <row r="148" spans="1:17" ht="12" customHeight="1">
      <c r="A148" s="978" t="s">
        <v>186</v>
      </c>
      <c r="B148" s="1025">
        <v>35983511</v>
      </c>
      <c r="C148" s="1026"/>
      <c r="D148" s="1025">
        <v>2075807.1054999998</v>
      </c>
      <c r="E148" s="1026"/>
      <c r="F148" s="1025">
        <v>7747000</v>
      </c>
      <c r="G148" s="1026"/>
      <c r="H148" s="1025">
        <v>329247.5</v>
      </c>
      <c r="I148" s="1026"/>
      <c r="J148" s="1371">
        <v>0</v>
      </c>
      <c r="K148" s="1373"/>
      <c r="L148" s="1373">
        <v>0</v>
      </c>
      <c r="M148" s="1373"/>
      <c r="N148" s="1025">
        <v>21643851</v>
      </c>
      <c r="O148" s="1372"/>
      <c r="P148" s="1027">
        <v>262586</v>
      </c>
      <c r="Q148" s="1083"/>
    </row>
    <row r="149" spans="1:17" ht="12" customHeight="1">
      <c r="A149" s="978" t="s">
        <v>1134</v>
      </c>
      <c r="B149" s="1025">
        <v>382105057</v>
      </c>
      <c r="C149" s="1372"/>
      <c r="D149" s="1025">
        <v>12716115.259999998</v>
      </c>
      <c r="E149" s="1372"/>
      <c r="F149" s="1025">
        <v>7827125</v>
      </c>
      <c r="G149" s="1026"/>
      <c r="H149" s="1025">
        <v>328739.34000000003</v>
      </c>
      <c r="I149" s="1026"/>
      <c r="J149" s="1371">
        <v>0</v>
      </c>
      <c r="K149" s="1373"/>
      <c r="L149" s="1373">
        <v>0</v>
      </c>
      <c r="M149" s="1373"/>
      <c r="N149" s="1025">
        <v>152810590</v>
      </c>
      <c r="O149" s="1372"/>
      <c r="P149" s="1027">
        <v>1459388.75</v>
      </c>
      <c r="Q149" s="1083"/>
    </row>
    <row r="150" spans="1:17" ht="12" customHeight="1">
      <c r="A150" s="978" t="s">
        <v>133</v>
      </c>
      <c r="B150" s="1025">
        <v>2349824115</v>
      </c>
      <c r="C150" s="1372"/>
      <c r="D150" s="1025">
        <v>92416537.395799994</v>
      </c>
      <c r="E150" s="1372"/>
      <c r="F150" s="1025">
        <v>94642761</v>
      </c>
      <c r="G150" s="1026"/>
      <c r="H150" s="1025">
        <v>3028568.352</v>
      </c>
      <c r="I150" s="1026"/>
      <c r="J150" s="1371">
        <v>0</v>
      </c>
      <c r="K150" s="1373"/>
      <c r="L150" s="1373">
        <v>0</v>
      </c>
      <c r="M150" s="1373"/>
      <c r="N150" s="1025">
        <v>1034682340</v>
      </c>
      <c r="O150" s="1372"/>
      <c r="P150" s="1027">
        <v>10875151.834799999</v>
      </c>
      <c r="Q150" s="1083"/>
    </row>
    <row r="151" spans="1:17" ht="8.25" customHeight="1">
      <c r="B151" s="1025"/>
      <c r="C151" s="1372"/>
      <c r="D151" s="1025"/>
      <c r="E151" s="1372"/>
      <c r="F151" s="1025"/>
      <c r="G151" s="1026"/>
      <c r="H151" s="1025"/>
      <c r="I151" s="1026"/>
      <c r="J151" s="1371"/>
      <c r="K151" s="1373"/>
      <c r="L151" s="1373"/>
      <c r="M151" s="1373"/>
      <c r="N151" s="1025"/>
      <c r="O151" s="1372"/>
      <c r="P151" s="1027"/>
      <c r="Q151" s="1083"/>
    </row>
    <row r="152" spans="1:17" ht="12" customHeight="1">
      <c r="A152" s="978" t="s">
        <v>135</v>
      </c>
      <c r="B152" s="1025">
        <v>145966747</v>
      </c>
      <c r="C152" s="1373"/>
      <c r="D152" s="1025">
        <v>5108836.1449999996</v>
      </c>
      <c r="E152" s="1371"/>
      <c r="F152" s="1025">
        <v>5581577</v>
      </c>
      <c r="G152" s="1026"/>
      <c r="H152" s="1025">
        <v>111631.54</v>
      </c>
      <c r="I152" s="1026"/>
      <c r="J152" s="1371">
        <v>0</v>
      </c>
      <c r="K152" s="1373"/>
      <c r="L152" s="1373">
        <v>0</v>
      </c>
      <c r="M152" s="1373"/>
      <c r="N152" s="1025">
        <v>37751450</v>
      </c>
      <c r="O152" s="1371"/>
      <c r="P152" s="1027">
        <v>453017.4</v>
      </c>
      <c r="Q152" s="1083"/>
    </row>
    <row r="153" spans="1:17" ht="12" customHeight="1">
      <c r="A153" s="978" t="s">
        <v>137</v>
      </c>
      <c r="B153" s="1025">
        <v>54855375</v>
      </c>
      <c r="C153" s="1372"/>
      <c r="D153" s="1025">
        <v>1668330.6059999999</v>
      </c>
      <c r="E153" s="1025"/>
      <c r="F153" s="1025">
        <v>124657590</v>
      </c>
      <c r="G153" s="1026"/>
      <c r="H153" s="1025">
        <v>3440549.4839999997</v>
      </c>
      <c r="I153" s="1026"/>
      <c r="J153" s="1371">
        <v>0</v>
      </c>
      <c r="K153" s="1373"/>
      <c r="L153" s="1373">
        <v>0</v>
      </c>
      <c r="M153" s="1373"/>
      <c r="N153" s="1025">
        <v>240961221</v>
      </c>
      <c r="O153" s="1025"/>
      <c r="P153" s="1027">
        <v>1927689.7680000002</v>
      </c>
      <c r="Q153" s="1083"/>
    </row>
    <row r="154" spans="1:17" ht="12" customHeight="1">
      <c r="A154" s="978" t="s">
        <v>1135</v>
      </c>
      <c r="B154" s="1025">
        <v>350622643</v>
      </c>
      <c r="C154" s="1372"/>
      <c r="D154" s="1025">
        <v>11950120.610000001</v>
      </c>
      <c r="E154" s="1025"/>
      <c r="F154" s="1025">
        <v>112709350</v>
      </c>
      <c r="G154" s="1026"/>
      <c r="H154" s="1025">
        <v>1690640.25</v>
      </c>
      <c r="I154" s="1026"/>
      <c r="J154" s="1371">
        <v>0</v>
      </c>
      <c r="K154" s="1373"/>
      <c r="L154" s="1373">
        <v>0</v>
      </c>
      <c r="M154" s="1373"/>
      <c r="N154" s="1025">
        <v>120928855</v>
      </c>
      <c r="O154" s="1025"/>
      <c r="P154" s="1027">
        <v>971843.05</v>
      </c>
      <c r="Q154" s="1083"/>
    </row>
    <row r="155" spans="1:17" ht="12" customHeight="1">
      <c r="A155" s="978" t="s">
        <v>141</v>
      </c>
      <c r="B155" s="1025">
        <v>51545287</v>
      </c>
      <c r="C155" s="1372"/>
      <c r="D155" s="1025">
        <v>2570861.1785000004</v>
      </c>
      <c r="E155" s="1025"/>
      <c r="F155" s="1025">
        <v>9674057</v>
      </c>
      <c r="G155" s="1026"/>
      <c r="H155" s="1025">
        <v>483702.85</v>
      </c>
      <c r="I155" s="1026"/>
      <c r="J155" s="1371">
        <v>0</v>
      </c>
      <c r="K155" s="1373"/>
      <c r="L155" s="1373">
        <v>0</v>
      </c>
      <c r="M155" s="1373"/>
      <c r="N155" s="1025">
        <v>22879319</v>
      </c>
      <c r="O155" s="1025"/>
      <c r="P155" s="1027">
        <v>217544.12349999996</v>
      </c>
      <c r="Q155" s="1083"/>
    </row>
    <row r="156" spans="1:17" ht="12" customHeight="1">
      <c r="A156" s="978" t="s">
        <v>1187</v>
      </c>
      <c r="B156" s="1025">
        <v>355371444</v>
      </c>
      <c r="C156" s="1026"/>
      <c r="D156" s="1025">
        <v>12569166.48</v>
      </c>
      <c r="E156" s="1026"/>
      <c r="F156" s="1025">
        <v>968682</v>
      </c>
      <c r="G156" s="1026"/>
      <c r="H156" s="1025">
        <v>40006.58</v>
      </c>
      <c r="I156" s="1026"/>
      <c r="J156" s="1025">
        <v>0</v>
      </c>
      <c r="K156" s="1026"/>
      <c r="L156" s="1025">
        <v>0</v>
      </c>
      <c r="M156" s="1026"/>
      <c r="N156" s="1025">
        <v>119090933</v>
      </c>
      <c r="O156" s="1026"/>
      <c r="P156" s="1027">
        <v>1399318.46</v>
      </c>
      <c r="Q156" s="1083"/>
    </row>
    <row r="157" spans="1:17" ht="8.25" customHeight="1">
      <c r="B157" s="1025"/>
      <c r="C157" s="1026"/>
      <c r="D157" s="1025"/>
      <c r="E157" s="1026"/>
      <c r="F157" s="1025"/>
      <c r="G157" s="1026"/>
      <c r="H157" s="1025"/>
      <c r="I157" s="1026"/>
      <c r="J157" s="1025"/>
      <c r="K157" s="1026"/>
      <c r="L157" s="1025"/>
      <c r="M157" s="1026"/>
      <c r="N157" s="1025"/>
      <c r="O157" s="1026"/>
      <c r="P157" s="1027"/>
      <c r="Q157" s="1083"/>
    </row>
    <row r="158" spans="1:17" ht="12" customHeight="1">
      <c r="A158" s="978" t="s">
        <v>504</v>
      </c>
      <c r="B158" s="1025">
        <v>158356746</v>
      </c>
      <c r="C158" s="1026"/>
      <c r="D158" s="1025">
        <v>7917837.2999999998</v>
      </c>
      <c r="E158" s="1026"/>
      <c r="F158" s="1025">
        <v>0</v>
      </c>
      <c r="G158" s="1026"/>
      <c r="H158" s="1025">
        <v>0</v>
      </c>
      <c r="I158" s="1026"/>
      <c r="J158" s="1025">
        <v>0</v>
      </c>
      <c r="K158" s="1026"/>
      <c r="L158" s="1025">
        <v>0</v>
      </c>
      <c r="M158" s="1026"/>
      <c r="N158" s="1025">
        <v>0</v>
      </c>
      <c r="O158" s="1026"/>
      <c r="P158" s="1027">
        <v>0</v>
      </c>
      <c r="Q158" s="1083"/>
    </row>
    <row r="159" spans="1:17" ht="12" customHeight="1">
      <c r="A159" s="978" t="s">
        <v>505</v>
      </c>
      <c r="B159" s="1025">
        <v>67729504</v>
      </c>
      <c r="C159" s="1026"/>
      <c r="D159" s="1025">
        <v>3047827.68</v>
      </c>
      <c r="E159" s="1026"/>
      <c r="F159" s="1025">
        <v>1205332</v>
      </c>
      <c r="G159" s="1026"/>
      <c r="H159" s="1025">
        <v>24106.639999999999</v>
      </c>
      <c r="I159" s="1026"/>
      <c r="J159" s="1025">
        <v>0</v>
      </c>
      <c r="K159" s="1026"/>
      <c r="L159" s="1025">
        <v>0</v>
      </c>
      <c r="M159" s="1026"/>
      <c r="N159" s="1025">
        <v>8390726</v>
      </c>
      <c r="O159" s="1026"/>
      <c r="P159" s="1027">
        <v>86537.669199999989</v>
      </c>
      <c r="Q159" s="1083"/>
    </row>
    <row r="160" spans="1:17" ht="12" customHeight="1">
      <c r="A160" s="978" t="s">
        <v>146</v>
      </c>
      <c r="B160" s="1025">
        <v>396802006</v>
      </c>
      <c r="C160" s="1026"/>
      <c r="D160" s="1025">
        <v>13491268.203999998</v>
      </c>
      <c r="E160" s="1026"/>
      <c r="F160" s="1025">
        <v>16251225</v>
      </c>
      <c r="G160" s="1026"/>
      <c r="H160" s="1025">
        <v>130009.8</v>
      </c>
      <c r="I160" s="1026"/>
      <c r="J160" s="1025">
        <v>0</v>
      </c>
      <c r="K160" s="1026"/>
      <c r="L160" s="1025">
        <v>0</v>
      </c>
      <c r="M160" s="1026"/>
      <c r="N160" s="1025">
        <v>657943</v>
      </c>
      <c r="O160" s="1026"/>
      <c r="P160" s="1027">
        <v>5664.5160000000005</v>
      </c>
      <c r="Q160" s="1083"/>
    </row>
    <row r="161" spans="1:17" ht="12" customHeight="1">
      <c r="A161" s="978" t="s">
        <v>148</v>
      </c>
      <c r="B161" s="1025">
        <v>51008929</v>
      </c>
      <c r="C161" s="1372"/>
      <c r="D161" s="1025">
        <v>1137562.99</v>
      </c>
      <c r="E161" s="1025"/>
      <c r="F161" s="1025">
        <v>74418781</v>
      </c>
      <c r="G161" s="1025"/>
      <c r="H161" s="1025">
        <v>1190700.496</v>
      </c>
      <c r="I161" s="1025"/>
      <c r="J161" s="1025">
        <v>0</v>
      </c>
      <c r="K161" s="1025"/>
      <c r="L161" s="1025">
        <v>0</v>
      </c>
      <c r="M161" s="1025"/>
      <c r="N161" s="1025">
        <v>14307488</v>
      </c>
      <c r="O161" s="1025"/>
      <c r="P161" s="1027">
        <v>133339.38930000001</v>
      </c>
      <c r="Q161" s="1083"/>
    </row>
    <row r="162" spans="1:17" ht="12" customHeight="1">
      <c r="A162" s="978" t="s">
        <v>514</v>
      </c>
      <c r="B162" s="1025">
        <v>1091333359</v>
      </c>
      <c r="C162" s="1026"/>
      <c r="D162" s="1025">
        <v>46214999.608000003</v>
      </c>
      <c r="E162" s="1026"/>
      <c r="F162" s="1025">
        <v>85797234</v>
      </c>
      <c r="G162" s="1026"/>
      <c r="H162" s="1025">
        <v>2850327.0950000002</v>
      </c>
      <c r="I162" s="1026"/>
      <c r="J162" s="1025">
        <v>0</v>
      </c>
      <c r="K162" s="1026"/>
      <c r="L162" s="1025">
        <v>0</v>
      </c>
      <c r="M162" s="1026"/>
      <c r="N162" s="1025">
        <v>395655954</v>
      </c>
      <c r="O162" s="1026"/>
      <c r="P162" s="1027">
        <v>4921452.928199999</v>
      </c>
      <c r="Q162" s="1083"/>
    </row>
    <row r="163" spans="1:17" ht="8.25" customHeight="1">
      <c r="B163" s="1025"/>
      <c r="C163" s="1026"/>
      <c r="D163" s="1025"/>
      <c r="E163" s="1026"/>
      <c r="F163" s="1025"/>
      <c r="G163" s="1026"/>
      <c r="H163" s="1025"/>
      <c r="I163" s="1026"/>
      <c r="J163" s="1025"/>
      <c r="K163" s="1026"/>
      <c r="L163" s="1025"/>
      <c r="M163" s="1026"/>
      <c r="N163" s="1025"/>
      <c r="O163" s="1026"/>
      <c r="P163" s="1027"/>
      <c r="Q163" s="1083"/>
    </row>
    <row r="164" spans="1:17" ht="12" customHeight="1">
      <c r="A164" s="978" t="s">
        <v>994</v>
      </c>
      <c r="B164" s="1025">
        <v>443336602</v>
      </c>
      <c r="C164" s="1372"/>
      <c r="D164" s="1025">
        <v>12687094.592599999</v>
      </c>
      <c r="E164" s="1025"/>
      <c r="F164" s="1025">
        <v>129877009</v>
      </c>
      <c r="G164" s="1025"/>
      <c r="H164" s="1025">
        <v>2753392.5908000004</v>
      </c>
      <c r="I164" s="1025"/>
      <c r="J164" s="1025">
        <v>0</v>
      </c>
      <c r="K164" s="1371"/>
      <c r="L164" s="1025">
        <v>0</v>
      </c>
      <c r="M164" s="1371"/>
      <c r="N164" s="1025">
        <v>48885871</v>
      </c>
      <c r="O164" s="1025"/>
      <c r="P164" s="1027">
        <v>421097.84180000005</v>
      </c>
      <c r="Q164" s="1083"/>
    </row>
    <row r="165" spans="1:17" ht="12" customHeight="1">
      <c r="A165" s="978" t="s">
        <v>154</v>
      </c>
      <c r="B165" s="1025">
        <v>157861548</v>
      </c>
      <c r="C165" s="1372"/>
      <c r="D165" s="1025">
        <v>5518997.9699999997</v>
      </c>
      <c r="E165" s="1025"/>
      <c r="F165" s="1025">
        <v>268354358</v>
      </c>
      <c r="G165" s="1025"/>
      <c r="H165" s="1025">
        <v>8184807.9199999999</v>
      </c>
      <c r="I165" s="1025"/>
      <c r="J165" s="1025">
        <v>0</v>
      </c>
      <c r="K165" s="1025"/>
      <c r="L165" s="1025">
        <v>0</v>
      </c>
      <c r="M165" s="1025"/>
      <c r="N165" s="1025">
        <v>371426588</v>
      </c>
      <c r="O165" s="1025"/>
      <c r="P165" s="1027">
        <v>4201137.3999999994</v>
      </c>
      <c r="Q165" s="1083"/>
    </row>
    <row r="166" spans="1:17" ht="12" customHeight="1">
      <c r="A166" s="978" t="s">
        <v>995</v>
      </c>
      <c r="B166" s="1025">
        <v>44001870.950000003</v>
      </c>
      <c r="C166" s="1372"/>
      <c r="D166" s="1025">
        <v>1867150.6503750002</v>
      </c>
      <c r="E166" s="1025"/>
      <c r="F166" s="1025">
        <v>86864.35</v>
      </c>
      <c r="G166" s="1025"/>
      <c r="H166" s="1025">
        <v>3691.7348750000006</v>
      </c>
      <c r="I166" s="1025"/>
      <c r="J166" s="1025">
        <v>0</v>
      </c>
      <c r="K166" s="1025"/>
      <c r="L166" s="1025">
        <v>0</v>
      </c>
      <c r="M166" s="1025"/>
      <c r="N166" s="1025">
        <v>189714</v>
      </c>
      <c r="O166" s="1025"/>
      <c r="P166" s="1027">
        <v>8062.8450000000003</v>
      </c>
      <c r="Q166" s="1083"/>
    </row>
    <row r="167" spans="1:17" ht="12" customHeight="1">
      <c r="A167" s="980" t="s">
        <v>158</v>
      </c>
      <c r="B167" s="1027">
        <v>706588807</v>
      </c>
      <c r="C167" s="1374"/>
      <c r="D167" s="1027">
        <v>22432588.0656</v>
      </c>
      <c r="E167" s="1027"/>
      <c r="F167" s="1027">
        <v>175643050</v>
      </c>
      <c r="G167" s="1027"/>
      <c r="H167" s="1027">
        <v>5269291.5</v>
      </c>
      <c r="I167" s="1027"/>
      <c r="J167" s="1027">
        <v>0</v>
      </c>
      <c r="K167" s="1375"/>
      <c r="L167" s="1027">
        <v>0</v>
      </c>
      <c r="M167" s="1375"/>
      <c r="N167" s="1027">
        <v>234378511</v>
      </c>
      <c r="O167" s="1027"/>
      <c r="P167" s="1027">
        <v>2611364.3160000001</v>
      </c>
      <c r="Q167" s="1083"/>
    </row>
    <row r="168" spans="1:17" s="980" customFormat="1" ht="12" customHeight="1">
      <c r="A168" s="980" t="s">
        <v>996</v>
      </c>
      <c r="B168" s="1027">
        <v>394726840</v>
      </c>
      <c r="C168" s="1374"/>
      <c r="D168" s="1027">
        <v>13983311.2535</v>
      </c>
      <c r="E168" s="1027"/>
      <c r="F168" s="1027">
        <v>528032440</v>
      </c>
      <c r="G168" s="1027"/>
      <c r="H168" s="1027">
        <v>4948396.0410000002</v>
      </c>
      <c r="I168" s="1027"/>
      <c r="J168" s="1027">
        <v>0</v>
      </c>
      <c r="K168" s="1375"/>
      <c r="L168" s="1027">
        <v>0</v>
      </c>
      <c r="M168" s="1375"/>
      <c r="N168" s="1027">
        <v>107611630</v>
      </c>
      <c r="O168" s="1027"/>
      <c r="P168" s="1027">
        <v>1592864.76</v>
      </c>
      <c r="Q168" s="1083"/>
    </row>
    <row r="169" spans="1:17" ht="14.25" customHeight="1">
      <c r="A169" s="1239" t="s">
        <v>1022</v>
      </c>
      <c r="B169" s="1018"/>
      <c r="C169" s="998"/>
      <c r="D169" s="1018"/>
      <c r="E169" s="998"/>
      <c r="F169" s="1018"/>
      <c r="G169" s="998"/>
      <c r="H169" s="1018"/>
      <c r="I169" s="998"/>
      <c r="J169" s="1018"/>
      <c r="K169" s="998"/>
      <c r="L169" s="1018"/>
      <c r="M169" s="998"/>
      <c r="N169" s="1018"/>
      <c r="O169" s="998"/>
      <c r="P169" s="1018"/>
      <c r="Q169" s="1021"/>
    </row>
    <row r="170" spans="1:17" s="1010" customFormat="1" ht="12.75">
      <c r="A170" s="1019" t="s">
        <v>1015</v>
      </c>
      <c r="B170" s="1019"/>
      <c r="C170" s="1019"/>
      <c r="D170" s="1019"/>
      <c r="E170" s="1019"/>
      <c r="F170" s="1019"/>
      <c r="G170" s="1019"/>
      <c r="H170" s="1019"/>
      <c r="I170" s="1019"/>
      <c r="J170" s="1019"/>
      <c r="K170" s="1019"/>
      <c r="L170" s="1019"/>
      <c r="M170" s="1019"/>
      <c r="N170" s="1019"/>
      <c r="O170" s="1019"/>
      <c r="P170" s="1019"/>
      <c r="Q170" s="1032"/>
    </row>
    <row r="171" spans="1:17" ht="12.75">
      <c r="A171" s="1022" t="str">
        <f>A129</f>
        <v>Assessed Values and Levies by Locality - Tax Year 2020</v>
      </c>
      <c r="B171" s="1275"/>
      <c r="C171" s="1023"/>
      <c r="D171" s="1023"/>
      <c r="E171" s="1023"/>
      <c r="F171" s="1023"/>
      <c r="G171" s="1023"/>
      <c r="H171" s="1023"/>
      <c r="I171" s="1023"/>
      <c r="J171" s="1023"/>
      <c r="K171" s="1023"/>
      <c r="L171" s="1023"/>
      <c r="M171" s="1023"/>
      <c r="N171" s="1023"/>
      <c r="O171" s="1023"/>
      <c r="P171" s="1023"/>
      <c r="Q171" s="1024"/>
    </row>
    <row r="172" spans="1:17" ht="9" customHeight="1" thickBot="1">
      <c r="A172" s="981"/>
      <c r="B172" s="981"/>
      <c r="C172" s="981"/>
      <c r="D172" s="981"/>
      <c r="E172" s="981"/>
      <c r="F172" s="981"/>
      <c r="G172" s="981"/>
      <c r="H172" s="981"/>
      <c r="I172" s="981"/>
      <c r="J172" s="981"/>
      <c r="K172" s="981"/>
      <c r="L172" s="981"/>
      <c r="M172" s="981"/>
      <c r="N172" s="981"/>
      <c r="O172" s="981"/>
      <c r="P172" s="981"/>
      <c r="Q172" s="1024"/>
    </row>
    <row r="173" spans="1:17" ht="12.75">
      <c r="A173" s="1008"/>
      <c r="B173" s="1443" t="s">
        <v>1016</v>
      </c>
      <c r="C173" s="1443"/>
      <c r="D173" s="1443"/>
      <c r="E173" s="1008"/>
      <c r="F173" s="1443" t="s">
        <v>1017</v>
      </c>
      <c r="G173" s="1443"/>
      <c r="H173" s="1443"/>
      <c r="I173" s="1008"/>
      <c r="J173" s="1443" t="s">
        <v>1018</v>
      </c>
      <c r="K173" s="1443"/>
      <c r="L173" s="1443"/>
      <c r="M173" s="1008"/>
      <c r="N173" s="1443" t="s">
        <v>1019</v>
      </c>
      <c r="O173" s="1443"/>
      <c r="P173" s="1443"/>
      <c r="Q173" s="1021"/>
    </row>
    <row r="174" spans="1:17" ht="12.75">
      <c r="A174" s="1240" t="s">
        <v>23</v>
      </c>
      <c r="B174" s="1241" t="s">
        <v>1020</v>
      </c>
      <c r="C174" s="1240"/>
      <c r="D174" s="1241" t="s">
        <v>1021</v>
      </c>
      <c r="E174" s="1109"/>
      <c r="F174" s="1241" t="s">
        <v>1020</v>
      </c>
      <c r="G174" s="1109"/>
      <c r="H174" s="1241" t="s">
        <v>1021</v>
      </c>
      <c r="I174" s="1109"/>
      <c r="J174" s="1241" t="s">
        <v>1020</v>
      </c>
      <c r="K174" s="1109"/>
      <c r="L174" s="1241" t="s">
        <v>1021</v>
      </c>
      <c r="M174" s="1109"/>
      <c r="N174" s="1241" t="s">
        <v>1020</v>
      </c>
      <c r="O174" s="1109"/>
      <c r="P174" s="1241" t="s">
        <v>1021</v>
      </c>
      <c r="Q174" s="1024"/>
    </row>
    <row r="175" spans="1:17" ht="6" customHeight="1"/>
    <row r="176" spans="1:17" ht="12" customHeight="1">
      <c r="A176" s="978" t="s">
        <v>1123</v>
      </c>
      <c r="B176" s="1368">
        <v>148861685</v>
      </c>
      <c r="C176" s="1369"/>
      <c r="D176" s="1368">
        <v>5208028.6000000006</v>
      </c>
      <c r="E176" s="1369"/>
      <c r="F176" s="1368">
        <v>1001820</v>
      </c>
      <c r="G176" s="1369"/>
      <c r="H176" s="1368">
        <v>35063.79</v>
      </c>
      <c r="I176" s="1369"/>
      <c r="J176" s="1368">
        <v>0</v>
      </c>
      <c r="K176" s="1369"/>
      <c r="L176" s="1368">
        <v>0</v>
      </c>
      <c r="M176" s="1369"/>
      <c r="N176" s="1368">
        <v>29893474</v>
      </c>
      <c r="O176" s="1369"/>
      <c r="P176" s="1370">
        <v>463348.85</v>
      </c>
      <c r="Q176" s="1083"/>
    </row>
    <row r="177" spans="1:17" ht="12" customHeight="1">
      <c r="A177" s="978" t="s">
        <v>409</v>
      </c>
      <c r="B177" s="1025">
        <v>121108524</v>
      </c>
      <c r="C177" s="1372"/>
      <c r="D177" s="1025">
        <v>2785075.3469999996</v>
      </c>
      <c r="E177" s="1372"/>
      <c r="F177" s="1025">
        <v>9271824</v>
      </c>
      <c r="G177" s="1372"/>
      <c r="H177" s="1025">
        <v>171528.74400000001</v>
      </c>
      <c r="I177" s="1372"/>
      <c r="J177" s="1025">
        <v>0</v>
      </c>
      <c r="K177" s="1372"/>
      <c r="L177" s="1025">
        <v>0</v>
      </c>
      <c r="M177" s="1372"/>
      <c r="N177" s="1025">
        <v>26482800</v>
      </c>
      <c r="O177" s="1372"/>
      <c r="P177" s="1027">
        <v>287280.060084</v>
      </c>
      <c r="Q177" s="1083"/>
    </row>
    <row r="178" spans="1:17" ht="12" customHeight="1">
      <c r="A178" s="978" t="s">
        <v>166</v>
      </c>
      <c r="B178" s="1025">
        <v>1481437647</v>
      </c>
      <c r="C178" s="1372"/>
      <c r="D178" s="1025">
        <v>63099596.520400003</v>
      </c>
      <c r="E178" s="1372"/>
      <c r="F178" s="1025">
        <v>654377924</v>
      </c>
      <c r="G178" s="1372"/>
      <c r="H178" s="1025">
        <v>24539172.43</v>
      </c>
      <c r="I178" s="1372"/>
      <c r="J178" s="1025">
        <v>0</v>
      </c>
      <c r="K178" s="1372"/>
      <c r="L178" s="1025">
        <v>0</v>
      </c>
      <c r="M178" s="1372"/>
      <c r="N178" s="1025">
        <v>349211885</v>
      </c>
      <c r="O178" s="1372"/>
      <c r="P178" s="1027">
        <v>4386273.9226000002</v>
      </c>
      <c r="Q178" s="1083"/>
    </row>
    <row r="179" spans="1:17" ht="12" customHeight="1">
      <c r="A179" s="978" t="s">
        <v>417</v>
      </c>
      <c r="B179" s="1025">
        <v>726794194.14999998</v>
      </c>
      <c r="C179" s="1026"/>
      <c r="D179" s="1025">
        <v>27554555.665875003</v>
      </c>
      <c r="E179" s="1026"/>
      <c r="F179" s="1025">
        <v>206173924</v>
      </c>
      <c r="G179" s="1026"/>
      <c r="H179" s="1025">
        <v>6513149.9330000002</v>
      </c>
      <c r="I179" s="1026"/>
      <c r="J179" s="1025">
        <v>0</v>
      </c>
      <c r="K179" s="1026"/>
      <c r="L179" s="1025">
        <v>0</v>
      </c>
      <c r="M179" s="1026"/>
      <c r="N179" s="1025">
        <v>869407386</v>
      </c>
      <c r="O179" s="1026"/>
      <c r="P179" s="1027">
        <v>10027293</v>
      </c>
      <c r="Q179" s="1083"/>
    </row>
    <row r="180" spans="1:17" ht="12" customHeight="1">
      <c r="A180" s="978" t="s">
        <v>997</v>
      </c>
      <c r="B180" s="1025">
        <v>37643626</v>
      </c>
      <c r="C180" s="1026"/>
      <c r="D180" s="1025">
        <v>757530.5419999999</v>
      </c>
      <c r="E180" s="1026"/>
      <c r="F180" s="1025">
        <v>4637396</v>
      </c>
      <c r="G180" s="1026"/>
      <c r="H180" s="1025">
        <v>96457.83679999999</v>
      </c>
      <c r="I180" s="1026"/>
      <c r="J180" s="1025">
        <v>0</v>
      </c>
      <c r="K180" s="1026"/>
      <c r="L180" s="1025">
        <v>0</v>
      </c>
      <c r="M180" s="1026"/>
      <c r="N180" s="1025">
        <v>30884551</v>
      </c>
      <c r="O180" s="1026"/>
      <c r="P180" s="1027">
        <v>277960.95900000003</v>
      </c>
      <c r="Q180" s="1083"/>
    </row>
    <row r="181" spans="1:17" ht="6" customHeight="1">
      <c r="B181" s="1025"/>
      <c r="C181" s="1026"/>
      <c r="D181" s="1025"/>
      <c r="E181" s="1026"/>
      <c r="F181" s="1025"/>
      <c r="G181" s="1026"/>
      <c r="H181" s="1025"/>
      <c r="I181" s="1026"/>
      <c r="J181" s="1025"/>
      <c r="K181" s="1026"/>
      <c r="L181" s="1025"/>
      <c r="M181" s="1026"/>
      <c r="N181" s="1025"/>
      <c r="O181" s="1026"/>
      <c r="P181" s="1027"/>
      <c r="Q181" s="1083"/>
    </row>
    <row r="182" spans="1:17" ht="12" customHeight="1">
      <c r="A182" s="978" t="s">
        <v>1124</v>
      </c>
      <c r="B182" s="1025">
        <v>179256015</v>
      </c>
      <c r="C182" s="1026"/>
      <c r="D182" s="1025">
        <v>8717054.7970000003</v>
      </c>
      <c r="E182" s="1026"/>
      <c r="F182" s="1025">
        <v>38823776</v>
      </c>
      <c r="G182" s="1026"/>
      <c r="H182" s="1025">
        <v>1475303.4880000001</v>
      </c>
      <c r="I182" s="1026"/>
      <c r="J182" s="1025">
        <v>0</v>
      </c>
      <c r="K182" s="1026"/>
      <c r="L182" s="1025">
        <v>0</v>
      </c>
      <c r="M182" s="1026"/>
      <c r="N182" s="1025">
        <v>311967873</v>
      </c>
      <c r="O182" s="1026"/>
      <c r="P182" s="1027">
        <v>7372264.3305000002</v>
      </c>
      <c r="Q182" s="1083"/>
    </row>
    <row r="183" spans="1:17" ht="12" customHeight="1">
      <c r="A183" s="978" t="s">
        <v>1125</v>
      </c>
      <c r="B183" s="1025">
        <v>162722390</v>
      </c>
      <c r="C183" s="1026"/>
      <c r="D183" s="1025">
        <v>4866799.04</v>
      </c>
      <c r="E183" s="1026"/>
      <c r="F183" s="1025">
        <v>0</v>
      </c>
      <c r="G183" s="1026"/>
      <c r="H183" s="1025">
        <v>0</v>
      </c>
      <c r="I183" s="1026"/>
      <c r="J183" s="1025">
        <v>0</v>
      </c>
      <c r="K183" s="1026"/>
      <c r="L183" s="1025">
        <v>0</v>
      </c>
      <c r="M183" s="1026"/>
      <c r="N183" s="1025">
        <v>22895189</v>
      </c>
      <c r="O183" s="1026"/>
      <c r="P183" s="1027">
        <v>261005.16</v>
      </c>
      <c r="Q183" s="1083"/>
    </row>
    <row r="184" spans="1:17" ht="12" customHeight="1">
      <c r="A184" s="978" t="s">
        <v>433</v>
      </c>
      <c r="B184" s="1025">
        <v>732639335.65999997</v>
      </c>
      <c r="C184" s="1026"/>
      <c r="D184" s="1025">
        <v>36622622.884000003</v>
      </c>
      <c r="E184" s="1026"/>
      <c r="F184" s="1025">
        <v>36345212</v>
      </c>
      <c r="G184" s="1026"/>
      <c r="H184" s="1025">
        <v>1090356.3600000001</v>
      </c>
      <c r="I184" s="1026"/>
      <c r="J184" s="1025">
        <v>0</v>
      </c>
      <c r="K184" s="1026"/>
      <c r="L184" s="1025">
        <v>0</v>
      </c>
      <c r="M184" s="1026"/>
      <c r="N184" s="1025">
        <v>258103971</v>
      </c>
      <c r="O184" s="1026"/>
      <c r="P184" s="1027">
        <v>3410114.3240000005</v>
      </c>
      <c r="Q184" s="1083"/>
    </row>
    <row r="185" spans="1:17" ht="12" customHeight="1">
      <c r="A185" s="978" t="s">
        <v>178</v>
      </c>
      <c r="B185" s="1025">
        <v>65753638</v>
      </c>
      <c r="C185" s="1372"/>
      <c r="D185" s="1025">
        <v>1597872.3708000001</v>
      </c>
      <c r="E185" s="1372"/>
      <c r="F185" s="1025">
        <v>18002979</v>
      </c>
      <c r="G185" s="1372"/>
      <c r="H185" s="1025">
        <v>316852.43040000001</v>
      </c>
      <c r="I185" s="1372"/>
      <c r="J185" s="1025">
        <v>0</v>
      </c>
      <c r="K185" s="1372"/>
      <c r="L185" s="1025">
        <v>0</v>
      </c>
      <c r="M185" s="1372"/>
      <c r="N185" s="1025">
        <v>26609808</v>
      </c>
      <c r="O185" s="1372"/>
      <c r="P185" s="1027">
        <v>207557</v>
      </c>
      <c r="Q185" s="1083"/>
    </row>
    <row r="186" spans="1:17" ht="12" customHeight="1">
      <c r="A186" s="978" t="s">
        <v>1188</v>
      </c>
      <c r="B186" s="1025">
        <v>1644133094</v>
      </c>
      <c r="C186" s="1372"/>
      <c r="D186" s="1025">
        <v>60527461.847000003</v>
      </c>
      <c r="E186" s="1372"/>
      <c r="F186" s="1025">
        <v>676103593</v>
      </c>
      <c r="G186" s="1372"/>
      <c r="H186" s="1025">
        <v>15550383</v>
      </c>
      <c r="I186" s="1372"/>
      <c r="J186" s="1025">
        <v>0</v>
      </c>
      <c r="K186" s="1372"/>
      <c r="L186" s="1025">
        <v>0</v>
      </c>
      <c r="M186" s="1372"/>
      <c r="N186" s="1025">
        <v>969397157</v>
      </c>
      <c r="O186" s="1372"/>
      <c r="P186" s="1027">
        <v>11619031.319999998</v>
      </c>
      <c r="Q186" s="1083"/>
    </row>
    <row r="187" spans="1:17" ht="8.25" customHeight="1">
      <c r="B187" s="1025"/>
      <c r="C187" s="1372"/>
      <c r="D187" s="1025"/>
      <c r="E187" s="1372"/>
      <c r="F187" s="1025"/>
      <c r="G187" s="1372"/>
      <c r="H187" s="1025"/>
      <c r="I187" s="1372"/>
      <c r="J187" s="1025"/>
      <c r="K187" s="1372"/>
      <c r="L187" s="1025"/>
      <c r="M187" s="1372"/>
      <c r="N187" s="1025"/>
      <c r="O187" s="1372"/>
      <c r="P187" s="1027"/>
      <c r="Q187" s="1083"/>
    </row>
    <row r="188" spans="1:17" ht="12" customHeight="1">
      <c r="A188" s="978" t="s">
        <v>27</v>
      </c>
      <c r="B188" s="1025">
        <v>942833369</v>
      </c>
      <c r="C188" s="1026"/>
      <c r="D188" s="1025">
        <v>31727371.605</v>
      </c>
      <c r="E188" s="1026"/>
      <c r="F188" s="1025">
        <v>106574029</v>
      </c>
      <c r="G188" s="1026"/>
      <c r="H188" s="1025">
        <v>3676804.0005000001</v>
      </c>
      <c r="I188" s="1026"/>
      <c r="J188" s="1025">
        <v>0</v>
      </c>
      <c r="K188" s="1026"/>
      <c r="L188" s="1025">
        <v>0</v>
      </c>
      <c r="M188" s="1026"/>
      <c r="N188" s="1025">
        <v>473460193</v>
      </c>
      <c r="O188" s="1026"/>
      <c r="P188" s="1027">
        <v>5823703.0296999998</v>
      </c>
      <c r="Q188" s="1083"/>
    </row>
    <row r="189" spans="1:17" ht="12" customHeight="1">
      <c r="A189" s="978" t="s">
        <v>179</v>
      </c>
      <c r="B189" s="1025">
        <v>380608309</v>
      </c>
      <c r="C189" s="1026"/>
      <c r="D189" s="1025">
        <v>12917114.226</v>
      </c>
      <c r="E189" s="1026"/>
      <c r="F189" s="1025">
        <v>123793514</v>
      </c>
      <c r="G189" s="1026"/>
      <c r="H189" s="1025">
        <v>3961392.4480000003</v>
      </c>
      <c r="I189" s="1026"/>
      <c r="J189" s="1025">
        <v>0</v>
      </c>
      <c r="K189" s="1026"/>
      <c r="L189" s="1025">
        <v>0</v>
      </c>
      <c r="M189" s="1026"/>
      <c r="N189" s="1025">
        <v>64324330</v>
      </c>
      <c r="O189" s="1026"/>
      <c r="P189" s="1027">
        <v>772147.402</v>
      </c>
      <c r="Q189" s="1083"/>
    </row>
    <row r="190" spans="1:17" ht="12" customHeight="1">
      <c r="A190" s="978" t="s">
        <v>180</v>
      </c>
      <c r="B190" s="1025">
        <v>282651982</v>
      </c>
      <c r="C190" s="1026"/>
      <c r="D190" s="1025">
        <v>8196270.9590000007</v>
      </c>
      <c r="E190" s="1026"/>
      <c r="F190" s="1025">
        <v>38038515</v>
      </c>
      <c r="G190" s="1026"/>
      <c r="H190" s="1025">
        <v>471677.58600000001</v>
      </c>
      <c r="I190" s="1026"/>
      <c r="J190" s="1025">
        <v>0</v>
      </c>
      <c r="K190" s="1026"/>
      <c r="L190" s="1025">
        <v>0</v>
      </c>
      <c r="M190" s="1026"/>
      <c r="N190" s="1025">
        <v>97555028</v>
      </c>
      <c r="O190" s="1026"/>
      <c r="P190" s="1027">
        <v>928578.36849999998</v>
      </c>
      <c r="Q190" s="1083"/>
    </row>
    <row r="191" spans="1:17" ht="12" customHeight="1">
      <c r="A191" s="978" t="s">
        <v>181</v>
      </c>
      <c r="B191" s="1025">
        <v>1101646200</v>
      </c>
      <c r="C191" s="1372"/>
      <c r="D191" s="1025">
        <v>45394893.800000004</v>
      </c>
      <c r="E191" s="1372"/>
      <c r="F191" s="1025">
        <v>77115800</v>
      </c>
      <c r="G191" s="1372"/>
      <c r="H191" s="1025">
        <v>2429147.7000000002</v>
      </c>
      <c r="I191" s="1372"/>
      <c r="J191" s="1025">
        <v>0</v>
      </c>
      <c r="K191" s="1372"/>
      <c r="L191" s="1025">
        <v>0</v>
      </c>
      <c r="M191" s="1372"/>
      <c r="N191" s="1025">
        <v>413763467</v>
      </c>
      <c r="O191" s="1372"/>
      <c r="P191" s="1027">
        <v>4598792.7333000004</v>
      </c>
      <c r="Q191" s="1083"/>
    </row>
    <row r="192" spans="1:17" ht="12" customHeight="1">
      <c r="A192" s="978" t="s">
        <v>1136</v>
      </c>
      <c r="B192" s="1025">
        <v>4564438531</v>
      </c>
      <c r="C192" s="1372"/>
      <c r="D192" s="1025">
        <v>171690392.98304999</v>
      </c>
      <c r="E192" s="1372"/>
      <c r="F192" s="1025">
        <v>221880258</v>
      </c>
      <c r="G192" s="1372"/>
      <c r="H192" s="1025">
        <v>488136.56759999995</v>
      </c>
      <c r="I192" s="1372"/>
      <c r="J192" s="1025">
        <v>0</v>
      </c>
      <c r="K192" s="1372"/>
      <c r="L192" s="1025">
        <v>0</v>
      </c>
      <c r="M192" s="1372"/>
      <c r="N192" s="1025">
        <v>1965274152</v>
      </c>
      <c r="O192" s="1372"/>
      <c r="P192" s="1027">
        <v>9951836.1999999993</v>
      </c>
      <c r="Q192" s="1083"/>
    </row>
    <row r="193" spans="1:17" ht="8.25" customHeight="1">
      <c r="B193" s="1025"/>
      <c r="C193" s="1372"/>
      <c r="D193" s="1025"/>
      <c r="E193" s="1372"/>
      <c r="F193" s="1025"/>
      <c r="G193" s="1372"/>
      <c r="H193" s="1025"/>
      <c r="I193" s="1372"/>
      <c r="J193" s="1025"/>
      <c r="K193" s="1372"/>
      <c r="L193" s="1025"/>
      <c r="M193" s="1372"/>
      <c r="N193" s="1025"/>
      <c r="O193" s="1372"/>
      <c r="P193" s="1027"/>
      <c r="Q193" s="1083"/>
    </row>
    <row r="194" spans="1:17" ht="12" customHeight="1">
      <c r="A194" s="978" t="s">
        <v>183</v>
      </c>
      <c r="B194" s="1025">
        <v>206700318</v>
      </c>
      <c r="C194" s="1372"/>
      <c r="D194" s="1025">
        <v>6701010.2645000005</v>
      </c>
      <c r="E194" s="1372"/>
      <c r="F194" s="1025">
        <v>34311318</v>
      </c>
      <c r="G194" s="1372"/>
      <c r="H194" s="1025">
        <v>1115117.835</v>
      </c>
      <c r="I194" s="1372"/>
      <c r="J194" s="1025">
        <v>0</v>
      </c>
      <c r="K194" s="1373"/>
      <c r="L194" s="1025">
        <v>0</v>
      </c>
      <c r="M194" s="1373"/>
      <c r="N194" s="1025">
        <v>111089319</v>
      </c>
      <c r="O194" s="1372"/>
      <c r="P194" s="1027">
        <v>1001003.358</v>
      </c>
      <c r="Q194" s="1083"/>
    </row>
    <row r="195" spans="1:17" ht="12" customHeight="1">
      <c r="A195" s="978" t="s">
        <v>1137</v>
      </c>
      <c r="B195" s="1025">
        <v>86814014.609999999</v>
      </c>
      <c r="C195" s="1026"/>
      <c r="D195" s="1025">
        <v>3023695.1599999997</v>
      </c>
      <c r="E195" s="1026"/>
      <c r="F195" s="1025">
        <v>35850</v>
      </c>
      <c r="G195" s="1026"/>
      <c r="H195" s="1025">
        <v>1254.75</v>
      </c>
      <c r="I195" s="1026"/>
      <c r="J195" s="1025">
        <v>0</v>
      </c>
      <c r="K195" s="1026"/>
      <c r="L195" s="1025">
        <v>0</v>
      </c>
      <c r="M195" s="1026"/>
      <c r="N195" s="1025">
        <v>54685977</v>
      </c>
      <c r="O195" s="1026"/>
      <c r="P195" s="1027">
        <v>328115.86</v>
      </c>
      <c r="Q195" s="1083"/>
    </row>
    <row r="196" spans="1:17" ht="12" customHeight="1">
      <c r="A196" s="978" t="s">
        <v>468</v>
      </c>
      <c r="B196" s="1025">
        <v>505642188</v>
      </c>
      <c r="C196" s="1372"/>
      <c r="D196" s="1025">
        <v>17012500.4619</v>
      </c>
      <c r="E196" s="1372"/>
      <c r="F196" s="1025">
        <v>126646975</v>
      </c>
      <c r="G196" s="1372"/>
      <c r="H196" s="1025">
        <v>1646410.675</v>
      </c>
      <c r="I196" s="1372"/>
      <c r="J196" s="1025">
        <v>0</v>
      </c>
      <c r="K196" s="1373"/>
      <c r="L196" s="1025">
        <v>0</v>
      </c>
      <c r="M196" s="1373"/>
      <c r="N196" s="1025">
        <v>84348848</v>
      </c>
      <c r="O196" s="1372"/>
      <c r="P196" s="1027">
        <v>786017.44140000001</v>
      </c>
      <c r="Q196" s="1083"/>
    </row>
    <row r="197" spans="1:17" ht="7.5" customHeight="1">
      <c r="A197" s="1001"/>
      <c r="Q197" s="1089"/>
    </row>
    <row r="198" spans="1:17" s="1016" customFormat="1" ht="12" customHeight="1">
      <c r="A198" s="1110" t="s">
        <v>29</v>
      </c>
      <c r="B198" s="1003">
        <f>SUM(B146:B168,B176:B196)</f>
        <v>22487076007.269997</v>
      </c>
      <c r="C198" s="1003">
        <f t="shared" ref="C198:P198" si="1">SUM(C146:C168,C176:C196)</f>
        <v>0</v>
      </c>
      <c r="D198" s="1003">
        <f t="shared" si="1"/>
        <v>788395602.95326257</v>
      </c>
      <c r="E198" s="1003">
        <f t="shared" si="1"/>
        <v>0</v>
      </c>
      <c r="F198" s="1003">
        <f t="shared" si="1"/>
        <v>4042970330.9499998</v>
      </c>
      <c r="G198" s="1003">
        <f t="shared" si="1"/>
        <v>0</v>
      </c>
      <c r="H198" s="1003">
        <f t="shared" si="1"/>
        <v>99225722.543174982</v>
      </c>
      <c r="I198" s="1003">
        <f t="shared" si="1"/>
        <v>0</v>
      </c>
      <c r="J198" s="1003">
        <f t="shared" si="1"/>
        <v>0</v>
      </c>
      <c r="K198" s="1003">
        <f t="shared" si="1"/>
        <v>0</v>
      </c>
      <c r="L198" s="1003">
        <f t="shared" si="1"/>
        <v>0</v>
      </c>
      <c r="M198" s="1003">
        <f t="shared" si="1"/>
        <v>0</v>
      </c>
      <c r="N198" s="1003">
        <f t="shared" si="1"/>
        <v>9752830426</v>
      </c>
      <c r="O198" s="1003">
        <f t="shared" si="1"/>
        <v>0</v>
      </c>
      <c r="P198" s="1003">
        <f t="shared" si="1"/>
        <v>101556996.34318398</v>
      </c>
      <c r="Q198" s="1090"/>
    </row>
    <row r="199" spans="1:17" s="1016" customFormat="1" ht="12" customHeight="1">
      <c r="A199" s="1110" t="s">
        <v>24</v>
      </c>
      <c r="B199" s="1003">
        <f>B140</f>
        <v>77565160305.309998</v>
      </c>
      <c r="C199" s="1003"/>
      <c r="D199" s="1003">
        <f>D140</f>
        <v>2852882928.5384564</v>
      </c>
      <c r="E199" s="1003"/>
      <c r="F199" s="1003">
        <f>F140</f>
        <v>7948153551.6700001</v>
      </c>
      <c r="G199" s="1003"/>
      <c r="H199" s="1003">
        <f>H140</f>
        <v>151215382.03906706</v>
      </c>
      <c r="I199" s="1003"/>
      <c r="J199" s="1003">
        <f>J140</f>
        <v>1433318097.3</v>
      </c>
      <c r="K199" s="1003"/>
      <c r="L199" s="1003">
        <f>L140</f>
        <v>15272308.508099999</v>
      </c>
      <c r="M199" s="1003"/>
      <c r="N199" s="1003">
        <f>N140</f>
        <v>41397021820.5</v>
      </c>
      <c r="O199" s="1003"/>
      <c r="P199" s="1003">
        <f>P140</f>
        <v>324832900.68491983</v>
      </c>
      <c r="Q199" s="1090"/>
    </row>
    <row r="200" spans="1:17" ht="8.25" customHeight="1">
      <c r="A200" s="1001"/>
      <c r="Q200" s="1089"/>
    </row>
    <row r="201" spans="1:17" ht="12.75" customHeight="1">
      <c r="A201" s="1111" t="s">
        <v>30</v>
      </c>
      <c r="B201" s="1003">
        <f>SUM(B198:B200)</f>
        <v>100052236312.57999</v>
      </c>
      <c r="C201" s="1003"/>
      <c r="D201" s="1003">
        <f>SUM(D198:D200)</f>
        <v>3641278531.4917192</v>
      </c>
      <c r="E201" s="1003"/>
      <c r="F201" s="1003">
        <f>SUM(F198:F200)</f>
        <v>11991123882.619999</v>
      </c>
      <c r="G201" s="1003"/>
      <c r="H201" s="1003">
        <f>SUM(H198:H200)</f>
        <v>250441104.58224204</v>
      </c>
      <c r="I201" s="1003"/>
      <c r="J201" s="1003">
        <f>SUM(J198:J200)</f>
        <v>1433318097.3</v>
      </c>
      <c r="K201" s="1003"/>
      <c r="L201" s="1003">
        <f>SUM(L198:L200)</f>
        <v>15272308.508099999</v>
      </c>
      <c r="M201" s="1003"/>
      <c r="N201" s="1003">
        <f>SUM(N198:N200)</f>
        <v>51149852246.5</v>
      </c>
      <c r="O201" s="1003"/>
      <c r="P201" s="1003">
        <f>SUM(P198:P200)</f>
        <v>426389897.02810383</v>
      </c>
      <c r="Q201" s="1090"/>
    </row>
    <row r="202" spans="1:17" ht="8.25" customHeight="1">
      <c r="A202" s="1035"/>
      <c r="B202" s="1377"/>
      <c r="C202" s="1377"/>
      <c r="D202" s="1377"/>
      <c r="E202" s="1377"/>
      <c r="F202" s="1377"/>
      <c r="G202" s="1377"/>
      <c r="H202" s="1377"/>
      <c r="I202" s="1377"/>
      <c r="J202" s="1377"/>
      <c r="K202" s="1377"/>
      <c r="L202" s="1377"/>
      <c r="M202" s="1377"/>
      <c r="N202" s="1377"/>
      <c r="O202" s="1377"/>
      <c r="P202" s="1377"/>
      <c r="Q202" s="1091"/>
    </row>
    <row r="203" spans="1:17" ht="12" customHeight="1">
      <c r="A203" s="1378" t="s">
        <v>1</v>
      </c>
      <c r="B203" s="1378"/>
      <c r="C203" s="1378"/>
      <c r="D203" s="1378"/>
      <c r="E203" s="1378"/>
      <c r="F203" s="1378"/>
      <c r="G203" s="1378"/>
      <c r="H203" s="1378"/>
      <c r="I203" s="1378"/>
      <c r="J203" s="1378"/>
      <c r="K203" s="1378"/>
      <c r="L203" s="1378"/>
      <c r="M203" s="1378"/>
      <c r="N203" s="1378"/>
      <c r="O203" s="1378"/>
      <c r="P203" s="1378"/>
      <c r="Q203" s="1036"/>
    </row>
    <row r="204" spans="1:17" ht="12" customHeight="1">
      <c r="A204" s="1378" t="s">
        <v>1138</v>
      </c>
      <c r="B204" s="1378"/>
      <c r="C204" s="1378"/>
      <c r="D204" s="1378"/>
      <c r="E204" s="1378"/>
      <c r="F204" s="1378"/>
      <c r="G204" s="1378"/>
      <c r="H204" s="1378"/>
      <c r="I204" s="1378"/>
      <c r="J204" s="1378"/>
      <c r="K204" s="1378"/>
      <c r="L204" s="1378"/>
      <c r="M204" s="1378"/>
      <c r="N204" s="1378"/>
      <c r="O204" s="1378"/>
      <c r="P204" s="1378"/>
      <c r="Q204" s="1036"/>
    </row>
    <row r="205" spans="1:17" ht="12" customHeight="1">
      <c r="A205" s="1379" t="s">
        <v>1182</v>
      </c>
      <c r="B205" s="1379"/>
      <c r="C205" s="1379"/>
      <c r="D205" s="1379"/>
      <c r="E205" s="1379"/>
      <c r="F205" s="1379"/>
      <c r="G205" s="1379"/>
      <c r="H205" s="1379"/>
      <c r="I205" s="1379"/>
      <c r="J205" s="1379"/>
      <c r="K205" s="1379"/>
      <c r="L205" s="1379"/>
      <c r="M205" s="1379"/>
      <c r="N205" s="1379"/>
      <c r="O205" s="1379"/>
      <c r="P205" s="1379"/>
    </row>
    <row r="206" spans="1:17" ht="12" customHeight="1">
      <c r="A206" s="1379" t="s">
        <v>1023</v>
      </c>
      <c r="B206" s="1379"/>
      <c r="C206" s="1379"/>
      <c r="D206" s="1379"/>
      <c r="E206" s="1379"/>
      <c r="F206" s="1379"/>
      <c r="G206" s="1379"/>
      <c r="H206" s="1379"/>
      <c r="I206" s="1379"/>
      <c r="J206" s="1379"/>
      <c r="K206" s="1379"/>
      <c r="L206" s="1379"/>
      <c r="M206" s="1379"/>
      <c r="N206" s="1379"/>
      <c r="O206" s="1379"/>
      <c r="P206" s="1379"/>
    </row>
    <row r="207" spans="1:17" ht="12" customHeight="1">
      <c r="A207" s="1379" t="s">
        <v>1139</v>
      </c>
      <c r="B207" s="1379"/>
      <c r="C207" s="1379"/>
      <c r="D207" s="1379"/>
      <c r="E207" s="1379"/>
      <c r="F207" s="1379"/>
      <c r="G207" s="1379"/>
      <c r="H207" s="1379"/>
      <c r="I207" s="1379"/>
      <c r="J207" s="1379"/>
      <c r="K207" s="1379"/>
      <c r="L207" s="1379"/>
      <c r="M207" s="1379"/>
      <c r="N207" s="1379"/>
      <c r="O207" s="1379"/>
      <c r="P207" s="1379"/>
    </row>
    <row r="208" spans="1:17" ht="12" customHeight="1">
      <c r="A208" s="1379" t="s">
        <v>1024</v>
      </c>
      <c r="B208" s="1379"/>
      <c r="C208" s="1379"/>
      <c r="D208" s="1379"/>
      <c r="E208" s="1379"/>
      <c r="F208" s="1379"/>
      <c r="G208" s="1379"/>
      <c r="H208" s="1379"/>
      <c r="I208" s="1379"/>
      <c r="J208" s="1379"/>
      <c r="K208" s="1379"/>
      <c r="L208" s="1379"/>
      <c r="M208" s="1379"/>
      <c r="N208" s="1379"/>
      <c r="O208" s="1379"/>
      <c r="P208" s="1379"/>
    </row>
    <row r="209" spans="1:16" ht="12" customHeight="1">
      <c r="A209" s="1379" t="s">
        <v>1025</v>
      </c>
      <c r="B209" s="1379"/>
      <c r="C209" s="1379"/>
      <c r="D209" s="1379"/>
      <c r="E209" s="1379"/>
      <c r="F209" s="1379"/>
      <c r="G209" s="1379"/>
      <c r="H209" s="1379"/>
      <c r="I209" s="1379"/>
      <c r="J209" s="1379"/>
      <c r="K209" s="1379"/>
      <c r="L209" s="1379"/>
      <c r="M209" s="1379"/>
      <c r="N209" s="1379"/>
      <c r="O209" s="1379"/>
      <c r="P209" s="1379"/>
    </row>
    <row r="210" spans="1:16" ht="12" customHeight="1">
      <c r="A210" s="1379" t="s">
        <v>1026</v>
      </c>
      <c r="B210" s="1379"/>
      <c r="C210" s="1379"/>
      <c r="D210" s="1379"/>
      <c r="E210" s="1379"/>
      <c r="F210" s="1379"/>
      <c r="G210" s="1379"/>
      <c r="H210" s="1379"/>
      <c r="I210" s="1379"/>
      <c r="J210" s="1379"/>
      <c r="K210" s="1379"/>
      <c r="L210" s="1379"/>
      <c r="M210" s="1379"/>
      <c r="N210" s="1379"/>
      <c r="O210" s="1379"/>
      <c r="P210" s="1379"/>
    </row>
    <row r="211" spans="1:16">
      <c r="A211" s="978" t="s">
        <v>1185</v>
      </c>
      <c r="B211" s="1379"/>
      <c r="C211" s="1379"/>
      <c r="D211" s="1379"/>
      <c r="E211" s="1379"/>
      <c r="F211" s="1379"/>
      <c r="G211" s="1379"/>
      <c r="H211" s="1379"/>
      <c r="I211" s="1379"/>
      <c r="J211" s="1379"/>
      <c r="K211" s="1379"/>
      <c r="L211" s="1379"/>
      <c r="M211" s="1379"/>
      <c r="N211" s="1379"/>
      <c r="O211" s="1379"/>
      <c r="P211" s="1379"/>
    </row>
    <row r="212" spans="1:16" ht="12" customHeight="1">
      <c r="A212" s="1006" t="s">
        <v>1128</v>
      </c>
      <c r="B212" s="1379"/>
      <c r="C212" s="1379"/>
      <c r="D212" s="1379"/>
      <c r="E212" s="1379"/>
      <c r="F212" s="1379"/>
      <c r="G212" s="1379"/>
      <c r="H212" s="1379"/>
      <c r="I212" s="1379"/>
      <c r="J212" s="1379"/>
      <c r="K212" s="1379"/>
      <c r="L212" s="1379"/>
      <c r="M212" s="1379"/>
      <c r="N212" s="1379"/>
      <c r="O212" s="1379"/>
      <c r="P212" s="1379"/>
    </row>
    <row r="213" spans="1:16">
      <c r="A213" s="1006" t="s">
        <v>1186</v>
      </c>
      <c r="B213" s="1377"/>
      <c r="C213" s="1377"/>
      <c r="D213" s="1377"/>
      <c r="E213" s="1377"/>
      <c r="F213" s="1377"/>
      <c r="G213" s="1377"/>
      <c r="H213" s="1377"/>
      <c r="I213" s="1377"/>
      <c r="J213" s="1377"/>
      <c r="K213" s="1377"/>
      <c r="L213" s="1377"/>
      <c r="M213" s="1377"/>
      <c r="N213" s="1377"/>
      <c r="O213" s="1377"/>
      <c r="P213" s="1377"/>
    </row>
    <row r="214" spans="1:16" ht="12.75">
      <c r="A214" s="1120" t="s">
        <v>1152</v>
      </c>
      <c r="C214" s="988"/>
      <c r="E214" s="988"/>
      <c r="G214" s="988"/>
      <c r="I214" s="988"/>
      <c r="K214" s="988"/>
      <c r="M214" s="988"/>
      <c r="O214" s="988"/>
    </row>
    <row r="215" spans="1:16">
      <c r="A215" s="1087"/>
      <c r="C215" s="988"/>
      <c r="E215" s="988"/>
      <c r="G215" s="988"/>
      <c r="I215" s="988"/>
      <c r="K215" s="988"/>
      <c r="M215" s="988"/>
      <c r="O215" s="988"/>
    </row>
    <row r="216" spans="1:16">
      <c r="A216" s="1038"/>
      <c r="C216" s="988"/>
      <c r="E216" s="988"/>
      <c r="G216" s="988"/>
      <c r="I216" s="988"/>
      <c r="K216" s="988"/>
      <c r="M216" s="988"/>
      <c r="O216" s="988"/>
    </row>
    <row r="217" spans="1:16">
      <c r="C217" s="988"/>
      <c r="E217" s="988"/>
      <c r="G217" s="988"/>
      <c r="I217" s="988"/>
      <c r="K217" s="988"/>
      <c r="M217" s="988"/>
      <c r="O217" s="988"/>
    </row>
    <row r="218" spans="1:16">
      <c r="C218" s="988"/>
      <c r="E218" s="988"/>
      <c r="G218" s="988"/>
      <c r="I218" s="988"/>
      <c r="K218" s="988"/>
      <c r="M218" s="988"/>
      <c r="O218" s="988"/>
    </row>
    <row r="220" spans="1:16">
      <c r="C220" s="988"/>
      <c r="E220" s="988"/>
      <c r="G220" s="988"/>
      <c r="I220" s="988"/>
      <c r="K220" s="988"/>
      <c r="M220" s="988"/>
      <c r="O220" s="988"/>
    </row>
    <row r="221" spans="1:16">
      <c r="B221" s="1219"/>
      <c r="C221" s="1219"/>
      <c r="D221" s="1219"/>
      <c r="E221" s="1219"/>
      <c r="F221" s="1219"/>
      <c r="G221" s="1219"/>
      <c r="H221" s="1219"/>
      <c r="I221" s="1219"/>
      <c r="J221" s="1219"/>
      <c r="K221" s="1219"/>
      <c r="L221" s="1219"/>
      <c r="M221" s="1219"/>
      <c r="N221" s="1219"/>
      <c r="O221" s="1219"/>
      <c r="P221" s="1219"/>
    </row>
    <row r="222" spans="1:16">
      <c r="B222" s="1219"/>
      <c r="C222" s="1219"/>
      <c r="D222" s="1219"/>
      <c r="E222" s="1219"/>
      <c r="F222" s="1219"/>
      <c r="G222" s="1219"/>
      <c r="H222" s="1219"/>
      <c r="I222" s="1219"/>
      <c r="J222" s="1219"/>
      <c r="K222" s="1219"/>
      <c r="L222" s="1219"/>
      <c r="M222" s="1219"/>
      <c r="N222" s="1219"/>
      <c r="O222" s="1219"/>
      <c r="P222" s="1219"/>
    </row>
    <row r="223" spans="1:16">
      <c r="B223" s="1219"/>
      <c r="C223" s="1219"/>
      <c r="D223" s="1219"/>
      <c r="E223" s="1219"/>
      <c r="F223" s="1219"/>
      <c r="G223" s="1219"/>
      <c r="H223" s="1219"/>
      <c r="I223" s="1219"/>
      <c r="J223" s="1219"/>
      <c r="K223" s="1219"/>
      <c r="L223" s="1219"/>
      <c r="M223" s="1219"/>
      <c r="N223" s="1219"/>
      <c r="O223" s="1219"/>
      <c r="P223" s="1219"/>
    </row>
    <row r="224" spans="1:16">
      <c r="B224" s="1219"/>
      <c r="C224" s="1219"/>
      <c r="D224" s="1219"/>
      <c r="E224" s="1219"/>
      <c r="F224" s="1219"/>
      <c r="G224" s="1219"/>
      <c r="H224" s="1219"/>
      <c r="I224" s="1219"/>
      <c r="J224" s="1219"/>
      <c r="K224" s="1219"/>
      <c r="L224" s="1219"/>
      <c r="M224" s="1219"/>
      <c r="N224" s="1219"/>
      <c r="O224" s="1219"/>
      <c r="P224" s="1219"/>
    </row>
    <row r="225" spans="3:15">
      <c r="C225" s="988"/>
      <c r="E225" s="988"/>
      <c r="G225" s="988"/>
      <c r="I225" s="988"/>
      <c r="K225" s="988"/>
      <c r="M225" s="988"/>
      <c r="O225" s="988"/>
    </row>
    <row r="226" spans="3:15">
      <c r="C226" s="988"/>
      <c r="E226" s="988"/>
      <c r="G226" s="988"/>
      <c r="I226" s="988"/>
      <c r="K226" s="988"/>
      <c r="M226" s="988"/>
      <c r="O226" s="988"/>
    </row>
  </sheetData>
  <mergeCells count="24">
    <mergeCell ref="B5:D5"/>
    <mergeCell ref="F5:H5"/>
    <mergeCell ref="J5:L5"/>
    <mergeCell ref="N5:P5"/>
    <mergeCell ref="B47:D47"/>
    <mergeCell ref="F47:H47"/>
    <mergeCell ref="J47:L47"/>
    <mergeCell ref="N47:P47"/>
    <mergeCell ref="B89:D89"/>
    <mergeCell ref="F89:H89"/>
    <mergeCell ref="J89:L89"/>
    <mergeCell ref="N89:P89"/>
    <mergeCell ref="B131:D131"/>
    <mergeCell ref="F131:H131"/>
    <mergeCell ref="J131:L131"/>
    <mergeCell ref="N131:P131"/>
    <mergeCell ref="B143:D143"/>
    <mergeCell ref="F143:H143"/>
    <mergeCell ref="J143:L143"/>
    <mergeCell ref="N143:P143"/>
    <mergeCell ref="B173:D173"/>
    <mergeCell ref="F173:H173"/>
    <mergeCell ref="J173:L173"/>
    <mergeCell ref="N173:P173"/>
  </mergeCells>
  <hyperlinks>
    <hyperlink ref="Q1" location="TOC!A1" display="Back"/>
  </hyperlinks>
  <pageMargins left="0.6" right="0.25" top="0.5" bottom="0.2" header="0.25" footer="0"/>
  <pageSetup fitToHeight="5" orientation="landscape" r:id="rId1"/>
  <headerFooter scaleWithDoc="0">
    <oddHeader>&amp;R&amp;P</oddHeader>
  </headerFooter>
  <rowBreaks count="4" manualBreakCount="4">
    <brk id="42" max="15" man="1"/>
    <brk id="84" max="15" man="1"/>
    <brk id="126" max="15" man="1"/>
    <brk id="168" max="1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HZ112"/>
  <sheetViews>
    <sheetView zoomScale="90" zoomScaleNormal="90" workbookViewId="0"/>
  </sheetViews>
  <sheetFormatPr defaultColWidth="12.42578125" defaultRowHeight="12.75"/>
  <cols>
    <col min="1" max="1" width="38.42578125" style="11" customWidth="1"/>
    <col min="2" max="7" width="0.140625" style="11" customWidth="1"/>
    <col min="8" max="8" width="18.7109375" style="11" customWidth="1"/>
    <col min="9" max="9" width="20.140625" style="11" customWidth="1"/>
    <col min="10" max="10" width="1.7109375" style="11" customWidth="1"/>
    <col min="11" max="11" width="12.42578125" style="11" customWidth="1"/>
    <col min="12" max="12" width="12.42578125" style="938" customWidth="1"/>
    <col min="13" max="17" width="13.7109375" style="938" customWidth="1"/>
    <col min="18" max="18" width="7.42578125" style="938" customWidth="1"/>
    <col min="19" max="20" width="13.7109375" style="670" customWidth="1"/>
    <col min="21" max="21" width="19.7109375" style="670" customWidth="1"/>
    <col min="22" max="24" width="17.5703125" style="670" bestFit="1" customWidth="1"/>
    <col min="25" max="25" width="33.7109375" style="670" customWidth="1"/>
    <col min="26" max="26" width="20.85546875" style="670" bestFit="1" customWidth="1"/>
    <col min="27" max="100" width="12.42578125" style="670" customWidth="1"/>
    <col min="101" max="234" width="12.42578125" style="11" customWidth="1"/>
  </cols>
  <sheetData>
    <row r="1" spans="1:232" ht="18">
      <c r="A1" s="605" t="s">
        <v>4</v>
      </c>
      <c r="B1" s="9"/>
      <c r="C1" s="9"/>
      <c r="D1" s="9"/>
      <c r="E1" s="9"/>
      <c r="F1" s="9"/>
      <c r="G1" s="9"/>
      <c r="H1" s="9"/>
      <c r="I1" s="9"/>
      <c r="J1" s="9"/>
      <c r="K1" s="5" t="str">
        <f>RIGHT(H3,4)&amp;"/"&amp;RIGHT(I3,4)</f>
        <v>2020/2021</v>
      </c>
      <c r="L1" s="794"/>
      <c r="M1" s="610"/>
      <c r="N1" s="610"/>
      <c r="O1" s="610"/>
      <c r="P1" s="610"/>
      <c r="Q1" s="610"/>
      <c r="R1" s="610"/>
      <c r="S1" s="1276" t="s">
        <v>1194</v>
      </c>
      <c r="T1" s="669"/>
      <c r="U1" s="669"/>
      <c r="V1" s="669"/>
      <c r="W1" s="669"/>
      <c r="X1" s="669"/>
      <c r="Y1" s="669"/>
      <c r="Z1" s="669"/>
      <c r="AA1" s="669"/>
      <c r="AB1" s="669"/>
      <c r="AC1" s="669"/>
      <c r="AD1" s="669"/>
      <c r="AE1" s="669"/>
      <c r="AF1" s="669"/>
      <c r="AG1" s="669"/>
      <c r="AH1" s="669"/>
      <c r="AI1" s="669"/>
      <c r="AJ1" s="669"/>
      <c r="AK1" s="669"/>
      <c r="AL1" s="669"/>
      <c r="AM1" s="669"/>
      <c r="AN1" s="669"/>
      <c r="AO1" s="669"/>
      <c r="AP1" s="669"/>
      <c r="AQ1" s="669"/>
      <c r="AR1" s="669"/>
      <c r="AS1" s="669"/>
      <c r="AT1" s="669"/>
      <c r="AU1" s="669"/>
      <c r="AV1" s="669"/>
      <c r="AW1" s="669"/>
      <c r="AX1" s="669"/>
      <c r="AY1" s="669"/>
      <c r="AZ1" s="669"/>
      <c r="BA1" s="669"/>
      <c r="BB1" s="669"/>
      <c r="BC1" s="669"/>
      <c r="BD1" s="669"/>
      <c r="BE1" s="669"/>
      <c r="BF1" s="669"/>
      <c r="BG1" s="669"/>
      <c r="BH1" s="669"/>
      <c r="BI1" s="669"/>
      <c r="BJ1" s="669"/>
      <c r="BK1" s="669"/>
      <c r="BL1" s="669"/>
      <c r="BM1" s="669"/>
      <c r="BN1" s="669"/>
      <c r="BO1" s="669"/>
      <c r="BP1" s="669"/>
      <c r="BQ1" s="669"/>
      <c r="BR1" s="669"/>
      <c r="BS1" s="669"/>
      <c r="BT1" s="669"/>
      <c r="BU1" s="669"/>
      <c r="BV1" s="669"/>
      <c r="BW1" s="669"/>
      <c r="BX1" s="669"/>
      <c r="BY1" s="669"/>
      <c r="BZ1" s="669"/>
      <c r="CA1" s="669"/>
      <c r="CB1" s="669"/>
      <c r="CC1" s="669"/>
      <c r="CD1" s="669"/>
      <c r="CE1" s="669"/>
      <c r="CF1" s="669"/>
      <c r="CG1" s="669"/>
      <c r="CH1" s="669"/>
      <c r="CI1" s="669"/>
      <c r="CJ1" s="669"/>
      <c r="CK1" s="669"/>
      <c r="CL1" s="669"/>
      <c r="CM1" s="669"/>
      <c r="CN1" s="669"/>
      <c r="CO1" s="669"/>
      <c r="CP1" s="669"/>
      <c r="CQ1" s="669"/>
      <c r="CR1" s="669"/>
      <c r="CS1" s="669"/>
      <c r="CT1" s="669"/>
      <c r="CU1" s="669"/>
      <c r="CV1" s="669"/>
      <c r="CW1" s="9"/>
      <c r="CX1" s="9"/>
      <c r="CY1" s="9"/>
      <c r="CZ1" s="9"/>
      <c r="DA1" s="9"/>
      <c r="DB1" s="9"/>
      <c r="DC1" s="9"/>
      <c r="DD1" s="9"/>
      <c r="DE1" s="9"/>
      <c r="DF1" s="9"/>
      <c r="DG1" s="9"/>
      <c r="DH1" s="9"/>
      <c r="DI1" s="9"/>
      <c r="DJ1" s="9"/>
      <c r="DK1" s="9"/>
      <c r="DL1" s="9"/>
      <c r="DM1" s="9"/>
      <c r="DN1" s="9"/>
      <c r="DO1" s="9"/>
      <c r="DP1" s="9"/>
      <c r="DQ1" s="9"/>
      <c r="DR1" s="9"/>
      <c r="DS1" s="9"/>
      <c r="DT1" s="9"/>
      <c r="DU1" s="9"/>
      <c r="DV1" s="9"/>
      <c r="DW1" s="9"/>
      <c r="DX1" s="9"/>
      <c r="DY1" s="9"/>
      <c r="DZ1" s="9"/>
      <c r="EA1" s="9"/>
      <c r="EB1" s="9"/>
      <c r="EC1" s="9"/>
      <c r="ED1" s="9"/>
      <c r="EE1" s="9"/>
      <c r="EF1" s="9"/>
      <c r="EG1" s="9"/>
      <c r="EH1" s="9"/>
      <c r="EI1" s="9"/>
      <c r="EJ1" s="9"/>
      <c r="EK1" s="9"/>
      <c r="EL1" s="9"/>
      <c r="EM1" s="9"/>
      <c r="EN1" s="9"/>
      <c r="EO1" s="9"/>
      <c r="EP1" s="9"/>
      <c r="EQ1" s="9"/>
      <c r="ER1" s="9"/>
      <c r="ES1" s="9"/>
      <c r="ET1" s="9"/>
      <c r="EU1" s="9"/>
      <c r="EV1" s="9"/>
      <c r="EW1" s="9"/>
      <c r="EX1" s="9"/>
      <c r="EY1" s="9"/>
      <c r="EZ1" s="9"/>
      <c r="FA1" s="9"/>
      <c r="FB1" s="9"/>
      <c r="FC1" s="9"/>
      <c r="FD1" s="9"/>
      <c r="FE1" s="9"/>
      <c r="FF1" s="9"/>
      <c r="FG1" s="9"/>
      <c r="FH1" s="9"/>
      <c r="FI1" s="9"/>
      <c r="FJ1" s="9"/>
      <c r="FK1" s="9"/>
      <c r="FL1" s="9"/>
      <c r="FM1" s="9"/>
      <c r="FN1" s="9"/>
      <c r="FO1" s="9"/>
      <c r="FP1" s="9"/>
      <c r="FQ1" s="9"/>
      <c r="FR1" s="9"/>
      <c r="FS1" s="9"/>
      <c r="FT1" s="9"/>
      <c r="FU1" s="9"/>
      <c r="FV1" s="9"/>
      <c r="FW1" s="9"/>
      <c r="FX1" s="9"/>
      <c r="FY1" s="9"/>
      <c r="FZ1" s="9"/>
      <c r="GA1" s="9"/>
      <c r="GB1" s="9"/>
      <c r="GC1" s="9"/>
      <c r="GD1" s="9"/>
      <c r="GE1" s="9"/>
      <c r="GF1" s="9"/>
      <c r="GG1" s="9"/>
      <c r="GH1" s="9"/>
      <c r="GI1" s="9"/>
      <c r="GJ1" s="9"/>
      <c r="GK1" s="9"/>
      <c r="GL1" s="9"/>
      <c r="GM1" s="9"/>
      <c r="GN1" s="9"/>
      <c r="GO1" s="9"/>
      <c r="GP1" s="9"/>
      <c r="GQ1" s="9"/>
      <c r="GR1" s="9"/>
      <c r="GS1" s="9"/>
      <c r="GT1" s="9"/>
      <c r="GU1" s="9"/>
      <c r="GV1" s="9"/>
      <c r="GW1" s="9"/>
      <c r="GX1" s="9"/>
      <c r="GY1" s="9"/>
      <c r="GZ1" s="9"/>
      <c r="HA1" s="9"/>
      <c r="HB1" s="9"/>
      <c r="HC1" s="9"/>
      <c r="HD1" s="9"/>
      <c r="HE1" s="9"/>
      <c r="HF1" s="9"/>
      <c r="HG1" s="9"/>
      <c r="HH1" s="9"/>
      <c r="HI1" s="9"/>
      <c r="HJ1" s="9"/>
      <c r="HK1" s="9"/>
      <c r="HL1" s="9"/>
      <c r="HM1" s="9"/>
      <c r="HN1" s="9"/>
      <c r="HO1" s="9"/>
      <c r="HP1" s="9"/>
      <c r="HQ1" s="9"/>
      <c r="HR1" s="9"/>
      <c r="HS1" s="9"/>
      <c r="HT1" s="9"/>
      <c r="HU1" s="9"/>
      <c r="HV1" s="9"/>
      <c r="HW1" s="9"/>
      <c r="HX1" s="9"/>
    </row>
    <row r="2" spans="1:232" ht="15.75">
      <c r="A2" s="369"/>
      <c r="B2"/>
      <c r="C2"/>
      <c r="D2"/>
      <c r="E2"/>
      <c r="F2"/>
      <c r="G2"/>
      <c r="H2"/>
      <c r="I2"/>
      <c r="J2"/>
      <c r="K2" s="12" t="s">
        <v>316</v>
      </c>
      <c r="L2" s="929"/>
      <c r="M2" s="795"/>
      <c r="N2" s="795"/>
      <c r="O2" s="795"/>
      <c r="P2" s="795"/>
      <c r="Q2" s="795"/>
      <c r="R2" s="795"/>
      <c r="S2" s="669"/>
      <c r="T2" s="669"/>
      <c r="U2" s="669"/>
      <c r="V2" s="669"/>
      <c r="AA2" s="669"/>
      <c r="AB2" s="669"/>
      <c r="AC2" s="669"/>
      <c r="AD2" s="669"/>
      <c r="AE2" s="669"/>
      <c r="AF2" s="669"/>
      <c r="AG2" s="669"/>
      <c r="AH2" s="669"/>
      <c r="AI2" s="669"/>
      <c r="AJ2" s="669"/>
      <c r="AK2" s="669"/>
      <c r="AL2" s="669"/>
      <c r="AM2" s="669"/>
      <c r="AN2" s="669"/>
      <c r="AO2" s="669"/>
      <c r="AP2" s="669"/>
      <c r="AQ2" s="669"/>
      <c r="AR2" s="669"/>
      <c r="AS2" s="669"/>
      <c r="AT2" s="669"/>
      <c r="AU2" s="669"/>
      <c r="AV2" s="669"/>
      <c r="AW2" s="669"/>
      <c r="AX2" s="669"/>
      <c r="AY2" s="669"/>
      <c r="AZ2" s="669"/>
      <c r="BA2" s="669"/>
      <c r="BB2" s="669"/>
      <c r="BC2" s="669"/>
      <c r="BD2" s="669"/>
      <c r="BE2" s="669"/>
      <c r="BF2" s="669"/>
      <c r="BG2" s="669"/>
      <c r="BH2" s="669"/>
      <c r="BI2" s="669"/>
      <c r="BJ2" s="669"/>
      <c r="BK2" s="669"/>
      <c r="BL2" s="669"/>
      <c r="BM2" s="669"/>
      <c r="BN2" s="669"/>
      <c r="BO2" s="669"/>
      <c r="BP2" s="669"/>
      <c r="BQ2" s="669"/>
      <c r="BR2" s="669"/>
      <c r="BS2" s="669"/>
      <c r="BT2" s="669"/>
      <c r="BU2" s="669"/>
      <c r="BV2" s="669"/>
      <c r="BW2" s="669"/>
      <c r="BX2" s="669"/>
      <c r="BY2" s="669"/>
      <c r="BZ2" s="669"/>
      <c r="CA2" s="669"/>
      <c r="CB2" s="669"/>
      <c r="CC2" s="669"/>
      <c r="CD2" s="669"/>
      <c r="CE2" s="669"/>
      <c r="CF2" s="669"/>
      <c r="CG2" s="669"/>
      <c r="CH2" s="669"/>
      <c r="CI2" s="669"/>
      <c r="CJ2" s="669"/>
      <c r="CK2" s="669"/>
      <c r="CL2" s="669"/>
      <c r="CM2" s="669"/>
      <c r="CN2" s="669"/>
      <c r="CO2" s="669"/>
      <c r="CP2" s="669"/>
      <c r="CQ2" s="669"/>
      <c r="CR2" s="669"/>
      <c r="CS2" s="669"/>
      <c r="CT2" s="669"/>
      <c r="CU2" s="669"/>
      <c r="CV2" s="669"/>
      <c r="CW2" s="9"/>
      <c r="CX2" s="9"/>
      <c r="CY2" s="9"/>
      <c r="CZ2" s="9"/>
      <c r="DA2" s="9"/>
      <c r="DB2" s="9"/>
      <c r="DC2" s="9"/>
      <c r="DD2" s="9"/>
      <c r="DE2" s="9"/>
      <c r="DF2" s="9"/>
      <c r="DG2" s="9"/>
      <c r="DH2" s="9"/>
      <c r="DI2" s="9"/>
      <c r="DJ2" s="9"/>
      <c r="DK2" s="9"/>
      <c r="DL2" s="9"/>
      <c r="DM2" s="9"/>
      <c r="DN2" s="9"/>
      <c r="DO2" s="9"/>
      <c r="DP2" s="9"/>
      <c r="DQ2" s="9"/>
      <c r="DR2" s="9"/>
      <c r="DS2" s="9"/>
      <c r="DT2" s="9"/>
      <c r="DU2" s="9"/>
      <c r="DV2" s="9"/>
      <c r="DW2" s="9"/>
      <c r="DX2" s="9"/>
      <c r="DY2" s="9"/>
      <c r="DZ2" s="9"/>
      <c r="EA2" s="9"/>
      <c r="EB2" s="9"/>
      <c r="EC2" s="9"/>
      <c r="ED2" s="9"/>
      <c r="EE2" s="9"/>
      <c r="EF2" s="9"/>
      <c r="EG2" s="9"/>
      <c r="EH2" s="9"/>
      <c r="EI2" s="9"/>
      <c r="EJ2" s="9"/>
      <c r="EK2" s="9"/>
      <c r="EL2" s="9"/>
      <c r="EM2" s="9"/>
      <c r="EN2" s="9"/>
      <c r="EO2" s="9"/>
      <c r="EP2" s="9"/>
      <c r="EQ2" s="9"/>
      <c r="ER2" s="9"/>
      <c r="ES2" s="9"/>
      <c r="ET2" s="9"/>
      <c r="EU2" s="9"/>
      <c r="EV2" s="9"/>
      <c r="EW2" s="9"/>
      <c r="EX2" s="9"/>
      <c r="EY2" s="9"/>
      <c r="EZ2" s="9"/>
      <c r="FA2" s="9"/>
      <c r="FB2" s="9"/>
      <c r="FC2" s="9"/>
      <c r="FD2" s="9"/>
      <c r="FE2" s="9"/>
      <c r="FF2" s="9"/>
      <c r="FG2" s="9"/>
      <c r="FH2" s="9"/>
      <c r="FI2" s="9"/>
      <c r="FJ2" s="9"/>
      <c r="FK2" s="9"/>
      <c r="FL2" s="9"/>
      <c r="FM2" s="9"/>
      <c r="FN2" s="9"/>
      <c r="FO2" s="9"/>
      <c r="FP2" s="9"/>
      <c r="FQ2" s="9"/>
      <c r="FR2" s="9"/>
      <c r="FS2" s="9"/>
      <c r="FT2" s="9"/>
      <c r="FU2" s="9"/>
      <c r="FV2" s="9"/>
      <c r="FW2" s="9"/>
      <c r="FX2" s="9"/>
      <c r="FY2" s="9"/>
      <c r="FZ2" s="9"/>
      <c r="GA2" s="9"/>
      <c r="GB2" s="9"/>
      <c r="GC2" s="9"/>
      <c r="GD2" s="9"/>
      <c r="GE2" s="9"/>
      <c r="GF2" s="9"/>
      <c r="GG2" s="9"/>
      <c r="GH2" s="9"/>
      <c r="GI2" s="9"/>
      <c r="GJ2" s="9"/>
      <c r="GK2" s="9"/>
      <c r="GL2" s="9"/>
      <c r="GM2" s="9"/>
      <c r="GN2" s="9"/>
      <c r="GO2" s="9"/>
      <c r="GP2" s="9"/>
      <c r="GQ2" s="9"/>
      <c r="GR2" s="9"/>
      <c r="GS2" s="9"/>
      <c r="GT2" s="9"/>
      <c r="GU2" s="9"/>
      <c r="GV2" s="9"/>
      <c r="GW2" s="9"/>
      <c r="GX2" s="9"/>
      <c r="GY2" s="9"/>
      <c r="GZ2" s="9"/>
      <c r="HA2" s="9"/>
      <c r="HB2" s="9"/>
      <c r="HC2" s="9"/>
      <c r="HD2" s="9"/>
      <c r="HE2" s="9"/>
      <c r="HF2" s="9"/>
      <c r="HG2" s="9"/>
      <c r="HH2" s="9"/>
      <c r="HI2" s="9"/>
      <c r="HJ2" s="9"/>
      <c r="HK2" s="9"/>
      <c r="HL2" s="9"/>
      <c r="HM2" s="9"/>
      <c r="HN2" s="9"/>
      <c r="HO2" s="9"/>
      <c r="HP2" s="9"/>
      <c r="HQ2" s="9"/>
      <c r="HR2" s="9"/>
      <c r="HS2" s="9"/>
      <c r="HT2" s="9"/>
      <c r="HU2" s="9"/>
      <c r="HV2" s="9"/>
      <c r="HW2" s="9"/>
      <c r="HX2" s="9"/>
    </row>
    <row r="3" spans="1:232" ht="14.1" customHeight="1">
      <c r="A3" s="945"/>
      <c r="B3" s="924">
        <v>2014</v>
      </c>
      <c r="C3" s="924" t="s">
        <v>1087</v>
      </c>
      <c r="D3" s="924" t="s">
        <v>1088</v>
      </c>
      <c r="E3" s="924" t="s">
        <v>1089</v>
      </c>
      <c r="F3" s="924" t="s">
        <v>1090</v>
      </c>
      <c r="G3" s="924" t="s">
        <v>1091</v>
      </c>
      <c r="H3" s="921" t="s">
        <v>1092</v>
      </c>
      <c r="I3" s="921" t="s">
        <v>1093</v>
      </c>
      <c r="J3"/>
      <c r="K3" s="12" t="s">
        <v>317</v>
      </c>
      <c r="L3" s="929"/>
      <c r="M3" s="795"/>
      <c r="N3" s="795"/>
      <c r="O3" s="795"/>
      <c r="P3" s="795"/>
      <c r="Q3" s="795"/>
      <c r="R3" s="795"/>
      <c r="S3" s="669"/>
      <c r="T3" s="669"/>
      <c r="U3" s="669"/>
      <c r="V3" s="669"/>
      <c r="AA3" s="669"/>
      <c r="AB3" s="669"/>
      <c r="AC3" s="669"/>
      <c r="AD3" s="669"/>
      <c r="AE3" s="669"/>
      <c r="AF3" s="669"/>
      <c r="AG3" s="669"/>
      <c r="AH3" s="669"/>
      <c r="AI3" s="669"/>
      <c r="AJ3" s="669"/>
      <c r="AK3" s="669"/>
      <c r="AL3" s="669"/>
      <c r="AM3" s="669"/>
      <c r="AN3" s="669"/>
      <c r="AO3" s="669"/>
      <c r="AP3" s="669"/>
      <c r="AQ3" s="669"/>
      <c r="AR3" s="669"/>
      <c r="AS3" s="669"/>
      <c r="AT3" s="669"/>
      <c r="AU3" s="669"/>
      <c r="AV3" s="669"/>
      <c r="AW3" s="669"/>
      <c r="AX3" s="669"/>
      <c r="AY3" s="669"/>
      <c r="AZ3" s="669"/>
      <c r="BA3" s="669"/>
      <c r="BB3" s="669"/>
      <c r="BC3" s="669"/>
      <c r="BD3" s="669"/>
      <c r="BE3" s="669"/>
      <c r="BF3" s="669"/>
      <c r="BG3" s="669"/>
      <c r="BH3" s="669"/>
      <c r="BI3" s="669"/>
      <c r="BJ3" s="669"/>
      <c r="BK3" s="669"/>
      <c r="BL3" s="669"/>
      <c r="BM3" s="669"/>
      <c r="BN3" s="669"/>
      <c r="BO3" s="669"/>
      <c r="BP3" s="669"/>
      <c r="BQ3" s="669"/>
      <c r="BR3" s="669"/>
      <c r="BS3" s="669"/>
      <c r="BT3" s="669"/>
      <c r="BU3" s="669"/>
      <c r="BV3" s="669"/>
      <c r="BW3" s="669"/>
      <c r="BX3" s="669"/>
      <c r="BY3" s="669"/>
      <c r="BZ3" s="669"/>
      <c r="CA3" s="669"/>
      <c r="CB3" s="669"/>
      <c r="CC3" s="669"/>
      <c r="CD3" s="669"/>
      <c r="CE3" s="669"/>
      <c r="CF3" s="669"/>
      <c r="CG3" s="669"/>
      <c r="CH3" s="669"/>
      <c r="CI3" s="669"/>
      <c r="CJ3" s="669"/>
      <c r="CK3" s="669"/>
      <c r="CL3" s="669"/>
      <c r="CM3" s="669"/>
      <c r="CN3" s="669"/>
      <c r="CO3" s="669"/>
      <c r="CP3" s="669"/>
      <c r="CQ3" s="669"/>
      <c r="CR3" s="669"/>
      <c r="CS3" s="669"/>
      <c r="CT3" s="669"/>
      <c r="CU3" s="669"/>
      <c r="CV3" s="669"/>
      <c r="CW3" s="9"/>
      <c r="CX3" s="9"/>
      <c r="CY3" s="9"/>
      <c r="CZ3" s="9"/>
      <c r="DA3" s="9"/>
      <c r="DB3" s="9"/>
      <c r="DC3" s="9"/>
      <c r="DD3" s="9"/>
      <c r="DE3" s="9"/>
      <c r="DF3" s="9"/>
      <c r="DG3" s="9"/>
      <c r="DH3" s="9"/>
      <c r="DI3" s="9"/>
      <c r="DJ3" s="9"/>
      <c r="DK3" s="9"/>
      <c r="DL3" s="9"/>
      <c r="DM3" s="9"/>
      <c r="DN3" s="9"/>
      <c r="DO3" s="9"/>
      <c r="DP3" s="9"/>
      <c r="DQ3" s="9"/>
      <c r="DR3" s="9"/>
      <c r="DS3" s="9"/>
      <c r="DT3" s="9"/>
      <c r="DU3" s="9"/>
      <c r="DV3" s="9"/>
      <c r="DW3" s="9"/>
      <c r="DX3" s="9"/>
      <c r="DY3" s="9"/>
      <c r="DZ3" s="9"/>
      <c r="EA3" s="9"/>
      <c r="EB3" s="9"/>
      <c r="EC3" s="9"/>
      <c r="ED3" s="9"/>
      <c r="EE3" s="9"/>
      <c r="EF3" s="9"/>
      <c r="EG3" s="9"/>
      <c r="EH3" s="9"/>
      <c r="EI3" s="9"/>
      <c r="EJ3" s="9"/>
      <c r="EK3" s="9"/>
      <c r="EL3" s="9"/>
      <c r="EM3" s="9"/>
      <c r="EN3" s="9"/>
      <c r="EO3" s="9"/>
      <c r="EP3" s="9"/>
      <c r="EQ3" s="9"/>
      <c r="ER3" s="9"/>
      <c r="ES3" s="9"/>
      <c r="ET3" s="9"/>
      <c r="EU3" s="9"/>
      <c r="EV3" s="9"/>
      <c r="EW3" s="9"/>
      <c r="EX3" s="9"/>
      <c r="EY3" s="9"/>
      <c r="EZ3" s="9"/>
      <c r="FA3" s="9"/>
      <c r="FB3" s="9"/>
      <c r="FC3" s="9"/>
      <c r="FD3" s="9"/>
      <c r="FE3" s="9"/>
      <c r="FF3" s="9"/>
      <c r="FG3" s="9"/>
      <c r="FH3" s="9"/>
      <c r="FI3" s="9"/>
      <c r="FJ3" s="9"/>
      <c r="FK3" s="9"/>
      <c r="FL3" s="9"/>
      <c r="FM3" s="9"/>
      <c r="FN3" s="9"/>
      <c r="FO3" s="9"/>
      <c r="FP3" s="9"/>
      <c r="FQ3" s="9"/>
      <c r="FR3" s="9"/>
      <c r="FS3" s="9"/>
      <c r="FT3" s="9"/>
      <c r="FU3" s="9"/>
      <c r="FV3" s="9"/>
      <c r="FW3" s="9"/>
      <c r="FX3" s="9"/>
      <c r="FY3" s="9"/>
      <c r="FZ3" s="9"/>
      <c r="GA3" s="9"/>
      <c r="GB3" s="9"/>
      <c r="GC3" s="9"/>
      <c r="GD3" s="9"/>
      <c r="GE3" s="9"/>
      <c r="GF3" s="9"/>
      <c r="GG3" s="9"/>
      <c r="GH3" s="9"/>
      <c r="GI3" s="9"/>
      <c r="GJ3" s="9"/>
      <c r="GK3" s="9"/>
      <c r="GL3" s="9"/>
      <c r="GM3" s="9"/>
      <c r="GN3" s="9"/>
      <c r="GO3" s="9"/>
      <c r="GP3" s="9"/>
      <c r="GQ3" s="9"/>
      <c r="GR3" s="9"/>
      <c r="GS3" s="9"/>
      <c r="GT3" s="9"/>
      <c r="GU3" s="9"/>
      <c r="GV3" s="9"/>
      <c r="GW3" s="9"/>
      <c r="GX3" s="9"/>
      <c r="GY3" s="9"/>
      <c r="GZ3" s="9"/>
      <c r="HA3" s="9"/>
      <c r="HB3" s="9"/>
      <c r="HC3" s="9"/>
      <c r="HD3" s="9"/>
      <c r="HE3" s="9"/>
      <c r="HF3" s="9"/>
      <c r="HG3" s="9"/>
      <c r="HH3" s="9"/>
      <c r="HI3" s="9"/>
      <c r="HJ3" s="9"/>
      <c r="HK3" s="9"/>
      <c r="HL3" s="9"/>
      <c r="HM3" s="9"/>
      <c r="HN3" s="9"/>
      <c r="HO3" s="9"/>
      <c r="HP3" s="9"/>
      <c r="HQ3" s="9"/>
      <c r="HR3" s="9"/>
      <c r="HS3" s="9"/>
      <c r="HT3" s="9"/>
      <c r="HU3" s="9"/>
      <c r="HV3" s="9"/>
      <c r="HW3" s="9"/>
      <c r="HX3" s="9"/>
    </row>
    <row r="4" spans="1:232" ht="9.75" customHeight="1">
      <c r="A4"/>
      <c r="B4"/>
      <c r="C4"/>
      <c r="D4"/>
      <c r="E4"/>
      <c r="F4"/>
      <c r="G4"/>
      <c r="H4"/>
      <c r="I4"/>
      <c r="J4"/>
      <c r="K4" s="13"/>
      <c r="L4" s="930"/>
      <c r="M4" s="795"/>
      <c r="N4" s="795"/>
      <c r="O4" s="795"/>
      <c r="P4" s="795"/>
      <c r="Q4" s="795"/>
      <c r="R4" s="795"/>
      <c r="S4" s="669"/>
      <c r="T4" s="669"/>
      <c r="U4" s="669"/>
      <c r="V4" s="669"/>
      <c r="W4" s="669"/>
      <c r="X4" s="669"/>
      <c r="Y4" s="669"/>
      <c r="Z4" s="669"/>
      <c r="AA4" s="669"/>
      <c r="AB4" s="669"/>
      <c r="AC4" s="669"/>
      <c r="AD4" s="669"/>
      <c r="AE4" s="669"/>
      <c r="AF4" s="669"/>
      <c r="AG4" s="669"/>
      <c r="AH4" s="669"/>
      <c r="AI4" s="669"/>
      <c r="AJ4" s="669"/>
      <c r="AK4" s="669"/>
      <c r="AL4" s="669"/>
      <c r="AM4" s="669"/>
      <c r="AN4" s="669"/>
      <c r="AO4" s="669"/>
      <c r="AP4" s="669"/>
      <c r="AQ4" s="669"/>
      <c r="AR4" s="669"/>
      <c r="AS4" s="669"/>
      <c r="AT4" s="669"/>
      <c r="AU4" s="669"/>
      <c r="AV4" s="669"/>
      <c r="AW4" s="669"/>
      <c r="AX4" s="669"/>
      <c r="AY4" s="669"/>
      <c r="AZ4" s="669"/>
      <c r="BA4" s="669"/>
      <c r="BB4" s="669"/>
      <c r="BC4" s="669"/>
      <c r="BD4" s="669"/>
      <c r="BE4" s="669"/>
      <c r="BF4" s="669"/>
      <c r="BG4" s="669"/>
      <c r="BH4" s="669"/>
      <c r="BI4" s="669"/>
      <c r="BJ4" s="669"/>
      <c r="BK4" s="669"/>
      <c r="BL4" s="669"/>
      <c r="BM4" s="669"/>
      <c r="BN4" s="669"/>
      <c r="BO4" s="669"/>
      <c r="BP4" s="669"/>
      <c r="BQ4" s="669"/>
      <c r="BR4" s="669"/>
      <c r="BS4" s="669"/>
      <c r="BT4" s="669"/>
      <c r="BU4" s="669"/>
      <c r="BV4" s="669"/>
      <c r="BW4" s="669"/>
      <c r="BX4" s="669"/>
      <c r="BY4" s="669"/>
      <c r="BZ4" s="669"/>
      <c r="CA4" s="669"/>
      <c r="CB4" s="669"/>
      <c r="CC4" s="669"/>
      <c r="CD4" s="669"/>
      <c r="CE4" s="669"/>
      <c r="CF4" s="669"/>
      <c r="CG4" s="669"/>
      <c r="CH4" s="669"/>
      <c r="CI4" s="669"/>
      <c r="CJ4" s="669"/>
      <c r="CK4" s="669"/>
      <c r="CL4" s="669"/>
      <c r="CM4" s="669"/>
      <c r="CN4" s="669"/>
      <c r="CO4" s="669"/>
      <c r="CP4" s="669"/>
      <c r="CQ4" s="669"/>
      <c r="CR4" s="669"/>
      <c r="CS4" s="669"/>
      <c r="CT4" s="669"/>
      <c r="CU4" s="669"/>
      <c r="CV4" s="669"/>
      <c r="CW4" s="9"/>
      <c r="CX4" s="9"/>
      <c r="CY4" s="9"/>
      <c r="CZ4" s="9"/>
      <c r="DA4" s="9"/>
      <c r="DB4" s="9"/>
      <c r="DC4" s="9"/>
      <c r="DD4" s="9"/>
      <c r="DE4" s="9"/>
      <c r="DF4" s="9"/>
      <c r="DG4" s="9"/>
      <c r="DH4" s="9"/>
      <c r="DI4" s="9"/>
      <c r="DJ4" s="9"/>
      <c r="DK4" s="9"/>
      <c r="DL4" s="9"/>
      <c r="DM4" s="9"/>
      <c r="DN4" s="9"/>
      <c r="DO4" s="9"/>
      <c r="DP4" s="9"/>
      <c r="DQ4" s="9"/>
      <c r="DR4" s="9"/>
      <c r="DS4" s="9"/>
      <c r="DT4" s="9"/>
      <c r="DU4" s="9"/>
      <c r="DV4" s="9"/>
      <c r="DW4" s="9"/>
      <c r="DX4" s="9"/>
      <c r="DY4" s="9"/>
      <c r="DZ4" s="9"/>
      <c r="EA4" s="9"/>
      <c r="EB4" s="9"/>
      <c r="EC4" s="9"/>
      <c r="ED4" s="9"/>
      <c r="EE4" s="9"/>
      <c r="EF4" s="9"/>
      <c r="EG4" s="9"/>
      <c r="EH4" s="9"/>
      <c r="EI4" s="9"/>
      <c r="EJ4" s="9"/>
      <c r="EK4" s="9"/>
      <c r="EL4" s="9"/>
      <c r="EM4" s="9"/>
      <c r="EN4" s="9"/>
      <c r="EO4" s="9"/>
      <c r="EP4" s="9"/>
      <c r="EQ4" s="9"/>
      <c r="ER4" s="9"/>
      <c r="ES4" s="9"/>
      <c r="ET4" s="9"/>
      <c r="EU4" s="9"/>
      <c r="EV4" s="9"/>
      <c r="EW4" s="9"/>
      <c r="EX4" s="9"/>
      <c r="EY4" s="9"/>
      <c r="EZ4" s="9"/>
      <c r="FA4" s="9"/>
      <c r="FB4" s="9"/>
      <c r="FC4" s="9"/>
      <c r="FD4" s="9"/>
      <c r="FE4" s="9"/>
      <c r="FF4" s="9"/>
      <c r="FG4" s="9"/>
      <c r="FH4" s="9"/>
      <c r="FI4" s="9"/>
      <c r="FJ4" s="9"/>
      <c r="FK4" s="9"/>
      <c r="FL4" s="9"/>
      <c r="FM4" s="9"/>
      <c r="FN4" s="9"/>
      <c r="FO4" s="9"/>
      <c r="FP4" s="9"/>
      <c r="FQ4" s="9"/>
      <c r="FR4" s="9"/>
      <c r="FS4" s="9"/>
      <c r="FT4" s="9"/>
      <c r="FU4" s="9"/>
      <c r="FV4" s="9"/>
      <c r="FW4" s="9"/>
      <c r="FX4" s="9"/>
      <c r="FY4" s="9"/>
      <c r="FZ4" s="9"/>
      <c r="GA4" s="9"/>
      <c r="GB4" s="9"/>
      <c r="GC4" s="9"/>
      <c r="GD4" s="9"/>
      <c r="GE4" s="9"/>
      <c r="GF4" s="9"/>
      <c r="GG4" s="9"/>
      <c r="GH4" s="9"/>
      <c r="GI4" s="9"/>
      <c r="GJ4" s="9"/>
      <c r="GK4" s="9"/>
      <c r="GL4" s="9"/>
      <c r="GM4" s="9"/>
      <c r="GN4" s="9"/>
      <c r="GO4" s="9"/>
      <c r="GP4" s="9"/>
      <c r="GQ4" s="9"/>
      <c r="GR4" s="9"/>
      <c r="GS4" s="9"/>
      <c r="GT4" s="9"/>
      <c r="GU4" s="9"/>
      <c r="GV4" s="9"/>
      <c r="GW4" s="9"/>
      <c r="GX4" s="9"/>
      <c r="GY4" s="9"/>
      <c r="GZ4" s="9"/>
      <c r="HA4" s="9"/>
      <c r="HB4" s="9"/>
      <c r="HC4" s="9"/>
      <c r="HD4" s="9"/>
      <c r="HE4" s="9"/>
      <c r="HF4" s="9"/>
      <c r="HG4" s="9"/>
      <c r="HH4" s="9"/>
      <c r="HI4" s="9"/>
      <c r="HJ4" s="9"/>
      <c r="HK4" s="9"/>
      <c r="HL4" s="9"/>
      <c r="HM4" s="9"/>
      <c r="HN4" s="9"/>
      <c r="HO4" s="9"/>
      <c r="HP4" s="9"/>
      <c r="HQ4" s="9"/>
      <c r="HR4" s="9"/>
      <c r="HS4" s="9"/>
      <c r="HT4" s="9"/>
      <c r="HU4" s="9"/>
      <c r="HV4" s="9"/>
      <c r="HW4" s="9"/>
      <c r="HX4" s="9"/>
    </row>
    <row r="5" spans="1:232" ht="15.75">
      <c r="A5" s="14" t="s">
        <v>941</v>
      </c>
      <c r="B5"/>
      <c r="C5"/>
      <c r="D5"/>
      <c r="E5"/>
      <c r="F5"/>
      <c r="G5"/>
      <c r="H5"/>
      <c r="I5"/>
      <c r="J5"/>
      <c r="K5" s="8"/>
      <c r="L5" s="754"/>
      <c r="M5" s="610"/>
      <c r="N5" s="610"/>
      <c r="O5" s="610"/>
      <c r="P5" s="610"/>
      <c r="Q5" s="610"/>
      <c r="R5" s="610"/>
      <c r="S5" s="669"/>
      <c r="W5" s="669"/>
      <c r="X5" s="669"/>
      <c r="Y5" s="669"/>
      <c r="Z5" s="669"/>
      <c r="AA5" s="669"/>
      <c r="AB5" s="669"/>
      <c r="AC5" s="669"/>
      <c r="AD5" s="669"/>
      <c r="AE5" s="669"/>
      <c r="AF5" s="669"/>
      <c r="AG5" s="669"/>
      <c r="AH5" s="669"/>
      <c r="AI5" s="669"/>
      <c r="AJ5" s="669"/>
      <c r="AK5" s="669"/>
      <c r="AL5" s="669"/>
      <c r="AM5" s="669"/>
      <c r="AN5" s="669"/>
      <c r="AO5" s="669"/>
      <c r="AP5" s="669"/>
      <c r="AQ5" s="669"/>
      <c r="AR5" s="669"/>
      <c r="AS5" s="669"/>
      <c r="AT5" s="669"/>
      <c r="AU5" s="669"/>
      <c r="AV5" s="669"/>
      <c r="AW5" s="669"/>
      <c r="AX5" s="669"/>
      <c r="AY5" s="669"/>
      <c r="AZ5" s="669"/>
      <c r="BA5" s="669"/>
      <c r="BB5" s="669"/>
      <c r="BC5" s="669"/>
      <c r="BD5" s="669"/>
      <c r="BE5" s="669"/>
      <c r="BF5" s="669"/>
      <c r="BG5" s="669"/>
      <c r="BH5" s="669"/>
      <c r="BI5" s="669"/>
      <c r="BJ5" s="669"/>
      <c r="BK5" s="669"/>
      <c r="BL5" s="669"/>
      <c r="BM5" s="669"/>
      <c r="BN5" s="669"/>
      <c r="BO5" s="669"/>
      <c r="BP5" s="669"/>
      <c r="BQ5" s="669"/>
      <c r="BR5" s="669"/>
      <c r="BS5" s="669"/>
      <c r="BT5" s="669"/>
      <c r="BU5" s="669"/>
      <c r="BV5" s="669"/>
      <c r="BW5" s="669"/>
      <c r="BX5" s="669"/>
      <c r="BY5" s="669"/>
      <c r="BZ5" s="669"/>
      <c r="CA5" s="669"/>
      <c r="CB5" s="669"/>
      <c r="CC5" s="669"/>
      <c r="CD5" s="669"/>
      <c r="CE5" s="669"/>
      <c r="CF5" s="669"/>
      <c r="CG5" s="669"/>
      <c r="CH5" s="669"/>
      <c r="CI5" s="669"/>
      <c r="CJ5" s="669"/>
      <c r="CK5" s="669"/>
      <c r="CL5" s="669"/>
      <c r="CM5" s="669"/>
      <c r="CN5" s="669"/>
      <c r="CO5" s="669"/>
      <c r="CP5" s="669"/>
      <c r="CQ5" s="669"/>
      <c r="CR5" s="669"/>
      <c r="CS5" s="669"/>
      <c r="CT5" s="669"/>
      <c r="CU5" s="669"/>
      <c r="CV5" s="669"/>
      <c r="CW5" s="9"/>
      <c r="CX5" s="9"/>
      <c r="CY5" s="9"/>
      <c r="CZ5" s="9"/>
      <c r="DA5" s="9"/>
      <c r="DB5" s="9"/>
      <c r="DC5" s="9"/>
      <c r="DD5" s="9"/>
      <c r="DE5" s="9"/>
      <c r="DF5" s="9"/>
      <c r="DG5" s="9"/>
      <c r="DH5" s="9"/>
      <c r="DI5" s="9"/>
      <c r="DJ5" s="9"/>
      <c r="DK5" s="9"/>
      <c r="DL5" s="9"/>
      <c r="DM5" s="9"/>
      <c r="DN5" s="9"/>
      <c r="DO5" s="9"/>
      <c r="DP5" s="9"/>
      <c r="DQ5" s="9"/>
      <c r="DR5" s="9"/>
      <c r="DS5" s="9"/>
      <c r="DT5" s="9"/>
      <c r="DU5" s="9"/>
      <c r="DV5" s="9"/>
      <c r="DW5" s="9"/>
      <c r="DX5" s="9"/>
      <c r="DY5" s="9"/>
      <c r="DZ5" s="9"/>
      <c r="EA5" s="9"/>
      <c r="EB5" s="9"/>
      <c r="EC5" s="9"/>
      <c r="ED5" s="9"/>
      <c r="EE5" s="9"/>
      <c r="EF5" s="9"/>
      <c r="EG5" s="9"/>
      <c r="EH5" s="9"/>
      <c r="EI5" s="9"/>
      <c r="EJ5" s="9"/>
      <c r="EK5" s="9"/>
      <c r="EL5" s="9"/>
      <c r="EM5" s="9"/>
      <c r="EN5" s="9"/>
      <c r="EO5" s="9"/>
      <c r="EP5" s="9"/>
      <c r="EQ5" s="9"/>
      <c r="ER5" s="9"/>
      <c r="ES5" s="9"/>
      <c r="ET5" s="9"/>
      <c r="EU5" s="9"/>
      <c r="EV5" s="9"/>
      <c r="EW5" s="9"/>
      <c r="EX5" s="9"/>
      <c r="EY5" s="9"/>
      <c r="EZ5" s="9"/>
      <c r="FA5" s="9"/>
      <c r="FB5" s="9"/>
      <c r="FC5" s="9"/>
      <c r="FD5" s="9"/>
      <c r="FE5" s="9"/>
      <c r="FF5" s="9"/>
      <c r="FG5" s="9"/>
      <c r="FH5" s="9"/>
      <c r="FI5" s="9"/>
      <c r="FJ5" s="9"/>
      <c r="FK5" s="9"/>
      <c r="FL5" s="9"/>
      <c r="FM5" s="9"/>
      <c r="FN5" s="9"/>
      <c r="FO5" s="9"/>
      <c r="FP5" s="9"/>
      <c r="FQ5" s="9"/>
      <c r="FR5" s="9"/>
      <c r="FS5" s="9"/>
      <c r="FT5" s="9"/>
      <c r="FU5" s="9"/>
      <c r="FV5" s="9"/>
      <c r="FW5" s="9"/>
      <c r="FX5" s="9"/>
      <c r="FY5" s="9"/>
      <c r="FZ5" s="9"/>
      <c r="GA5" s="9"/>
      <c r="GB5" s="9"/>
      <c r="GC5" s="9"/>
      <c r="GD5" s="9"/>
      <c r="GE5" s="9"/>
      <c r="GF5" s="9"/>
      <c r="GG5" s="9"/>
      <c r="GH5" s="9"/>
      <c r="GI5" s="9"/>
      <c r="GJ5" s="9"/>
      <c r="GK5" s="9"/>
      <c r="GL5" s="9"/>
      <c r="GM5" s="9"/>
      <c r="GN5" s="9"/>
      <c r="GO5" s="9"/>
      <c r="GP5" s="9"/>
      <c r="GQ5" s="9"/>
      <c r="GR5" s="9"/>
      <c r="GS5" s="9"/>
      <c r="GT5" s="9"/>
      <c r="GU5" s="9"/>
      <c r="GV5" s="9"/>
      <c r="GW5" s="9"/>
      <c r="GX5" s="9"/>
      <c r="GY5" s="9"/>
      <c r="GZ5" s="9"/>
      <c r="HA5" s="9"/>
      <c r="HB5" s="9"/>
      <c r="HC5" s="9"/>
      <c r="HD5" s="9"/>
      <c r="HE5" s="9"/>
      <c r="HF5" s="9"/>
      <c r="HG5" s="9"/>
      <c r="HH5" s="9"/>
      <c r="HI5" s="9"/>
      <c r="HJ5" s="9"/>
      <c r="HK5" s="9"/>
      <c r="HL5" s="9"/>
      <c r="HM5" s="9"/>
      <c r="HN5" s="9"/>
      <c r="HO5" s="9"/>
      <c r="HP5" s="9"/>
      <c r="HQ5" s="9"/>
      <c r="HR5" s="9"/>
      <c r="HS5" s="9"/>
      <c r="HT5" s="9"/>
      <c r="HU5" s="9"/>
      <c r="HV5" s="9"/>
      <c r="HW5" s="9"/>
      <c r="HX5" s="9"/>
    </row>
    <row r="6" spans="1:232" ht="15">
      <c r="A6" t="s">
        <v>5</v>
      </c>
      <c r="B6" s="15">
        <v>16519642999.999998</v>
      </c>
      <c r="C6" s="15">
        <v>17856571000</v>
      </c>
      <c r="D6" s="15">
        <v>18170460000</v>
      </c>
      <c r="E6" s="15">
        <v>18839827000</v>
      </c>
      <c r="F6" s="15">
        <v>20024020000</v>
      </c>
      <c r="G6" s="15">
        <v>21467094000</v>
      </c>
      <c r="H6" s="15">
        <v>21903571000</v>
      </c>
      <c r="I6" s="15">
        <v>25083803000</v>
      </c>
      <c r="J6" s="350"/>
      <c r="K6" s="634">
        <f>I6/H6-1</f>
        <v>0.14519239807974693</v>
      </c>
      <c r="L6" s="755"/>
      <c r="M6" s="931"/>
      <c r="N6" s="931"/>
      <c r="O6" s="931"/>
      <c r="P6" s="931"/>
      <c r="Q6" s="931"/>
      <c r="R6" s="931"/>
      <c r="S6" s="669"/>
      <c r="T6" s="669"/>
      <c r="U6" s="669"/>
      <c r="V6" s="669"/>
      <c r="W6" s="671"/>
      <c r="Y6" s="661"/>
      <c r="Z6" s="672"/>
      <c r="AA6" s="669"/>
      <c r="AB6" s="669"/>
      <c r="AC6" s="669"/>
      <c r="AD6" s="669"/>
      <c r="AE6" s="669"/>
      <c r="AF6" s="669"/>
      <c r="AG6" s="669"/>
      <c r="AH6" s="669"/>
      <c r="AI6" s="669"/>
      <c r="AJ6" s="669"/>
      <c r="AK6" s="669"/>
      <c r="AL6" s="669"/>
      <c r="AM6" s="669"/>
      <c r="AN6" s="669"/>
      <c r="AO6" s="669"/>
      <c r="AP6" s="669"/>
      <c r="AQ6" s="669"/>
      <c r="AR6" s="669"/>
      <c r="AS6" s="669"/>
      <c r="AT6" s="669"/>
      <c r="AU6" s="669"/>
      <c r="AV6" s="669"/>
      <c r="AW6" s="669"/>
      <c r="AX6" s="669"/>
      <c r="AY6" s="669"/>
      <c r="AZ6" s="669"/>
      <c r="BA6" s="669"/>
      <c r="BB6" s="669"/>
      <c r="BC6" s="669"/>
      <c r="BD6" s="669"/>
      <c r="BE6" s="669"/>
      <c r="BF6" s="669"/>
      <c r="BG6" s="669"/>
      <c r="BH6" s="669"/>
      <c r="BI6" s="669"/>
      <c r="BJ6" s="669"/>
      <c r="BK6" s="669"/>
      <c r="BL6" s="669"/>
      <c r="BM6" s="669"/>
      <c r="BN6" s="669"/>
      <c r="BO6" s="669"/>
      <c r="BP6" s="669"/>
      <c r="BQ6" s="669"/>
      <c r="BR6" s="669"/>
      <c r="BS6" s="669"/>
      <c r="BT6" s="669"/>
      <c r="BU6" s="669"/>
      <c r="BV6" s="669"/>
      <c r="BW6" s="669"/>
      <c r="BX6" s="669"/>
      <c r="BY6" s="669"/>
      <c r="BZ6" s="669"/>
      <c r="CA6" s="669"/>
      <c r="CB6" s="669"/>
      <c r="CC6" s="669"/>
      <c r="CD6" s="669"/>
      <c r="CE6" s="669"/>
      <c r="CF6" s="669"/>
      <c r="CG6" s="669"/>
      <c r="CH6" s="669"/>
      <c r="CI6" s="669"/>
      <c r="CJ6" s="669"/>
      <c r="CK6" s="669"/>
      <c r="CL6" s="669"/>
      <c r="CM6" s="669"/>
      <c r="CN6" s="669"/>
      <c r="CO6" s="669"/>
      <c r="CP6" s="669"/>
      <c r="CQ6" s="669"/>
      <c r="CR6" s="669"/>
      <c r="CS6" s="669"/>
      <c r="CT6" s="669"/>
      <c r="CU6" s="669"/>
      <c r="CV6" s="669"/>
      <c r="CW6" s="9"/>
      <c r="CX6" s="9"/>
      <c r="CY6" s="9"/>
      <c r="CZ6" s="9"/>
      <c r="DA6" s="9"/>
      <c r="DB6" s="9"/>
      <c r="DC6" s="9"/>
      <c r="DD6" s="9"/>
      <c r="DE6" s="9"/>
      <c r="DF6" s="9"/>
      <c r="DG6" s="9"/>
      <c r="DH6" s="9"/>
      <c r="DI6" s="9"/>
      <c r="DJ6" s="9"/>
      <c r="DK6" s="9"/>
      <c r="DL6" s="9"/>
      <c r="DM6" s="9"/>
      <c r="DN6" s="9"/>
      <c r="DO6" s="9"/>
      <c r="DP6" s="9"/>
      <c r="DQ6" s="9"/>
      <c r="DR6" s="9"/>
      <c r="DS6" s="9"/>
      <c r="DT6" s="9"/>
      <c r="DU6" s="9"/>
      <c r="DV6" s="9"/>
      <c r="DW6" s="9"/>
      <c r="DX6" s="9"/>
      <c r="DY6" s="9"/>
      <c r="DZ6" s="9"/>
      <c r="EA6" s="9"/>
      <c r="EB6" s="9"/>
      <c r="EC6" s="9"/>
      <c r="ED6" s="9"/>
      <c r="EE6" s="9"/>
      <c r="EF6" s="9"/>
      <c r="EG6" s="9"/>
      <c r="EH6" s="9"/>
      <c r="EI6" s="9"/>
      <c r="EJ6" s="9"/>
      <c r="EK6" s="9"/>
      <c r="EL6" s="9"/>
      <c r="EM6" s="9"/>
      <c r="EN6" s="9"/>
      <c r="EO6" s="9"/>
      <c r="EP6" s="9"/>
      <c r="EQ6" s="9"/>
      <c r="ER6" s="9"/>
      <c r="ES6" s="9"/>
      <c r="ET6" s="9"/>
      <c r="EU6" s="9"/>
      <c r="EV6" s="9"/>
      <c r="EW6" s="9"/>
      <c r="EX6" s="9"/>
      <c r="EY6" s="9"/>
      <c r="EZ6" s="9"/>
      <c r="FA6" s="9"/>
      <c r="FB6" s="9"/>
      <c r="FC6" s="9"/>
      <c r="FD6" s="9"/>
      <c r="FE6" s="9"/>
      <c r="FF6" s="9"/>
      <c r="FG6" s="9"/>
      <c r="FH6" s="9"/>
      <c r="FI6" s="9"/>
      <c r="FJ6" s="9"/>
      <c r="FK6" s="9"/>
      <c r="FL6" s="9"/>
      <c r="FM6" s="9"/>
      <c r="FN6" s="9"/>
      <c r="FO6" s="9"/>
      <c r="FP6" s="9"/>
      <c r="FQ6" s="9"/>
      <c r="FR6" s="9"/>
      <c r="FS6" s="9"/>
      <c r="FT6" s="9"/>
      <c r="FU6" s="9"/>
      <c r="FV6" s="9"/>
      <c r="FW6" s="9"/>
      <c r="FX6" s="9"/>
      <c r="FY6" s="9"/>
      <c r="FZ6" s="9"/>
      <c r="GA6" s="9"/>
      <c r="GB6" s="9"/>
      <c r="GC6" s="9"/>
      <c r="GD6" s="9"/>
      <c r="GE6" s="9"/>
      <c r="GF6" s="9"/>
      <c r="GG6" s="9"/>
      <c r="GH6" s="9"/>
      <c r="GI6" s="9"/>
      <c r="GJ6" s="9"/>
      <c r="GK6" s="9"/>
      <c r="GL6" s="9"/>
      <c r="GM6" s="9"/>
      <c r="GN6" s="9"/>
      <c r="GO6" s="9"/>
      <c r="GP6" s="9"/>
      <c r="GQ6" s="9"/>
      <c r="GR6" s="9"/>
      <c r="GS6" s="9"/>
      <c r="GT6" s="9"/>
      <c r="GU6" s="9"/>
      <c r="GV6" s="9"/>
      <c r="GW6" s="9"/>
      <c r="GX6" s="9"/>
      <c r="GY6" s="9"/>
      <c r="GZ6" s="9"/>
      <c r="HA6" s="9"/>
      <c r="HB6" s="9"/>
      <c r="HC6" s="9"/>
      <c r="HD6" s="9"/>
      <c r="HE6" s="9"/>
      <c r="HF6" s="9"/>
      <c r="HG6" s="9"/>
      <c r="HH6" s="9"/>
      <c r="HI6" s="9"/>
      <c r="HJ6" s="9"/>
      <c r="HK6" s="9"/>
      <c r="HL6" s="9"/>
      <c r="HM6" s="9"/>
      <c r="HN6" s="9"/>
      <c r="HO6" s="9"/>
      <c r="HP6" s="9"/>
      <c r="HQ6" s="9"/>
      <c r="HR6" s="9"/>
      <c r="HS6" s="9"/>
      <c r="HT6" s="9"/>
      <c r="HU6" s="9"/>
      <c r="HV6" s="9"/>
      <c r="HW6" s="9"/>
      <c r="HX6" s="9"/>
    </row>
    <row r="7" spans="1:232" ht="15">
      <c r="A7" s="372" t="s">
        <v>846</v>
      </c>
      <c r="B7" s="15">
        <v>24275392000</v>
      </c>
      <c r="C7" s="15">
        <v>24805219000</v>
      </c>
      <c r="D7" s="15">
        <v>25279826000</v>
      </c>
      <c r="E7" s="15">
        <v>26073523000</v>
      </c>
      <c r="F7" s="15">
        <v>27608806000</v>
      </c>
      <c r="G7" s="15">
        <v>29225445000</v>
      </c>
      <c r="H7" s="15">
        <v>39119584000</v>
      </c>
      <c r="I7" s="15">
        <v>50027817000</v>
      </c>
      <c r="J7" s="351"/>
      <c r="K7" s="766">
        <f>I7/H7-1</f>
        <v>0.27884327706552292</v>
      </c>
      <c r="L7" s="756"/>
      <c r="M7" s="931"/>
      <c r="N7" s="931"/>
      <c r="O7" s="931"/>
      <c r="P7" s="931"/>
      <c r="Q7" s="931"/>
      <c r="R7" s="931"/>
      <c r="S7" s="669"/>
      <c r="T7" s="669"/>
      <c r="U7" s="669"/>
      <c r="V7" s="669"/>
      <c r="W7" s="673"/>
      <c r="Y7" s="674"/>
      <c r="Z7" s="672"/>
      <c r="AA7" s="669"/>
      <c r="AB7" s="669"/>
      <c r="AC7" s="669"/>
      <c r="AD7" s="669"/>
      <c r="AE7" s="669"/>
      <c r="AF7" s="669"/>
      <c r="AG7" s="669"/>
      <c r="AH7" s="669"/>
      <c r="AI7" s="669"/>
      <c r="AJ7" s="669"/>
      <c r="AK7" s="669"/>
      <c r="AL7" s="669"/>
      <c r="AM7" s="669"/>
      <c r="AN7" s="669"/>
      <c r="AO7" s="669"/>
      <c r="AP7" s="669"/>
      <c r="AQ7" s="669"/>
      <c r="AR7" s="669"/>
      <c r="AS7" s="669"/>
      <c r="AT7" s="669"/>
      <c r="AU7" s="669"/>
      <c r="AV7" s="669"/>
      <c r="AW7" s="669"/>
      <c r="AX7" s="669"/>
      <c r="AY7" s="669"/>
      <c r="AZ7" s="669"/>
      <c r="BA7" s="669"/>
      <c r="BB7" s="669"/>
      <c r="BC7" s="669"/>
      <c r="BD7" s="669"/>
      <c r="BE7" s="669"/>
      <c r="BF7" s="669"/>
      <c r="BG7" s="669"/>
      <c r="BH7" s="669"/>
      <c r="BI7" s="669"/>
      <c r="BJ7" s="669"/>
      <c r="BK7" s="669"/>
      <c r="BL7" s="669"/>
      <c r="BM7" s="669"/>
      <c r="BN7" s="669"/>
      <c r="BO7" s="669"/>
      <c r="BP7" s="669"/>
      <c r="BQ7" s="669"/>
      <c r="BR7" s="669"/>
      <c r="BS7" s="669"/>
      <c r="BT7" s="669"/>
      <c r="BU7" s="669"/>
      <c r="BV7" s="669"/>
      <c r="BW7" s="669"/>
      <c r="BX7" s="669"/>
      <c r="BY7" s="669"/>
      <c r="BZ7" s="669"/>
      <c r="CA7" s="669"/>
      <c r="CB7" s="669"/>
      <c r="CC7" s="669"/>
      <c r="CD7" s="669"/>
      <c r="CE7" s="669"/>
      <c r="CF7" s="669"/>
      <c r="CG7" s="669"/>
      <c r="CH7" s="669"/>
      <c r="CI7" s="669"/>
      <c r="CJ7" s="669"/>
      <c r="CK7" s="669"/>
      <c r="CL7" s="669"/>
      <c r="CM7" s="669"/>
      <c r="CN7" s="669"/>
      <c r="CO7" s="669"/>
      <c r="CP7" s="669"/>
      <c r="CQ7" s="669"/>
      <c r="CR7" s="669"/>
      <c r="CS7" s="669"/>
      <c r="CT7" s="669"/>
      <c r="CU7" s="669"/>
      <c r="CV7" s="669"/>
      <c r="CW7" s="9"/>
      <c r="CX7" s="9"/>
      <c r="CY7" s="9"/>
      <c r="CZ7" s="9"/>
      <c r="DA7" s="9"/>
      <c r="DB7" s="9"/>
      <c r="DC7" s="9"/>
      <c r="DD7" s="9"/>
      <c r="DE7" s="9"/>
      <c r="DF7" s="9"/>
      <c r="DG7" s="9"/>
      <c r="DH7" s="9"/>
      <c r="DI7" s="9"/>
      <c r="DJ7" s="9"/>
      <c r="DK7" s="9"/>
      <c r="DL7" s="9"/>
      <c r="DM7" s="9"/>
      <c r="DN7" s="9"/>
      <c r="DO7" s="9"/>
      <c r="DP7" s="9"/>
      <c r="DQ7" s="9"/>
      <c r="DR7" s="9"/>
      <c r="DS7" s="9"/>
      <c r="DT7" s="9"/>
      <c r="DU7" s="9"/>
      <c r="DV7" s="9"/>
      <c r="DW7" s="9"/>
      <c r="DX7" s="9"/>
      <c r="DY7" s="9"/>
      <c r="DZ7" s="9"/>
      <c r="EA7" s="9"/>
      <c r="EB7" s="9"/>
      <c r="EC7" s="9"/>
      <c r="ED7" s="9"/>
      <c r="EE7" s="9"/>
      <c r="EF7" s="9"/>
      <c r="EG7" s="9"/>
      <c r="EH7" s="9"/>
      <c r="EI7" s="9"/>
      <c r="EJ7" s="9"/>
      <c r="EK7" s="9"/>
      <c r="EL7" s="9"/>
      <c r="EM7" s="9"/>
      <c r="EN7" s="9"/>
      <c r="EO7" s="9"/>
      <c r="EP7" s="9"/>
      <c r="EQ7" s="9"/>
      <c r="ER7" s="9"/>
      <c r="ES7" s="9"/>
      <c r="ET7" s="9"/>
      <c r="EU7" s="9"/>
      <c r="EV7" s="9"/>
      <c r="EW7" s="9"/>
      <c r="EX7" s="9"/>
      <c r="EY7" s="9"/>
      <c r="EZ7" s="9"/>
      <c r="FA7" s="9"/>
      <c r="FB7" s="9"/>
      <c r="FC7" s="9"/>
      <c r="FD7" s="9"/>
      <c r="FE7" s="9"/>
      <c r="FF7" s="9"/>
      <c r="FG7" s="9"/>
      <c r="FH7" s="9"/>
      <c r="FI7" s="9"/>
      <c r="FJ7" s="9"/>
      <c r="FK7" s="9"/>
      <c r="FL7" s="9"/>
      <c r="FM7" s="9"/>
      <c r="FN7" s="9"/>
      <c r="FO7" s="9"/>
      <c r="FP7" s="9"/>
      <c r="FQ7" s="9"/>
      <c r="FR7" s="9"/>
      <c r="FS7" s="9"/>
      <c r="FT7" s="9"/>
      <c r="FU7" s="9"/>
      <c r="FV7" s="9"/>
      <c r="FW7" s="9"/>
      <c r="FX7" s="9"/>
      <c r="FY7" s="9"/>
      <c r="FZ7" s="9"/>
      <c r="GA7" s="9"/>
      <c r="GB7" s="9"/>
      <c r="GC7" s="9"/>
      <c r="GD7" s="9"/>
      <c r="GE7" s="9"/>
      <c r="GF7" s="9"/>
      <c r="GG7" s="9"/>
      <c r="GH7" s="9"/>
      <c r="GI7" s="9"/>
      <c r="GJ7" s="9"/>
      <c r="GK7" s="9"/>
      <c r="GL7" s="9"/>
      <c r="GM7" s="9"/>
      <c r="GN7" s="9"/>
      <c r="GO7" s="9"/>
      <c r="GP7" s="9"/>
      <c r="GQ7" s="9"/>
      <c r="GR7" s="9"/>
      <c r="GS7" s="9"/>
      <c r="GT7" s="9"/>
      <c r="GU7" s="9"/>
      <c r="GV7" s="9"/>
      <c r="GW7" s="9"/>
      <c r="GX7" s="9"/>
      <c r="GY7" s="9"/>
      <c r="GZ7" s="9"/>
      <c r="HA7" s="9"/>
      <c r="HB7" s="9"/>
      <c r="HC7" s="9"/>
      <c r="HD7" s="9"/>
      <c r="HE7" s="9"/>
      <c r="HF7" s="9"/>
      <c r="HG7" s="9"/>
      <c r="HH7" s="9"/>
      <c r="HI7" s="9"/>
      <c r="HJ7" s="9"/>
      <c r="HK7" s="9"/>
      <c r="HL7" s="9"/>
      <c r="HM7" s="9"/>
      <c r="HN7" s="9"/>
      <c r="HO7" s="9"/>
      <c r="HP7" s="9"/>
      <c r="HQ7" s="9"/>
      <c r="HR7" s="9"/>
      <c r="HS7" s="9"/>
      <c r="HT7" s="9"/>
      <c r="HU7" s="9"/>
      <c r="HV7" s="9"/>
      <c r="HW7" s="9"/>
      <c r="HX7" s="9"/>
    </row>
    <row r="8" spans="1:232" ht="18" customHeight="1" thickBot="1">
      <c r="A8" s="17" t="s">
        <v>6</v>
      </c>
      <c r="B8" s="18">
        <f t="shared" ref="B8:I8" si="0">SUM(B6:B7)</f>
        <v>40795035000</v>
      </c>
      <c r="C8" s="18">
        <f t="shared" si="0"/>
        <v>42661790000</v>
      </c>
      <c r="D8" s="18">
        <f t="shared" si="0"/>
        <v>43450286000</v>
      </c>
      <c r="E8" s="18">
        <f t="shared" si="0"/>
        <v>44913350000</v>
      </c>
      <c r="F8" s="18">
        <f t="shared" si="0"/>
        <v>47632826000</v>
      </c>
      <c r="G8" s="18">
        <f t="shared" si="0"/>
        <v>50692539000</v>
      </c>
      <c r="H8" s="18">
        <f t="shared" si="0"/>
        <v>61023155000</v>
      </c>
      <c r="I8" s="18">
        <f t="shared" si="0"/>
        <v>75111620000</v>
      </c>
      <c r="J8" s="636"/>
      <c r="K8" s="767">
        <f>I8/H8-1</f>
        <v>0.2308708063357261</v>
      </c>
      <c r="L8" s="756"/>
      <c r="M8" s="931"/>
      <c r="N8" s="931"/>
      <c r="O8" s="931"/>
      <c r="P8" s="931"/>
      <c r="Q8" s="931"/>
      <c r="R8" s="931"/>
      <c r="S8" s="669"/>
      <c r="T8" s="669"/>
      <c r="U8" s="669"/>
      <c r="V8" s="669"/>
      <c r="W8" s="669"/>
      <c r="X8" s="669"/>
      <c r="Y8" s="661"/>
      <c r="Z8" s="675"/>
      <c r="AA8" s="669"/>
      <c r="AB8" s="669"/>
      <c r="AC8" s="669"/>
      <c r="AD8" s="669"/>
      <c r="AE8" s="669"/>
      <c r="AF8" s="669"/>
      <c r="AG8" s="669"/>
      <c r="AH8" s="669"/>
      <c r="AI8" s="669"/>
      <c r="AJ8" s="669"/>
      <c r="AK8" s="669"/>
      <c r="AL8" s="669"/>
      <c r="AM8" s="669"/>
      <c r="AN8" s="669"/>
      <c r="AO8" s="669"/>
      <c r="AP8" s="669"/>
      <c r="AQ8" s="669"/>
      <c r="AR8" s="669"/>
      <c r="AS8" s="669"/>
      <c r="AT8" s="669"/>
      <c r="AU8" s="669"/>
      <c r="AV8" s="669"/>
      <c r="AW8" s="669"/>
      <c r="AX8" s="669"/>
      <c r="AY8" s="669"/>
      <c r="AZ8" s="669"/>
      <c r="BA8" s="669"/>
      <c r="BB8" s="669"/>
      <c r="BC8" s="669"/>
      <c r="BD8" s="669"/>
      <c r="BE8" s="669"/>
      <c r="BF8" s="669"/>
      <c r="BG8" s="669"/>
      <c r="BH8" s="669"/>
      <c r="BI8" s="669"/>
      <c r="BJ8" s="669"/>
      <c r="BK8" s="669"/>
      <c r="BL8" s="669"/>
      <c r="BM8" s="669"/>
      <c r="BN8" s="669"/>
      <c r="BO8" s="669"/>
      <c r="BP8" s="669"/>
      <c r="BQ8" s="669"/>
      <c r="BR8" s="669"/>
      <c r="BS8" s="669"/>
      <c r="BT8" s="669"/>
      <c r="BU8" s="669"/>
      <c r="BV8" s="669"/>
      <c r="BW8" s="669"/>
      <c r="BX8" s="669"/>
      <c r="BY8" s="669"/>
      <c r="BZ8" s="669"/>
      <c r="CA8" s="669"/>
      <c r="CB8" s="669"/>
      <c r="CC8" s="669"/>
      <c r="CD8" s="669"/>
      <c r="CE8" s="669"/>
      <c r="CF8" s="669"/>
      <c r="CG8" s="669"/>
      <c r="CH8" s="669"/>
      <c r="CI8" s="669"/>
      <c r="CJ8" s="669"/>
      <c r="CK8" s="669"/>
      <c r="CL8" s="669"/>
      <c r="CM8" s="669"/>
      <c r="CN8" s="669"/>
      <c r="CO8" s="669"/>
      <c r="CP8" s="669"/>
      <c r="CQ8" s="669"/>
      <c r="CR8" s="669"/>
      <c r="CS8" s="669"/>
      <c r="CT8" s="669"/>
      <c r="CU8" s="669"/>
      <c r="CV8" s="669"/>
      <c r="CW8" s="9"/>
      <c r="CX8" s="9"/>
      <c r="CY8" s="9"/>
      <c r="CZ8" s="9"/>
      <c r="DA8" s="9"/>
      <c r="DB8" s="9"/>
      <c r="DC8" s="9"/>
      <c r="DD8" s="9"/>
      <c r="DE8" s="9"/>
      <c r="DF8" s="9"/>
      <c r="DG8" s="9"/>
      <c r="DH8" s="9"/>
      <c r="DI8" s="9"/>
      <c r="DJ8" s="9"/>
      <c r="DK8" s="9"/>
      <c r="DL8" s="9"/>
      <c r="DM8" s="9"/>
      <c r="DN8" s="9"/>
      <c r="DO8" s="9"/>
      <c r="DP8" s="9"/>
      <c r="DQ8" s="9"/>
      <c r="DR8" s="9"/>
      <c r="DS8" s="9"/>
      <c r="DT8" s="9"/>
      <c r="DU8" s="9"/>
      <c r="DV8" s="9"/>
      <c r="DW8" s="9"/>
      <c r="DX8" s="9"/>
      <c r="DY8" s="9"/>
      <c r="DZ8" s="9"/>
      <c r="EA8" s="9"/>
      <c r="EB8" s="9"/>
      <c r="EC8" s="9"/>
      <c r="ED8" s="9"/>
      <c r="EE8" s="9"/>
      <c r="EF8" s="9"/>
      <c r="EG8" s="9"/>
      <c r="EH8" s="9"/>
      <c r="EI8" s="9"/>
      <c r="EJ8" s="9"/>
      <c r="EK8" s="9"/>
      <c r="EL8" s="9"/>
      <c r="EM8" s="9"/>
      <c r="EN8" s="9"/>
      <c r="EO8" s="9"/>
      <c r="EP8" s="9"/>
      <c r="EQ8" s="9"/>
      <c r="ER8" s="9"/>
      <c r="ES8" s="9"/>
      <c r="ET8" s="9"/>
      <c r="EU8" s="9"/>
      <c r="EV8" s="9"/>
      <c r="EW8" s="9"/>
      <c r="EX8" s="9"/>
      <c r="EY8" s="9"/>
      <c r="EZ8" s="9"/>
      <c r="FA8" s="9"/>
      <c r="FB8" s="9"/>
      <c r="FC8" s="9"/>
      <c r="FD8" s="9"/>
      <c r="FE8" s="9"/>
      <c r="FF8" s="9"/>
      <c r="FG8" s="9"/>
      <c r="FH8" s="9"/>
      <c r="FI8" s="9"/>
      <c r="FJ8" s="9"/>
      <c r="FK8" s="9"/>
      <c r="FL8" s="9"/>
      <c r="FM8" s="9"/>
      <c r="FN8" s="9"/>
      <c r="FO8" s="9"/>
      <c r="FP8" s="9"/>
      <c r="FQ8" s="9"/>
      <c r="FR8" s="9"/>
      <c r="FS8" s="9"/>
      <c r="FT8" s="9"/>
      <c r="FU8" s="9"/>
      <c r="FV8" s="9"/>
      <c r="FW8" s="9"/>
      <c r="FX8" s="9"/>
      <c r="FY8" s="9"/>
      <c r="FZ8" s="9"/>
      <c r="GA8" s="9"/>
      <c r="GB8" s="9"/>
      <c r="GC8" s="9"/>
      <c r="GD8" s="9"/>
      <c r="GE8" s="9"/>
      <c r="GF8" s="9"/>
      <c r="GG8" s="9"/>
      <c r="GH8" s="9"/>
      <c r="GI8" s="9"/>
      <c r="GJ8" s="9"/>
      <c r="GK8" s="9"/>
      <c r="GL8" s="9"/>
      <c r="GM8" s="9"/>
      <c r="GN8" s="9"/>
      <c r="GO8" s="9"/>
      <c r="GP8" s="9"/>
      <c r="GQ8" s="9"/>
      <c r="GR8" s="9"/>
      <c r="GS8" s="9"/>
      <c r="GT8" s="9"/>
      <c r="GU8" s="9"/>
      <c r="GV8" s="9"/>
      <c r="GW8" s="9"/>
      <c r="GX8" s="9"/>
      <c r="GY8" s="9"/>
      <c r="GZ8" s="9"/>
      <c r="HA8" s="9"/>
      <c r="HB8" s="9"/>
      <c r="HC8" s="9"/>
      <c r="HD8" s="9"/>
      <c r="HE8" s="9"/>
      <c r="HF8" s="9"/>
      <c r="HG8" s="9"/>
      <c r="HH8" s="9"/>
      <c r="HI8" s="9"/>
      <c r="HJ8" s="9"/>
      <c r="HK8" s="9"/>
      <c r="HL8" s="9"/>
      <c r="HM8" s="9"/>
      <c r="HN8" s="9"/>
      <c r="HO8" s="9"/>
      <c r="HP8" s="9"/>
      <c r="HQ8" s="9"/>
      <c r="HR8" s="9"/>
      <c r="HS8" s="9"/>
      <c r="HT8" s="9"/>
      <c r="HU8" s="9"/>
      <c r="HV8" s="9"/>
      <c r="HW8" s="9"/>
      <c r="HX8" s="9"/>
    </row>
    <row r="9" spans="1:232" ht="15.75" thickTop="1">
      <c r="A9" s="16"/>
      <c r="B9" s="19"/>
      <c r="C9" s="19"/>
      <c r="D9" s="19"/>
      <c r="E9" s="19"/>
      <c r="F9" s="19"/>
      <c r="G9" s="19"/>
      <c r="H9" s="19"/>
      <c r="I9" s="638"/>
      <c r="J9" s="638"/>
      <c r="K9" s="639"/>
      <c r="L9" s="756"/>
      <c r="M9" s="932"/>
      <c r="N9" s="932"/>
      <c r="O9" s="932"/>
      <c r="P9" s="932"/>
      <c r="Q9" s="932"/>
      <c r="R9" s="932"/>
      <c r="S9" s="669"/>
      <c r="T9" s="669"/>
      <c r="U9" s="669"/>
      <c r="V9" s="669"/>
      <c r="W9" s="669"/>
      <c r="X9" s="669"/>
      <c r="Y9" s="674"/>
      <c r="Z9" s="676"/>
      <c r="AA9" s="669"/>
      <c r="AB9" s="669"/>
      <c r="AC9" s="669"/>
      <c r="AD9" s="669"/>
      <c r="AE9" s="669"/>
      <c r="AF9" s="669"/>
      <c r="AG9" s="669"/>
      <c r="AH9" s="669"/>
      <c r="AI9" s="669"/>
      <c r="AJ9" s="669"/>
      <c r="AK9" s="669"/>
      <c r="AL9" s="669"/>
      <c r="AM9" s="669"/>
      <c r="AN9" s="669"/>
      <c r="AO9" s="669"/>
      <c r="AP9" s="669"/>
      <c r="AQ9" s="669"/>
      <c r="AR9" s="669"/>
      <c r="AS9" s="669"/>
      <c r="AT9" s="669"/>
      <c r="AU9" s="669"/>
      <c r="AV9" s="669"/>
      <c r="AW9" s="669"/>
      <c r="AX9" s="669"/>
      <c r="AY9" s="669"/>
      <c r="AZ9" s="669"/>
      <c r="BA9" s="669"/>
      <c r="BB9" s="669"/>
      <c r="BC9" s="669"/>
      <c r="BD9" s="669"/>
      <c r="BE9" s="669"/>
      <c r="BF9" s="669"/>
      <c r="BG9" s="669"/>
      <c r="BH9" s="669"/>
      <c r="BI9" s="669"/>
      <c r="BJ9" s="669"/>
      <c r="BK9" s="669"/>
      <c r="BL9" s="669"/>
      <c r="BM9" s="669"/>
      <c r="BN9" s="669"/>
      <c r="BO9" s="669"/>
      <c r="BP9" s="669"/>
      <c r="BQ9" s="669"/>
      <c r="BR9" s="669"/>
      <c r="BS9" s="669"/>
      <c r="BT9" s="669"/>
      <c r="BU9" s="669"/>
      <c r="BV9" s="669"/>
      <c r="BW9" s="669"/>
      <c r="BX9" s="669"/>
      <c r="BY9" s="669"/>
      <c r="BZ9" s="669"/>
      <c r="CA9" s="669"/>
      <c r="CB9" s="669"/>
      <c r="CC9" s="669"/>
      <c r="CD9" s="669"/>
      <c r="CE9" s="669"/>
      <c r="CF9" s="669"/>
      <c r="CG9" s="669"/>
      <c r="CH9" s="669"/>
      <c r="CI9" s="669"/>
      <c r="CJ9" s="669"/>
      <c r="CK9" s="669"/>
      <c r="CL9" s="669"/>
      <c r="CM9" s="669"/>
      <c r="CN9" s="669"/>
      <c r="CO9" s="669"/>
      <c r="CP9" s="669"/>
      <c r="CQ9" s="669"/>
      <c r="CR9" s="669"/>
      <c r="CS9" s="669"/>
      <c r="CT9" s="669"/>
      <c r="CU9" s="669"/>
      <c r="CV9" s="669"/>
      <c r="CW9" s="9"/>
      <c r="CX9" s="9"/>
      <c r="CY9" s="9"/>
      <c r="CZ9" s="9"/>
      <c r="DA9" s="9"/>
      <c r="DB9" s="9"/>
      <c r="DC9" s="9"/>
      <c r="DD9" s="9"/>
      <c r="DE9" s="9"/>
      <c r="DF9" s="9"/>
      <c r="DG9" s="9"/>
      <c r="DH9" s="9"/>
      <c r="DI9" s="9"/>
      <c r="DJ9" s="9"/>
      <c r="DK9" s="9"/>
      <c r="DL9" s="9"/>
      <c r="DM9" s="9"/>
      <c r="DN9" s="9"/>
      <c r="DO9" s="9"/>
      <c r="DP9" s="9"/>
      <c r="DQ9" s="9"/>
      <c r="DR9" s="9"/>
      <c r="DS9" s="9"/>
      <c r="DT9" s="9"/>
      <c r="DU9" s="9"/>
      <c r="DV9" s="9"/>
      <c r="DW9" s="9"/>
      <c r="DX9" s="9"/>
      <c r="DY9" s="9"/>
      <c r="DZ9" s="9"/>
      <c r="EA9" s="9"/>
      <c r="EB9" s="9"/>
      <c r="EC9" s="9"/>
      <c r="ED9" s="9"/>
      <c r="EE9" s="9"/>
      <c r="EF9" s="9"/>
      <c r="EG9" s="9"/>
      <c r="EH9" s="9"/>
      <c r="EI9" s="9"/>
      <c r="EJ9" s="9"/>
      <c r="EK9" s="9"/>
      <c r="EL9" s="9"/>
      <c r="EM9" s="9"/>
      <c r="EN9" s="9"/>
      <c r="EO9" s="9"/>
      <c r="EP9" s="9"/>
      <c r="EQ9" s="9"/>
      <c r="ER9" s="9"/>
      <c r="ES9" s="9"/>
      <c r="ET9" s="9"/>
      <c r="EU9" s="9"/>
      <c r="EV9" s="9"/>
      <c r="EW9" s="9"/>
      <c r="EX9" s="9"/>
      <c r="EY9" s="9"/>
      <c r="EZ9" s="9"/>
      <c r="FA9" s="9"/>
      <c r="FB9" s="9"/>
      <c r="FC9" s="9"/>
      <c r="FD9" s="9"/>
      <c r="FE9" s="9"/>
      <c r="FF9" s="9"/>
      <c r="FG9" s="9"/>
      <c r="FH9" s="9"/>
      <c r="FI9" s="9"/>
      <c r="FJ9" s="9"/>
      <c r="FK9" s="9"/>
      <c r="FL9" s="9"/>
      <c r="FM9" s="9"/>
      <c r="FN9" s="9"/>
      <c r="FO9" s="9"/>
      <c r="FP9" s="9"/>
      <c r="FQ9" s="9"/>
      <c r="FR9" s="9"/>
      <c r="FS9" s="9"/>
      <c r="FT9" s="9"/>
      <c r="FU9" s="9"/>
      <c r="FV9" s="9"/>
      <c r="FW9" s="9"/>
      <c r="FX9" s="9"/>
      <c r="FY9" s="9"/>
      <c r="FZ9" s="9"/>
      <c r="GA9" s="9"/>
      <c r="GB9" s="9"/>
      <c r="GC9" s="9"/>
      <c r="GD9" s="9"/>
      <c r="GE9" s="9"/>
      <c r="GF9" s="9"/>
      <c r="GG9" s="9"/>
      <c r="GH9" s="9"/>
      <c r="GI9" s="9"/>
      <c r="GJ9" s="9"/>
      <c r="GK9" s="9"/>
      <c r="GL9" s="9"/>
      <c r="GM9" s="9"/>
      <c r="GN9" s="9"/>
      <c r="GO9" s="9"/>
      <c r="GP9" s="9"/>
      <c r="GQ9" s="9"/>
      <c r="GR9" s="9"/>
      <c r="GS9" s="9"/>
      <c r="GT9" s="9"/>
      <c r="GU9" s="9"/>
      <c r="GV9" s="9"/>
      <c r="GW9" s="9"/>
      <c r="GX9" s="9"/>
      <c r="GY9" s="9"/>
      <c r="GZ9" s="9"/>
      <c r="HA9" s="9"/>
      <c r="HB9" s="9"/>
      <c r="HC9" s="9"/>
      <c r="HD9" s="9"/>
      <c r="HE9" s="9"/>
      <c r="HF9" s="9"/>
      <c r="HG9" s="9"/>
      <c r="HH9" s="9"/>
      <c r="HI9" s="9"/>
      <c r="HJ9" s="9"/>
      <c r="HK9" s="9"/>
      <c r="HL9" s="9"/>
      <c r="HM9" s="9"/>
      <c r="HN9" s="9"/>
      <c r="HO9" s="9"/>
      <c r="HP9" s="9"/>
      <c r="HQ9" s="9"/>
      <c r="HR9" s="9"/>
      <c r="HS9" s="9"/>
      <c r="HT9" s="9"/>
      <c r="HU9" s="9"/>
      <c r="HV9" s="9"/>
      <c r="HW9" s="9"/>
      <c r="HX9" s="9"/>
    </row>
    <row r="10" spans="1:232" ht="15.75">
      <c r="A10" s="14" t="s">
        <v>942</v>
      </c>
      <c r="B10" s="15"/>
      <c r="C10" s="15"/>
      <c r="D10" s="15"/>
      <c r="E10" s="15"/>
      <c r="F10" s="15"/>
      <c r="G10" s="15"/>
      <c r="H10" s="15"/>
      <c r="I10" s="350"/>
      <c r="J10" s="350"/>
      <c r="K10" s="634"/>
      <c r="L10" s="755"/>
      <c r="M10" s="932"/>
      <c r="N10" s="932"/>
      <c r="O10" s="932"/>
      <c r="P10" s="932"/>
      <c r="Q10" s="932"/>
      <c r="R10" s="932"/>
      <c r="S10" s="669"/>
      <c r="T10" s="669"/>
      <c r="U10" s="669"/>
      <c r="V10" s="669"/>
      <c r="W10" s="669"/>
      <c r="X10" s="669"/>
      <c r="Y10" s="669"/>
      <c r="Z10" s="669"/>
      <c r="AA10" s="669"/>
      <c r="AB10" s="669"/>
      <c r="AC10" s="669"/>
      <c r="AD10" s="669"/>
      <c r="AE10" s="669"/>
      <c r="AF10" s="669"/>
      <c r="AG10" s="669"/>
      <c r="AH10" s="669"/>
      <c r="AI10" s="669"/>
      <c r="AJ10" s="669"/>
      <c r="AK10" s="669"/>
      <c r="AL10" s="669"/>
      <c r="AM10" s="669"/>
      <c r="AN10" s="669"/>
      <c r="AO10" s="669"/>
      <c r="AP10" s="669"/>
      <c r="AQ10" s="669"/>
      <c r="AR10" s="669"/>
      <c r="AS10" s="669"/>
      <c r="AT10" s="669"/>
      <c r="AU10" s="669"/>
      <c r="AV10" s="669"/>
      <c r="AW10" s="669"/>
      <c r="AX10" s="669"/>
      <c r="AY10" s="669"/>
      <c r="AZ10" s="669"/>
      <c r="BA10" s="669"/>
      <c r="BB10" s="669"/>
      <c r="BC10" s="669"/>
      <c r="BD10" s="669"/>
      <c r="BE10" s="669"/>
      <c r="BF10" s="669"/>
      <c r="BG10" s="669"/>
      <c r="BH10" s="669"/>
      <c r="BI10" s="669"/>
      <c r="BJ10" s="669"/>
      <c r="BK10" s="669"/>
      <c r="BL10" s="669"/>
      <c r="BM10" s="669"/>
      <c r="BN10" s="669"/>
      <c r="BO10" s="669"/>
      <c r="BP10" s="669"/>
      <c r="BQ10" s="669"/>
      <c r="BR10" s="669"/>
      <c r="BS10" s="669"/>
      <c r="BT10" s="669"/>
      <c r="BU10" s="669"/>
      <c r="BV10" s="669"/>
      <c r="BW10" s="669"/>
      <c r="BX10" s="669"/>
      <c r="BY10" s="669"/>
      <c r="BZ10" s="669"/>
      <c r="CA10" s="669"/>
      <c r="CB10" s="669"/>
      <c r="CC10" s="669"/>
      <c r="CD10" s="669"/>
      <c r="CE10" s="669"/>
      <c r="CF10" s="669"/>
      <c r="CG10" s="669"/>
      <c r="CH10" s="669"/>
      <c r="CI10" s="669"/>
      <c r="CJ10" s="669"/>
      <c r="CK10" s="669"/>
      <c r="CL10" s="669"/>
      <c r="CM10" s="669"/>
      <c r="CN10" s="669"/>
      <c r="CO10" s="669"/>
      <c r="CP10" s="669"/>
      <c r="CQ10" s="669"/>
      <c r="CR10" s="669"/>
      <c r="CS10" s="669"/>
      <c r="CT10" s="669"/>
      <c r="CU10" s="669"/>
      <c r="CV10" s="669"/>
      <c r="CW10" s="9"/>
      <c r="CX10" s="9"/>
      <c r="CY10" s="9"/>
      <c r="CZ10" s="9"/>
      <c r="DA10" s="9"/>
      <c r="DB10" s="9"/>
      <c r="DC10" s="9"/>
      <c r="DD10" s="9"/>
      <c r="DE10" s="9"/>
      <c r="DF10" s="9"/>
      <c r="DG10" s="9"/>
      <c r="DH10" s="9"/>
      <c r="DI10" s="9"/>
      <c r="DJ10" s="9"/>
      <c r="DK10" s="9"/>
      <c r="DL10" s="9"/>
      <c r="DM10" s="9"/>
      <c r="DN10" s="9"/>
      <c r="DO10" s="9"/>
      <c r="DP10" s="9"/>
      <c r="DQ10" s="9"/>
      <c r="DR10" s="9"/>
      <c r="DS10" s="9"/>
      <c r="DT10" s="9"/>
      <c r="DU10" s="9"/>
      <c r="DV10" s="9"/>
      <c r="DW10" s="9"/>
      <c r="DX10" s="9"/>
      <c r="DY10" s="9"/>
      <c r="DZ10" s="9"/>
      <c r="EA10" s="9"/>
      <c r="EB10" s="9"/>
      <c r="EC10" s="9"/>
      <c r="ED10" s="9"/>
      <c r="EE10" s="9"/>
      <c r="EF10" s="9"/>
      <c r="EG10" s="9"/>
      <c r="EH10" s="9"/>
      <c r="EI10" s="9"/>
      <c r="EJ10" s="9"/>
      <c r="EK10" s="9"/>
      <c r="EL10" s="9"/>
      <c r="EM10" s="9"/>
      <c r="EN10" s="9"/>
      <c r="EO10" s="9"/>
      <c r="EP10" s="9"/>
      <c r="EQ10" s="9"/>
      <c r="ER10" s="9"/>
      <c r="ES10" s="9"/>
      <c r="ET10" s="9"/>
      <c r="EU10" s="9"/>
      <c r="EV10" s="9"/>
      <c r="EW10" s="9"/>
      <c r="EX10" s="9"/>
      <c r="EY10" s="9"/>
      <c r="EZ10" s="9"/>
      <c r="FA10" s="9"/>
      <c r="FB10" s="9"/>
      <c r="FC10" s="9"/>
      <c r="FD10" s="9"/>
      <c r="FE10" s="9"/>
      <c r="FF10" s="9"/>
      <c r="FG10" s="9"/>
      <c r="FH10" s="9"/>
      <c r="FI10" s="9"/>
      <c r="FJ10" s="9"/>
      <c r="FK10" s="9"/>
      <c r="FL10" s="9"/>
      <c r="FM10" s="9"/>
      <c r="FN10" s="9"/>
      <c r="FO10" s="9"/>
      <c r="FP10" s="9"/>
      <c r="FQ10" s="9"/>
      <c r="FR10" s="9"/>
      <c r="FS10" s="9"/>
      <c r="FT10" s="9"/>
      <c r="FU10" s="9"/>
      <c r="FV10" s="9"/>
      <c r="FW10" s="9"/>
      <c r="FX10" s="9"/>
      <c r="FY10" s="9"/>
      <c r="FZ10" s="9"/>
      <c r="GA10" s="9"/>
      <c r="GB10" s="9"/>
      <c r="GC10" s="9"/>
      <c r="GD10" s="9"/>
      <c r="GE10" s="9"/>
      <c r="GF10" s="9"/>
      <c r="GG10" s="9"/>
      <c r="GH10" s="9"/>
      <c r="GI10" s="9"/>
      <c r="GJ10" s="9"/>
      <c r="GK10" s="9"/>
      <c r="GL10" s="9"/>
      <c r="GM10" s="9"/>
      <c r="GN10" s="9"/>
      <c r="GO10" s="9"/>
      <c r="GP10" s="9"/>
      <c r="GQ10" s="9"/>
      <c r="GR10" s="9"/>
      <c r="GS10" s="9"/>
      <c r="GT10" s="9"/>
      <c r="GU10" s="9"/>
      <c r="GV10" s="9"/>
      <c r="GW10" s="9"/>
      <c r="GX10" s="9"/>
      <c r="GY10" s="9"/>
      <c r="GZ10" s="9"/>
      <c r="HA10" s="9"/>
      <c r="HB10" s="9"/>
      <c r="HC10" s="9"/>
      <c r="HD10" s="9"/>
      <c r="HE10" s="9"/>
      <c r="HF10" s="9"/>
      <c r="HG10" s="9"/>
      <c r="HH10" s="9"/>
      <c r="HI10" s="9"/>
      <c r="HJ10" s="9"/>
      <c r="HK10" s="9"/>
      <c r="HL10" s="9"/>
      <c r="HM10" s="9"/>
      <c r="HN10" s="9"/>
      <c r="HO10" s="9"/>
      <c r="HP10" s="9"/>
      <c r="HQ10" s="9"/>
      <c r="HR10" s="9"/>
      <c r="HS10" s="9"/>
      <c r="HT10" s="9"/>
      <c r="HU10" s="9"/>
      <c r="HV10" s="9"/>
      <c r="HW10" s="9"/>
      <c r="HX10" s="9"/>
    </row>
    <row r="11" spans="1:232" ht="15">
      <c r="A11" t="s">
        <v>5</v>
      </c>
      <c r="B11" s="350">
        <v>15733790000</v>
      </c>
      <c r="C11" s="350">
        <v>17069018000</v>
      </c>
      <c r="D11" s="350">
        <v>17348564000</v>
      </c>
      <c r="E11" s="350">
        <v>18001810000</v>
      </c>
      <c r="F11" s="350">
        <v>19188948000</v>
      </c>
      <c r="G11" s="350">
        <f>ByAcct!G18</f>
        <v>20553037000</v>
      </c>
      <c r="H11" s="350">
        <f>ByAcct!H18</f>
        <v>20943678000</v>
      </c>
      <c r="I11" s="350">
        <f>ByAcct!I18</f>
        <v>23992451000</v>
      </c>
      <c r="J11" s="350"/>
      <c r="K11" s="634">
        <f>I11/H11-1</f>
        <v>0.14557008563634333</v>
      </c>
      <c r="L11" s="933"/>
      <c r="M11" s="931"/>
      <c r="N11" s="931"/>
      <c r="O11" s="931"/>
      <c r="P11" s="931"/>
      <c r="Q11" s="931"/>
      <c r="R11" s="931"/>
      <c r="S11" s="669"/>
      <c r="T11" s="677"/>
      <c r="U11" s="669"/>
      <c r="V11" s="669"/>
      <c r="W11" s="669"/>
      <c r="X11" s="669"/>
      <c r="Y11" s="669"/>
      <c r="Z11" s="669"/>
      <c r="AA11" s="669"/>
      <c r="AB11" s="669"/>
      <c r="AC11" s="669"/>
      <c r="AD11" s="669"/>
      <c r="AE11" s="669"/>
      <c r="AF11" s="669"/>
      <c r="AG11" s="669"/>
      <c r="AH11" s="669"/>
      <c r="AI11" s="669"/>
      <c r="AJ11" s="669"/>
      <c r="AK11" s="669"/>
      <c r="AL11" s="669"/>
      <c r="AM11" s="669"/>
      <c r="AN11" s="669"/>
      <c r="AO11" s="669"/>
      <c r="AP11" s="669"/>
      <c r="AQ11" s="669"/>
      <c r="AR11" s="669"/>
      <c r="AS11" s="669"/>
      <c r="AT11" s="669"/>
      <c r="AU11" s="669"/>
      <c r="AV11" s="669"/>
      <c r="AW11" s="669"/>
      <c r="AX11" s="669"/>
      <c r="AY11" s="669"/>
      <c r="AZ11" s="669"/>
      <c r="BA11" s="669"/>
      <c r="BB11" s="669"/>
      <c r="BC11" s="669"/>
      <c r="BD11" s="669"/>
      <c r="BE11" s="669"/>
      <c r="BF11" s="669"/>
      <c r="BG11" s="669"/>
      <c r="BH11" s="669"/>
      <c r="BI11" s="669"/>
      <c r="BJ11" s="669"/>
      <c r="BK11" s="669"/>
      <c r="BL11" s="669"/>
      <c r="BM11" s="669"/>
      <c r="BN11" s="669"/>
      <c r="BO11" s="669"/>
      <c r="BP11" s="669"/>
      <c r="BQ11" s="669"/>
      <c r="BR11" s="669"/>
      <c r="BS11" s="669"/>
      <c r="BT11" s="669"/>
      <c r="BU11" s="669"/>
      <c r="BV11" s="669"/>
      <c r="BW11" s="669"/>
      <c r="BX11" s="669"/>
      <c r="BY11" s="669"/>
      <c r="BZ11" s="669"/>
      <c r="CA11" s="669"/>
      <c r="CB11" s="669"/>
      <c r="CC11" s="669"/>
      <c r="CD11" s="669"/>
      <c r="CE11" s="669"/>
      <c r="CF11" s="669"/>
      <c r="CG11" s="669"/>
      <c r="CH11" s="669"/>
      <c r="CI11" s="669"/>
      <c r="CJ11" s="669"/>
      <c r="CK11" s="669"/>
      <c r="CL11" s="669"/>
      <c r="CM11" s="669"/>
      <c r="CN11" s="669"/>
      <c r="CO11" s="669"/>
      <c r="CP11" s="669"/>
      <c r="CQ11" s="669"/>
      <c r="CR11" s="669"/>
      <c r="CS11" s="669"/>
      <c r="CT11" s="669"/>
      <c r="CU11" s="669"/>
      <c r="CV11" s="669"/>
      <c r="CW11" s="9"/>
      <c r="CX11" s="9"/>
      <c r="CY11" s="9"/>
      <c r="CZ11" s="9"/>
      <c r="DA11" s="9"/>
      <c r="DB11" s="9"/>
      <c r="DC11" s="9"/>
      <c r="DD11" s="9"/>
      <c r="DE11" s="9"/>
      <c r="DF11" s="9"/>
      <c r="DG11" s="9"/>
      <c r="DH11" s="9"/>
      <c r="DI11" s="9"/>
      <c r="DJ11" s="9"/>
      <c r="DK11" s="9"/>
      <c r="DL11" s="9"/>
      <c r="DM11" s="9"/>
      <c r="DN11" s="9"/>
      <c r="DO11" s="9"/>
      <c r="DP11" s="9"/>
      <c r="DQ11" s="9"/>
      <c r="DR11" s="9"/>
      <c r="DS11" s="9"/>
      <c r="DT11" s="9"/>
      <c r="DU11" s="9"/>
      <c r="DV11" s="9"/>
      <c r="DW11" s="9"/>
      <c r="DX11" s="9"/>
      <c r="DY11" s="9"/>
      <c r="DZ11" s="9"/>
      <c r="EA11" s="9"/>
      <c r="EB11" s="9"/>
      <c r="EC11" s="9"/>
      <c r="ED11" s="9"/>
      <c r="EE11" s="9"/>
      <c r="EF11" s="9"/>
      <c r="EG11" s="9"/>
      <c r="EH11" s="9"/>
      <c r="EI11" s="9"/>
      <c r="EJ11" s="9"/>
      <c r="EK11" s="9"/>
      <c r="EL11" s="9"/>
      <c r="EM11" s="9"/>
      <c r="EN11" s="9"/>
      <c r="EO11" s="9"/>
      <c r="EP11" s="9"/>
      <c r="EQ11" s="9"/>
      <c r="ER11" s="9"/>
      <c r="ES11" s="9"/>
      <c r="ET11" s="9"/>
      <c r="EU11" s="9"/>
      <c r="EV11" s="9"/>
      <c r="EW11" s="9"/>
      <c r="EX11" s="9"/>
      <c r="EY11" s="9"/>
      <c r="EZ11" s="9"/>
      <c r="FA11" s="9"/>
      <c r="FB11" s="9"/>
      <c r="FC11" s="9"/>
      <c r="FD11" s="9"/>
      <c r="FE11" s="9"/>
      <c r="FF11" s="9"/>
      <c r="FG11" s="9"/>
      <c r="FH11" s="9"/>
      <c r="FI11" s="9"/>
      <c r="FJ11" s="9"/>
      <c r="FK11" s="9"/>
      <c r="FL11" s="9"/>
      <c r="FM11" s="9"/>
      <c r="FN11" s="9"/>
      <c r="FO11" s="9"/>
      <c r="FP11" s="9"/>
      <c r="FQ11" s="9"/>
      <c r="FR11" s="9"/>
      <c r="FS11" s="9"/>
      <c r="FT11" s="9"/>
      <c r="FU11" s="9"/>
      <c r="FV11" s="9"/>
      <c r="FW11" s="9"/>
      <c r="FX11" s="9"/>
      <c r="FY11" s="9"/>
      <c r="FZ11" s="9"/>
      <c r="GA11" s="9"/>
      <c r="GB11" s="9"/>
      <c r="GC11" s="9"/>
      <c r="GD11" s="9"/>
      <c r="GE11" s="9"/>
      <c r="GF11" s="9"/>
      <c r="GG11" s="9"/>
      <c r="GH11" s="9"/>
      <c r="GI11" s="9"/>
      <c r="GJ11" s="9"/>
      <c r="GK11" s="9"/>
      <c r="GL11" s="9"/>
      <c r="GM11" s="9"/>
      <c r="GN11" s="9"/>
      <c r="GO11" s="9"/>
      <c r="GP11" s="9"/>
      <c r="GQ11" s="9"/>
      <c r="GR11" s="9"/>
      <c r="GS11" s="9"/>
      <c r="GT11" s="9"/>
      <c r="GU11" s="9"/>
      <c r="GV11" s="9"/>
      <c r="GW11" s="9"/>
      <c r="GX11" s="9"/>
      <c r="GY11" s="9"/>
      <c r="GZ11" s="9"/>
      <c r="HA11" s="9"/>
      <c r="HB11" s="9"/>
      <c r="HC11" s="9"/>
      <c r="HD11" s="9"/>
      <c r="HE11" s="9"/>
      <c r="HF11" s="9"/>
      <c r="HG11" s="9"/>
      <c r="HH11" s="9"/>
      <c r="HI11" s="9"/>
      <c r="HJ11" s="9"/>
      <c r="HK11" s="9"/>
      <c r="HL11" s="9"/>
      <c r="HM11" s="9"/>
      <c r="HN11" s="9"/>
      <c r="HO11" s="9"/>
      <c r="HP11" s="9"/>
      <c r="HQ11" s="9"/>
      <c r="HR11" s="9"/>
      <c r="HS11" s="9"/>
      <c r="HT11" s="9"/>
      <c r="HU11" s="9"/>
      <c r="HV11" s="9"/>
      <c r="HW11" s="9"/>
      <c r="HX11" s="9"/>
    </row>
    <row r="12" spans="1:232" ht="15">
      <c r="A12" s="372" t="s">
        <v>847</v>
      </c>
      <c r="B12" s="351">
        <v>718404000</v>
      </c>
      <c r="C12" s="351">
        <v>783311000</v>
      </c>
      <c r="D12" s="351">
        <v>792553000</v>
      </c>
      <c r="E12" s="351">
        <v>799920000</v>
      </c>
      <c r="F12" s="351">
        <v>800144000</v>
      </c>
      <c r="G12" s="351">
        <f>ByAcct!G38</f>
        <v>822241000</v>
      </c>
      <c r="H12" s="351">
        <f>ByAcct!H38</f>
        <v>1293829000</v>
      </c>
      <c r="I12" s="351">
        <f>ByAcct!I38</f>
        <v>1567818000</v>
      </c>
      <c r="J12" s="351"/>
      <c r="K12" s="635">
        <f>I12/H12-1</f>
        <v>0.21176600617237673</v>
      </c>
      <c r="L12" s="933"/>
      <c r="M12" s="931"/>
      <c r="N12" s="931"/>
      <c r="O12" s="931"/>
      <c r="P12" s="931"/>
      <c r="Q12" s="931"/>
      <c r="R12" s="931"/>
      <c r="S12" s="669"/>
      <c r="T12" s="669"/>
      <c r="U12" s="669"/>
      <c r="V12" s="669"/>
      <c r="W12" s="669"/>
      <c r="X12" s="669"/>
      <c r="Y12" s="669"/>
      <c r="Z12" s="669"/>
      <c r="AA12" s="669"/>
      <c r="AB12" s="669"/>
      <c r="AC12" s="669"/>
      <c r="AD12" s="669"/>
      <c r="AE12" s="669"/>
      <c r="AF12" s="669"/>
      <c r="AG12" s="669"/>
      <c r="AH12" s="669"/>
      <c r="AI12" s="669"/>
      <c r="AJ12" s="669"/>
      <c r="AK12" s="669"/>
      <c r="AL12" s="669"/>
      <c r="AM12" s="669"/>
      <c r="AN12" s="669"/>
      <c r="AO12" s="669"/>
      <c r="AP12" s="669"/>
      <c r="AQ12" s="669"/>
      <c r="AR12" s="669"/>
      <c r="AS12" s="669"/>
      <c r="AT12" s="669"/>
      <c r="AU12" s="669"/>
      <c r="AV12" s="669"/>
      <c r="AW12" s="669"/>
      <c r="AX12" s="669"/>
      <c r="AY12" s="669"/>
      <c r="AZ12" s="669"/>
      <c r="BA12" s="669"/>
      <c r="BB12" s="669"/>
      <c r="BC12" s="669"/>
      <c r="BD12" s="669"/>
      <c r="BE12" s="669"/>
      <c r="BF12" s="669"/>
      <c r="BG12" s="669"/>
      <c r="BH12" s="669"/>
      <c r="BI12" s="669"/>
      <c r="BJ12" s="669"/>
      <c r="BK12" s="669"/>
      <c r="BL12" s="669"/>
      <c r="BM12" s="669"/>
      <c r="BN12" s="669"/>
      <c r="BO12" s="669"/>
      <c r="BP12" s="669"/>
      <c r="BQ12" s="669"/>
      <c r="BR12" s="669"/>
      <c r="BS12" s="669"/>
      <c r="BT12" s="669"/>
      <c r="BU12" s="669"/>
      <c r="BV12" s="669"/>
      <c r="BW12" s="669"/>
      <c r="BX12" s="669"/>
      <c r="BY12" s="669"/>
      <c r="BZ12" s="669"/>
      <c r="CA12" s="669"/>
      <c r="CB12" s="669"/>
      <c r="CC12" s="669"/>
      <c r="CD12" s="669"/>
      <c r="CE12" s="669"/>
      <c r="CF12" s="669"/>
      <c r="CG12" s="669"/>
      <c r="CH12" s="669"/>
      <c r="CI12" s="669"/>
      <c r="CJ12" s="669"/>
      <c r="CK12" s="669"/>
      <c r="CL12" s="669"/>
      <c r="CM12" s="669"/>
      <c r="CN12" s="669"/>
      <c r="CO12" s="669"/>
      <c r="CP12" s="669"/>
      <c r="CQ12" s="669"/>
      <c r="CR12" s="669"/>
      <c r="CS12" s="669"/>
      <c r="CT12" s="669"/>
      <c r="CU12" s="669"/>
      <c r="CV12" s="669"/>
      <c r="CW12" s="9"/>
      <c r="CX12" s="9"/>
      <c r="CY12" s="9"/>
      <c r="CZ12" s="9"/>
      <c r="DA12" s="9"/>
      <c r="DB12" s="9"/>
      <c r="DC12" s="9"/>
      <c r="DD12" s="9"/>
      <c r="DE12" s="9"/>
      <c r="DF12" s="9"/>
      <c r="DG12" s="9"/>
      <c r="DH12" s="9"/>
      <c r="DI12" s="9"/>
      <c r="DJ12" s="9"/>
      <c r="DK12" s="9"/>
      <c r="DL12" s="9"/>
      <c r="DM12" s="9"/>
      <c r="DN12" s="9"/>
      <c r="DO12" s="9"/>
      <c r="DP12" s="9"/>
      <c r="DQ12" s="9"/>
      <c r="DR12" s="9"/>
      <c r="DS12" s="9"/>
      <c r="DT12" s="9"/>
      <c r="DU12" s="9"/>
      <c r="DV12" s="9"/>
      <c r="DW12" s="9"/>
      <c r="DX12" s="9"/>
      <c r="DY12" s="9"/>
      <c r="DZ12" s="9"/>
      <c r="EA12" s="9"/>
      <c r="EB12" s="9"/>
      <c r="EC12" s="9"/>
      <c r="ED12" s="9"/>
      <c r="EE12" s="9"/>
      <c r="EF12" s="9"/>
      <c r="EG12" s="9"/>
      <c r="EH12" s="9"/>
      <c r="EI12" s="9"/>
      <c r="EJ12" s="9"/>
      <c r="EK12" s="9"/>
      <c r="EL12" s="9"/>
      <c r="EM12" s="9"/>
      <c r="EN12" s="9"/>
      <c r="EO12" s="9"/>
      <c r="EP12" s="9"/>
      <c r="EQ12" s="9"/>
      <c r="ER12" s="9"/>
      <c r="ES12" s="9"/>
      <c r="ET12" s="9"/>
      <c r="EU12" s="9"/>
      <c r="EV12" s="9"/>
      <c r="EW12" s="9"/>
      <c r="EX12" s="9"/>
      <c r="EY12" s="9"/>
      <c r="EZ12" s="9"/>
      <c r="FA12" s="9"/>
      <c r="FB12" s="9"/>
      <c r="FC12" s="9"/>
      <c r="FD12" s="9"/>
      <c r="FE12" s="9"/>
      <c r="FF12" s="9"/>
      <c r="FG12" s="9"/>
      <c r="FH12" s="9"/>
      <c r="FI12" s="9"/>
      <c r="FJ12" s="9"/>
      <c r="FK12" s="9"/>
      <c r="FL12" s="9"/>
      <c r="FM12" s="9"/>
      <c r="FN12" s="9"/>
      <c r="FO12" s="9"/>
      <c r="FP12" s="9"/>
      <c r="FQ12" s="9"/>
      <c r="FR12" s="9"/>
      <c r="FS12" s="9"/>
      <c r="FT12" s="9"/>
      <c r="FU12" s="9"/>
      <c r="FV12" s="9"/>
      <c r="FW12" s="9"/>
      <c r="FX12" s="9"/>
      <c r="FY12" s="9"/>
      <c r="FZ12" s="9"/>
      <c r="GA12" s="9"/>
      <c r="GB12" s="9"/>
      <c r="GC12" s="9"/>
      <c r="GD12" s="9"/>
      <c r="GE12" s="9"/>
      <c r="GF12" s="9"/>
      <c r="GG12" s="9"/>
      <c r="GH12" s="9"/>
      <c r="GI12" s="9"/>
      <c r="GJ12" s="9"/>
      <c r="GK12" s="9"/>
      <c r="GL12" s="9"/>
      <c r="GM12" s="9"/>
      <c r="GN12" s="9"/>
      <c r="GO12" s="9"/>
      <c r="GP12" s="9"/>
      <c r="GQ12" s="9"/>
      <c r="GR12" s="9"/>
      <c r="GS12" s="9"/>
      <c r="GT12" s="9"/>
      <c r="GU12" s="9"/>
      <c r="GV12" s="9"/>
      <c r="GW12" s="9"/>
      <c r="GX12" s="9"/>
      <c r="GY12" s="9"/>
      <c r="GZ12" s="9"/>
      <c r="HA12" s="9"/>
      <c r="HB12" s="9"/>
      <c r="HC12" s="9"/>
      <c r="HD12" s="9"/>
      <c r="HE12" s="9"/>
      <c r="HF12" s="9"/>
      <c r="HG12" s="9"/>
      <c r="HH12" s="9"/>
      <c r="HI12" s="9"/>
      <c r="HJ12" s="9"/>
      <c r="HK12" s="9"/>
      <c r="HL12" s="9"/>
      <c r="HM12" s="9"/>
      <c r="HN12" s="9"/>
      <c r="HO12" s="9"/>
      <c r="HP12" s="9"/>
      <c r="HQ12" s="9"/>
      <c r="HR12" s="9"/>
      <c r="HS12" s="9"/>
      <c r="HT12" s="9"/>
      <c r="HU12" s="9"/>
      <c r="HV12" s="9"/>
      <c r="HW12" s="9"/>
      <c r="HX12" s="9"/>
    </row>
    <row r="13" spans="1:232" ht="18" customHeight="1" thickBot="1">
      <c r="A13" s="17" t="s">
        <v>7</v>
      </c>
      <c r="B13" s="18">
        <f t="shared" ref="B13:I13" si="1">SUM(B11:B12)</f>
        <v>16452194000</v>
      </c>
      <c r="C13" s="18">
        <f t="shared" si="1"/>
        <v>17852329000</v>
      </c>
      <c r="D13" s="18">
        <f t="shared" si="1"/>
        <v>18141117000</v>
      </c>
      <c r="E13" s="18">
        <f t="shared" si="1"/>
        <v>18801730000</v>
      </c>
      <c r="F13" s="18">
        <f t="shared" si="1"/>
        <v>19989092000</v>
      </c>
      <c r="G13" s="18">
        <f t="shared" si="1"/>
        <v>21375278000</v>
      </c>
      <c r="H13" s="18">
        <f t="shared" si="1"/>
        <v>22237507000</v>
      </c>
      <c r="I13" s="352">
        <f t="shared" si="1"/>
        <v>25560269000</v>
      </c>
      <c r="J13" s="636"/>
      <c r="K13" s="637">
        <f>I13/H13-1</f>
        <v>0.14942151564021988</v>
      </c>
      <c r="L13" s="934"/>
      <c r="M13" s="931"/>
      <c r="N13" s="931"/>
      <c r="O13" s="931"/>
      <c r="P13" s="931"/>
      <c r="Q13" s="931"/>
      <c r="R13" s="931"/>
      <c r="S13" s="669"/>
      <c r="T13" s="669"/>
      <c r="U13" s="669"/>
      <c r="V13" s="669"/>
      <c r="W13" s="669"/>
      <c r="X13" s="669"/>
      <c r="Y13" s="669"/>
      <c r="Z13" s="669"/>
      <c r="AA13" s="669"/>
      <c r="AB13" s="669"/>
      <c r="AC13" s="669"/>
      <c r="AD13" s="669"/>
      <c r="AE13" s="669"/>
      <c r="AF13" s="669"/>
      <c r="AG13" s="669"/>
      <c r="AH13" s="669"/>
      <c r="AI13" s="669"/>
      <c r="AJ13" s="669"/>
      <c r="AK13" s="669"/>
      <c r="AL13" s="669"/>
      <c r="AM13" s="669"/>
      <c r="AN13" s="669"/>
      <c r="AO13" s="669"/>
      <c r="AP13" s="669"/>
      <c r="AQ13" s="669"/>
      <c r="AR13" s="669"/>
      <c r="AS13" s="669"/>
      <c r="AT13" s="669"/>
      <c r="AU13" s="669"/>
      <c r="AV13" s="669"/>
      <c r="AW13" s="669"/>
      <c r="AX13" s="669"/>
      <c r="AY13" s="669"/>
      <c r="AZ13" s="669"/>
      <c r="BA13" s="669"/>
      <c r="BB13" s="669"/>
      <c r="BC13" s="669"/>
      <c r="BD13" s="669"/>
      <c r="BE13" s="669"/>
      <c r="BF13" s="669"/>
      <c r="BG13" s="669"/>
      <c r="BH13" s="669"/>
      <c r="BI13" s="669"/>
      <c r="BJ13" s="669"/>
      <c r="BK13" s="669"/>
      <c r="BL13" s="669"/>
      <c r="BM13" s="669"/>
      <c r="BN13" s="669"/>
      <c r="BO13" s="669"/>
      <c r="BP13" s="669"/>
      <c r="BQ13" s="669"/>
      <c r="BR13" s="669"/>
      <c r="BS13" s="669"/>
      <c r="BT13" s="669"/>
      <c r="BU13" s="669"/>
      <c r="BV13" s="669"/>
      <c r="BW13" s="669"/>
      <c r="BX13" s="669"/>
      <c r="BY13" s="669"/>
      <c r="BZ13" s="669"/>
      <c r="CA13" s="669"/>
      <c r="CB13" s="669"/>
      <c r="CC13" s="669"/>
      <c r="CD13" s="669"/>
      <c r="CE13" s="669"/>
      <c r="CF13" s="669"/>
      <c r="CG13" s="669"/>
      <c r="CH13" s="669"/>
      <c r="CI13" s="669"/>
      <c r="CJ13" s="669"/>
      <c r="CK13" s="669"/>
      <c r="CL13" s="669"/>
      <c r="CM13" s="669"/>
      <c r="CN13" s="669"/>
      <c r="CO13" s="669"/>
      <c r="CP13" s="669"/>
      <c r="CQ13" s="669"/>
      <c r="CR13" s="669"/>
      <c r="CS13" s="669"/>
      <c r="CT13" s="669"/>
      <c r="CU13" s="669"/>
      <c r="CV13" s="669"/>
      <c r="CW13" s="9"/>
      <c r="CX13" s="9"/>
      <c r="CY13" s="9"/>
      <c r="CZ13" s="9"/>
      <c r="DA13" s="9"/>
      <c r="DB13" s="9"/>
      <c r="DC13" s="9"/>
      <c r="DD13" s="9"/>
      <c r="DE13" s="9"/>
      <c r="DF13" s="9"/>
      <c r="DG13" s="9"/>
      <c r="DH13" s="9"/>
      <c r="DI13" s="9"/>
      <c r="DJ13" s="9"/>
      <c r="DK13" s="9"/>
      <c r="DL13" s="9"/>
      <c r="DM13" s="9"/>
      <c r="DN13" s="9"/>
      <c r="DO13" s="9"/>
      <c r="DP13" s="9"/>
      <c r="DQ13" s="9"/>
      <c r="DR13" s="9"/>
      <c r="DS13" s="9"/>
      <c r="DT13" s="9"/>
      <c r="DU13" s="9"/>
      <c r="DV13" s="9"/>
      <c r="DW13" s="9"/>
      <c r="DX13" s="9"/>
      <c r="DY13" s="9"/>
      <c r="DZ13" s="9"/>
      <c r="EA13" s="9"/>
      <c r="EB13" s="9"/>
      <c r="EC13" s="9"/>
      <c r="ED13" s="9"/>
      <c r="EE13" s="9"/>
      <c r="EF13" s="9"/>
      <c r="EG13" s="9"/>
      <c r="EH13" s="9"/>
      <c r="EI13" s="9"/>
      <c r="EJ13" s="9"/>
      <c r="EK13" s="9"/>
      <c r="EL13" s="9"/>
      <c r="EM13" s="9"/>
      <c r="EN13" s="9"/>
      <c r="EO13" s="9"/>
      <c r="EP13" s="9"/>
      <c r="EQ13" s="9"/>
      <c r="ER13" s="9"/>
      <c r="ES13" s="9"/>
      <c r="ET13" s="9"/>
      <c r="EU13" s="9"/>
      <c r="EV13" s="9"/>
      <c r="EW13" s="9"/>
      <c r="EX13" s="9"/>
      <c r="EY13" s="9"/>
      <c r="EZ13" s="9"/>
      <c r="FA13" s="9"/>
      <c r="FB13" s="9"/>
      <c r="FC13" s="9"/>
      <c r="FD13" s="9"/>
      <c r="FE13" s="9"/>
      <c r="FF13" s="9"/>
      <c r="FG13" s="9"/>
      <c r="FH13" s="9"/>
      <c r="FI13" s="9"/>
      <c r="FJ13" s="9"/>
      <c r="FK13" s="9"/>
      <c r="FL13" s="9"/>
      <c r="FM13" s="9"/>
      <c r="FN13" s="9"/>
      <c r="FO13" s="9"/>
      <c r="FP13" s="9"/>
      <c r="FQ13" s="9"/>
      <c r="FR13" s="9"/>
      <c r="FS13" s="9"/>
      <c r="FT13" s="9"/>
      <c r="FU13" s="9"/>
      <c r="FV13" s="9"/>
      <c r="FW13" s="9"/>
      <c r="FX13" s="9"/>
      <c r="FY13" s="9"/>
      <c r="FZ13" s="9"/>
      <c r="GA13" s="9"/>
      <c r="GB13" s="9"/>
      <c r="GC13" s="9"/>
      <c r="GD13" s="9"/>
      <c r="GE13" s="9"/>
      <c r="GF13" s="9"/>
      <c r="GG13" s="9"/>
      <c r="GH13" s="9"/>
      <c r="GI13" s="9"/>
      <c r="GJ13" s="9"/>
      <c r="GK13" s="9"/>
      <c r="GL13" s="9"/>
      <c r="GM13" s="9"/>
      <c r="GN13" s="9"/>
      <c r="GO13" s="9"/>
      <c r="GP13" s="9"/>
      <c r="GQ13" s="9"/>
      <c r="GR13" s="9"/>
      <c r="GS13" s="9"/>
      <c r="GT13" s="9"/>
      <c r="GU13" s="9"/>
      <c r="GV13" s="9"/>
      <c r="GW13" s="9"/>
      <c r="GX13" s="9"/>
      <c r="GY13" s="9"/>
      <c r="GZ13" s="9"/>
      <c r="HA13" s="9"/>
      <c r="HB13" s="9"/>
      <c r="HC13" s="9"/>
      <c r="HD13" s="9"/>
      <c r="HE13" s="9"/>
      <c r="HF13" s="9"/>
      <c r="HG13" s="9"/>
      <c r="HH13" s="9"/>
      <c r="HI13" s="9"/>
      <c r="HJ13" s="9"/>
      <c r="HK13" s="9"/>
      <c r="HL13" s="9"/>
      <c r="HM13" s="9"/>
      <c r="HN13" s="9"/>
      <c r="HO13" s="9"/>
      <c r="HP13" s="9"/>
      <c r="HQ13" s="9"/>
      <c r="HR13" s="9"/>
      <c r="HS13" s="9"/>
      <c r="HT13" s="9"/>
      <c r="HU13" s="9"/>
      <c r="HV13" s="9"/>
      <c r="HW13" s="9"/>
      <c r="HX13" s="9"/>
    </row>
    <row r="14" spans="1:232" ht="14.1" customHeight="1" thickTop="1">
      <c r="A14" s="16"/>
      <c r="B14" s="19"/>
      <c r="C14" s="19"/>
      <c r="D14" s="19"/>
      <c r="E14" s="19"/>
      <c r="F14" s="19"/>
      <c r="G14" s="19"/>
      <c r="H14" s="19"/>
      <c r="I14" s="638"/>
      <c r="J14" s="638"/>
      <c r="K14" s="640"/>
      <c r="L14" s="934"/>
      <c r="M14" s="932"/>
      <c r="N14" s="932"/>
      <c r="O14" s="932"/>
      <c r="P14" s="932"/>
      <c r="Q14" s="932"/>
      <c r="R14" s="932"/>
      <c r="S14" s="669"/>
      <c r="U14" s="678"/>
      <c r="V14" s="679"/>
      <c r="W14" s="669"/>
      <c r="X14" s="669"/>
      <c r="Y14" s="669"/>
      <c r="Z14" s="669"/>
      <c r="AA14" s="669"/>
      <c r="AB14" s="669"/>
      <c r="AC14" s="669"/>
      <c r="AD14" s="669"/>
      <c r="AE14" s="669"/>
      <c r="AF14" s="669"/>
      <c r="AG14" s="669"/>
      <c r="AH14" s="669"/>
      <c r="AI14" s="669"/>
      <c r="AJ14" s="669"/>
      <c r="AK14" s="669"/>
      <c r="AL14" s="669"/>
      <c r="AM14" s="669"/>
      <c r="AN14" s="669"/>
      <c r="AO14" s="669"/>
      <c r="AP14" s="669"/>
      <c r="AQ14" s="669"/>
      <c r="AR14" s="669"/>
      <c r="AS14" s="669"/>
      <c r="AT14" s="669"/>
      <c r="AU14" s="669"/>
      <c r="AV14" s="669"/>
      <c r="AW14" s="669"/>
      <c r="AX14" s="669"/>
      <c r="AY14" s="669"/>
      <c r="AZ14" s="669"/>
      <c r="BA14" s="669"/>
      <c r="BB14" s="669"/>
      <c r="BC14" s="669"/>
      <c r="BD14" s="669"/>
      <c r="BE14" s="669"/>
      <c r="BF14" s="669"/>
      <c r="BG14" s="669"/>
      <c r="BH14" s="669"/>
      <c r="BI14" s="669"/>
      <c r="BJ14" s="669"/>
      <c r="BK14" s="669"/>
      <c r="BL14" s="669"/>
      <c r="BM14" s="669"/>
      <c r="BN14" s="669"/>
      <c r="BO14" s="669"/>
      <c r="BP14" s="669"/>
      <c r="BQ14" s="669"/>
      <c r="BR14" s="669"/>
      <c r="BS14" s="669"/>
      <c r="BT14" s="669"/>
      <c r="BU14" s="669"/>
      <c r="BV14" s="669"/>
      <c r="BW14" s="669"/>
      <c r="BX14" s="669"/>
      <c r="BY14" s="669"/>
      <c r="BZ14" s="669"/>
      <c r="CA14" s="669"/>
      <c r="CB14" s="669"/>
      <c r="CC14" s="669"/>
      <c r="CD14" s="669"/>
      <c r="CE14" s="669"/>
      <c r="CF14" s="669"/>
      <c r="CG14" s="669"/>
      <c r="CH14" s="669"/>
      <c r="CI14" s="669"/>
      <c r="CJ14" s="669"/>
      <c r="CK14" s="669"/>
      <c r="CL14" s="669"/>
      <c r="CM14" s="669"/>
      <c r="CN14" s="669"/>
      <c r="CO14" s="669"/>
      <c r="CP14" s="669"/>
      <c r="CQ14" s="669"/>
      <c r="CR14" s="669"/>
      <c r="CS14" s="669"/>
      <c r="CT14" s="669"/>
      <c r="CU14" s="669"/>
      <c r="CV14" s="669"/>
      <c r="CW14" s="9"/>
      <c r="CX14" s="9"/>
      <c r="CY14" s="9"/>
      <c r="CZ14" s="9"/>
      <c r="DA14" s="9"/>
      <c r="DB14" s="9"/>
      <c r="DC14" s="9"/>
      <c r="DD14" s="9"/>
      <c r="DE14" s="9"/>
      <c r="DF14" s="9"/>
      <c r="DG14" s="9"/>
      <c r="DH14" s="9"/>
      <c r="DI14" s="9"/>
      <c r="DJ14" s="9"/>
      <c r="DK14" s="9"/>
      <c r="DL14" s="9"/>
      <c r="DM14" s="9"/>
      <c r="DN14" s="9"/>
      <c r="DO14" s="9"/>
      <c r="DP14" s="9"/>
      <c r="DQ14" s="9"/>
      <c r="DR14" s="9"/>
      <c r="DS14" s="9"/>
      <c r="DT14" s="9"/>
      <c r="DU14" s="9"/>
      <c r="DV14" s="9"/>
      <c r="DW14" s="9"/>
      <c r="DX14" s="9"/>
      <c r="DY14" s="9"/>
      <c r="DZ14" s="9"/>
      <c r="EA14" s="9"/>
      <c r="EB14" s="9"/>
      <c r="EC14" s="9"/>
      <c r="ED14" s="9"/>
      <c r="EE14" s="9"/>
      <c r="EF14" s="9"/>
      <c r="EG14" s="9"/>
      <c r="EH14" s="9"/>
      <c r="EI14" s="9"/>
      <c r="EJ14" s="9"/>
      <c r="EK14" s="9"/>
      <c r="EL14" s="9"/>
      <c r="EM14" s="9"/>
      <c r="EN14" s="9"/>
      <c r="EO14" s="9"/>
      <c r="EP14" s="9"/>
      <c r="EQ14" s="9"/>
      <c r="ER14" s="9"/>
      <c r="ES14" s="9"/>
      <c r="ET14" s="9"/>
      <c r="EU14" s="9"/>
      <c r="EV14" s="9"/>
      <c r="EW14" s="9"/>
      <c r="EX14" s="9"/>
      <c r="EY14" s="9"/>
      <c r="EZ14" s="9"/>
      <c r="FA14" s="9"/>
      <c r="FB14" s="9"/>
      <c r="FC14" s="9"/>
      <c r="FD14" s="9"/>
      <c r="FE14" s="9"/>
      <c r="FF14" s="9"/>
      <c r="FG14" s="9"/>
      <c r="FH14" s="9"/>
      <c r="FI14" s="9"/>
      <c r="FJ14" s="9"/>
      <c r="FK14" s="9"/>
      <c r="FL14" s="9"/>
      <c r="FM14" s="9"/>
      <c r="FN14" s="9"/>
      <c r="FO14" s="9"/>
      <c r="FP14" s="9"/>
      <c r="FQ14" s="9"/>
      <c r="FR14" s="9"/>
      <c r="FS14" s="9"/>
      <c r="FT14" s="9"/>
      <c r="FU14" s="9"/>
      <c r="FV14" s="9"/>
      <c r="FW14" s="9"/>
      <c r="FX14" s="9"/>
      <c r="FY14" s="9"/>
      <c r="FZ14" s="9"/>
      <c r="GA14" s="9"/>
      <c r="GB14" s="9"/>
      <c r="GC14" s="9"/>
      <c r="GD14" s="9"/>
      <c r="GE14" s="9"/>
      <c r="GF14" s="9"/>
      <c r="GG14" s="9"/>
      <c r="GH14" s="9"/>
      <c r="GI14" s="9"/>
      <c r="GJ14" s="9"/>
      <c r="GK14" s="9"/>
      <c r="GL14" s="9"/>
      <c r="GM14" s="9"/>
      <c r="GN14" s="9"/>
      <c r="GO14" s="9"/>
      <c r="GP14" s="9"/>
      <c r="GQ14" s="9"/>
      <c r="GR14" s="9"/>
      <c r="GS14" s="9"/>
      <c r="GT14" s="9"/>
      <c r="GU14" s="9"/>
      <c r="GV14" s="9"/>
      <c r="GW14" s="9"/>
      <c r="GX14" s="9"/>
      <c r="GY14" s="9"/>
      <c r="GZ14" s="9"/>
      <c r="HA14" s="9"/>
      <c r="HB14" s="9"/>
      <c r="HC14" s="9"/>
      <c r="HD14" s="9"/>
      <c r="HE14" s="9"/>
      <c r="HF14" s="9"/>
      <c r="HG14" s="9"/>
      <c r="HH14" s="9"/>
      <c r="HI14" s="9"/>
      <c r="HJ14" s="9"/>
      <c r="HK14" s="9"/>
      <c r="HL14" s="9"/>
      <c r="HM14" s="9"/>
      <c r="HN14" s="9"/>
      <c r="HO14" s="9"/>
      <c r="HP14" s="9"/>
      <c r="HQ14" s="9"/>
      <c r="HR14" s="9"/>
      <c r="HS14" s="9"/>
      <c r="HT14" s="9"/>
      <c r="HU14" s="9"/>
      <c r="HV14" s="9"/>
      <c r="HW14" s="9"/>
      <c r="HX14" s="9"/>
    </row>
    <row r="15" spans="1:232" ht="15.75">
      <c r="A15" s="14" t="s">
        <v>8</v>
      </c>
      <c r="B15" s="15"/>
      <c r="C15" s="15"/>
      <c r="D15" s="15"/>
      <c r="E15" s="15"/>
      <c r="F15" s="15"/>
      <c r="G15" s="15"/>
      <c r="H15" s="15"/>
      <c r="I15" s="350"/>
      <c r="J15" s="350"/>
      <c r="K15" s="634"/>
      <c r="L15" s="933"/>
      <c r="M15" s="932"/>
      <c r="N15" s="932"/>
      <c r="O15" s="932"/>
      <c r="P15" s="932"/>
      <c r="Q15" s="932"/>
      <c r="R15" s="932"/>
      <c r="S15" s="669"/>
      <c r="T15" s="669"/>
      <c r="W15" s="669"/>
      <c r="X15" s="669"/>
      <c r="Y15" s="669"/>
      <c r="Z15" s="669"/>
      <c r="AA15" s="669"/>
      <c r="AB15" s="669"/>
      <c r="AC15" s="669"/>
      <c r="AD15" s="669"/>
      <c r="AE15" s="669"/>
      <c r="AF15" s="669"/>
      <c r="AG15" s="669"/>
      <c r="AH15" s="669"/>
      <c r="AI15" s="669"/>
      <c r="AJ15" s="669"/>
      <c r="AK15" s="669"/>
      <c r="AL15" s="669"/>
      <c r="AM15" s="669"/>
      <c r="AN15" s="669"/>
      <c r="AO15" s="669"/>
      <c r="AP15" s="669"/>
      <c r="AQ15" s="669"/>
      <c r="AR15" s="669"/>
      <c r="AS15" s="669"/>
      <c r="AT15" s="669"/>
      <c r="AU15" s="669"/>
      <c r="AV15" s="669"/>
      <c r="AW15" s="669"/>
      <c r="AX15" s="669"/>
      <c r="AY15" s="669"/>
      <c r="AZ15" s="669"/>
      <c r="BA15" s="669"/>
      <c r="BB15" s="669"/>
      <c r="BC15" s="669"/>
      <c r="BD15" s="669"/>
      <c r="BE15" s="669"/>
      <c r="BF15" s="669"/>
      <c r="BG15" s="669"/>
      <c r="BH15" s="669"/>
      <c r="BI15" s="669"/>
      <c r="BJ15" s="669"/>
      <c r="BK15" s="669"/>
      <c r="BL15" s="669"/>
      <c r="BM15" s="669"/>
      <c r="BN15" s="669"/>
      <c r="BO15" s="669"/>
      <c r="BP15" s="669"/>
      <c r="BQ15" s="669"/>
      <c r="BR15" s="669"/>
      <c r="BS15" s="669"/>
      <c r="BT15" s="669"/>
      <c r="BU15" s="669"/>
      <c r="BV15" s="669"/>
      <c r="BW15" s="669"/>
      <c r="BX15" s="669"/>
      <c r="BY15" s="669"/>
      <c r="BZ15" s="669"/>
      <c r="CA15" s="669"/>
      <c r="CB15" s="669"/>
      <c r="CC15" s="669"/>
      <c r="CD15" s="669"/>
      <c r="CE15" s="669"/>
      <c r="CF15" s="669"/>
      <c r="CG15" s="669"/>
      <c r="CH15" s="669"/>
      <c r="CI15" s="669"/>
      <c r="CJ15" s="669"/>
      <c r="CK15" s="669"/>
      <c r="CL15" s="669"/>
      <c r="CM15" s="669"/>
      <c r="CN15" s="669"/>
      <c r="CO15" s="669"/>
      <c r="CP15" s="669"/>
      <c r="CQ15" s="669"/>
      <c r="CR15" s="669"/>
      <c r="CS15" s="669"/>
      <c r="CT15" s="669"/>
      <c r="CU15" s="669"/>
      <c r="CV15" s="669"/>
      <c r="CW15" s="9"/>
      <c r="CX15" s="9"/>
      <c r="CY15" s="9"/>
      <c r="CZ15" s="9"/>
      <c r="DA15" s="9"/>
      <c r="DB15" s="9"/>
      <c r="DC15" s="9"/>
      <c r="DD15" s="9"/>
      <c r="DE15" s="9"/>
      <c r="DF15" s="9"/>
      <c r="DG15" s="9"/>
      <c r="DH15" s="9"/>
      <c r="DI15" s="9"/>
      <c r="DJ15" s="9"/>
      <c r="DK15" s="9"/>
      <c r="DL15" s="9"/>
      <c r="DM15" s="9"/>
      <c r="DN15" s="9"/>
      <c r="DO15" s="9"/>
      <c r="DP15" s="9"/>
      <c r="DQ15" s="9"/>
      <c r="DR15" s="9"/>
      <c r="DS15" s="9"/>
      <c r="DT15" s="9"/>
      <c r="DU15" s="9"/>
      <c r="DV15" s="9"/>
      <c r="DW15" s="9"/>
      <c r="DX15" s="9"/>
      <c r="DY15" s="9"/>
      <c r="DZ15" s="9"/>
      <c r="EA15" s="9"/>
      <c r="EB15" s="9"/>
      <c r="EC15" s="9"/>
      <c r="ED15" s="9"/>
      <c r="EE15" s="9"/>
      <c r="EF15" s="9"/>
      <c r="EG15" s="9"/>
      <c r="EH15" s="9"/>
      <c r="EI15" s="9"/>
      <c r="EJ15" s="9"/>
      <c r="EK15" s="9"/>
      <c r="EL15" s="9"/>
      <c r="EM15" s="9"/>
      <c r="EN15" s="9"/>
      <c r="EO15" s="9"/>
      <c r="EP15" s="9"/>
      <c r="EQ15" s="9"/>
      <c r="ER15" s="9"/>
      <c r="ES15" s="9"/>
      <c r="ET15" s="9"/>
      <c r="EU15" s="9"/>
      <c r="EV15" s="9"/>
      <c r="EW15" s="9"/>
      <c r="EX15" s="9"/>
      <c r="EY15" s="9"/>
      <c r="EZ15" s="9"/>
      <c r="FA15" s="9"/>
      <c r="FB15" s="9"/>
      <c r="FC15" s="9"/>
      <c r="FD15" s="9"/>
      <c r="FE15" s="9"/>
      <c r="FF15" s="9"/>
      <c r="FG15" s="9"/>
      <c r="FH15" s="9"/>
      <c r="FI15" s="9"/>
      <c r="FJ15" s="9"/>
      <c r="FK15" s="9"/>
      <c r="FL15" s="9"/>
      <c r="FM15" s="9"/>
      <c r="FN15" s="9"/>
      <c r="FO15" s="9"/>
      <c r="FP15" s="9"/>
      <c r="FQ15" s="9"/>
      <c r="FR15" s="9"/>
      <c r="FS15" s="9"/>
      <c r="FT15" s="9"/>
      <c r="FU15" s="9"/>
      <c r="FV15" s="9"/>
      <c r="FW15" s="9"/>
      <c r="FX15" s="9"/>
      <c r="FY15" s="9"/>
      <c r="FZ15" s="9"/>
      <c r="GA15" s="9"/>
      <c r="GB15" s="9"/>
      <c r="GC15" s="9"/>
      <c r="GD15" s="9"/>
      <c r="GE15" s="9"/>
      <c r="GF15" s="9"/>
      <c r="GG15" s="9"/>
      <c r="GH15" s="9"/>
      <c r="GI15" s="9"/>
      <c r="GJ15" s="9"/>
      <c r="GK15" s="9"/>
      <c r="GL15" s="9"/>
      <c r="GM15" s="9"/>
      <c r="GN15" s="9"/>
      <c r="GO15" s="9"/>
      <c r="GP15" s="9"/>
      <c r="GQ15" s="9"/>
      <c r="GR15" s="9"/>
      <c r="GS15" s="9"/>
      <c r="GT15" s="9"/>
      <c r="GU15" s="9"/>
      <c r="GV15" s="9"/>
      <c r="GW15" s="9"/>
      <c r="GX15" s="9"/>
      <c r="GY15" s="9"/>
      <c r="GZ15" s="9"/>
      <c r="HA15" s="9"/>
      <c r="HB15" s="9"/>
      <c r="HC15" s="9"/>
      <c r="HD15" s="9"/>
      <c r="HE15" s="9"/>
      <c r="HF15" s="9"/>
      <c r="HG15" s="9"/>
      <c r="HH15" s="9"/>
      <c r="HI15" s="9"/>
      <c r="HJ15" s="9"/>
      <c r="HK15" s="9"/>
      <c r="HL15" s="9"/>
      <c r="HM15" s="9"/>
      <c r="HN15" s="9"/>
      <c r="HO15" s="9"/>
      <c r="HP15" s="9"/>
      <c r="HQ15" s="9"/>
      <c r="HR15" s="9"/>
      <c r="HS15" s="9"/>
      <c r="HT15" s="9"/>
      <c r="HU15" s="9"/>
      <c r="HV15" s="9"/>
      <c r="HW15" s="9"/>
      <c r="HX15" s="9"/>
    </row>
    <row r="16" spans="1:232" ht="15">
      <c r="A16" t="s">
        <v>5</v>
      </c>
      <c r="B16" s="350">
        <f t="shared" ref="B16:I17" si="2">B6-B11</f>
        <v>785852999.99999809</v>
      </c>
      <c r="C16" s="350">
        <f t="shared" si="2"/>
        <v>787553000</v>
      </c>
      <c r="D16" s="350">
        <f t="shared" si="2"/>
        <v>821896000</v>
      </c>
      <c r="E16" s="350">
        <f t="shared" si="2"/>
        <v>838017000</v>
      </c>
      <c r="F16" s="350">
        <f t="shared" si="2"/>
        <v>835072000</v>
      </c>
      <c r="G16" s="350">
        <f t="shared" si="2"/>
        <v>914057000</v>
      </c>
      <c r="H16" s="350">
        <f t="shared" si="2"/>
        <v>959893000</v>
      </c>
      <c r="I16" s="350">
        <f t="shared" si="2"/>
        <v>1091352000</v>
      </c>
      <c r="J16" s="350"/>
      <c r="K16" s="641">
        <f>I16/H16-1</f>
        <v>0.1369517227440975</v>
      </c>
      <c r="L16" s="933"/>
      <c r="M16" s="931"/>
      <c r="N16" s="931"/>
      <c r="O16" s="931"/>
      <c r="P16" s="931"/>
      <c r="Q16" s="931"/>
      <c r="R16" s="931"/>
      <c r="S16" s="669"/>
      <c r="W16" s="669"/>
      <c r="X16" s="669"/>
      <c r="Y16" s="669"/>
      <c r="Z16" s="669"/>
      <c r="AA16" s="669"/>
      <c r="AB16" s="669"/>
      <c r="AC16" s="669"/>
      <c r="AD16" s="669"/>
      <c r="AE16" s="669"/>
      <c r="AF16" s="669"/>
      <c r="AG16" s="669"/>
      <c r="AH16" s="669"/>
      <c r="AI16" s="669"/>
      <c r="AJ16" s="669"/>
      <c r="AK16" s="669"/>
      <c r="AL16" s="669"/>
      <c r="AM16" s="669"/>
      <c r="AN16" s="669"/>
      <c r="AO16" s="669"/>
      <c r="AP16" s="669"/>
      <c r="AQ16" s="669"/>
      <c r="AR16" s="669"/>
      <c r="AS16" s="669"/>
      <c r="AT16" s="669"/>
      <c r="AU16" s="669"/>
      <c r="AV16" s="669"/>
      <c r="AW16" s="669"/>
      <c r="AX16" s="669"/>
      <c r="AY16" s="669"/>
      <c r="AZ16" s="669"/>
      <c r="BA16" s="669"/>
      <c r="BB16" s="669"/>
      <c r="BC16" s="669"/>
      <c r="BD16" s="669"/>
      <c r="BE16" s="669"/>
      <c r="BF16" s="669"/>
      <c r="BG16" s="669"/>
      <c r="BH16" s="669"/>
      <c r="BI16" s="669"/>
      <c r="BJ16" s="669"/>
      <c r="BK16" s="669"/>
      <c r="BL16" s="669"/>
      <c r="BM16" s="669"/>
      <c r="BN16" s="669"/>
      <c r="BO16" s="669"/>
      <c r="BP16" s="669"/>
      <c r="BQ16" s="669"/>
      <c r="BR16" s="669"/>
      <c r="BS16" s="669"/>
      <c r="BT16" s="669"/>
      <c r="BU16" s="669"/>
      <c r="BV16" s="669"/>
      <c r="BW16" s="669"/>
      <c r="BX16" s="669"/>
      <c r="BY16" s="669"/>
      <c r="BZ16" s="669"/>
      <c r="CA16" s="669"/>
      <c r="CB16" s="669"/>
      <c r="CC16" s="669"/>
      <c r="CD16" s="669"/>
      <c r="CE16" s="669"/>
      <c r="CF16" s="669"/>
      <c r="CG16" s="669"/>
      <c r="CH16" s="669"/>
      <c r="CI16" s="669"/>
      <c r="CJ16" s="669"/>
      <c r="CK16" s="669"/>
      <c r="CL16" s="669"/>
      <c r="CM16" s="669"/>
      <c r="CN16" s="669"/>
      <c r="CO16" s="669"/>
      <c r="CP16" s="669"/>
      <c r="CQ16" s="669"/>
      <c r="CR16" s="669"/>
      <c r="CS16" s="669"/>
      <c r="CT16" s="669"/>
      <c r="CU16" s="669"/>
      <c r="CV16" s="669"/>
      <c r="CW16" s="9"/>
      <c r="CX16" s="9"/>
      <c r="CY16" s="9"/>
      <c r="CZ16" s="9"/>
      <c r="DA16" s="9"/>
      <c r="DB16" s="9"/>
      <c r="DC16" s="9"/>
      <c r="DD16" s="9"/>
      <c r="DE16" s="9"/>
      <c r="DF16" s="9"/>
      <c r="DG16" s="9"/>
      <c r="DH16" s="9"/>
      <c r="DI16" s="9"/>
      <c r="DJ16" s="9"/>
      <c r="DK16" s="9"/>
      <c r="DL16" s="9"/>
      <c r="DM16" s="9"/>
      <c r="DN16" s="9"/>
      <c r="DO16" s="9"/>
      <c r="DP16" s="9"/>
      <c r="DQ16" s="9"/>
      <c r="DR16" s="9"/>
      <c r="DS16" s="9"/>
      <c r="DT16" s="9"/>
      <c r="DU16" s="9"/>
      <c r="DV16" s="9"/>
      <c r="DW16" s="9"/>
      <c r="DX16" s="9"/>
      <c r="DY16" s="9"/>
      <c r="DZ16" s="9"/>
      <c r="EA16" s="9"/>
      <c r="EB16" s="9"/>
      <c r="EC16" s="9"/>
      <c r="ED16" s="9"/>
      <c r="EE16" s="9"/>
      <c r="EF16" s="9"/>
      <c r="EG16" s="9"/>
      <c r="EH16" s="9"/>
      <c r="EI16" s="9"/>
      <c r="EJ16" s="9"/>
      <c r="EK16" s="9"/>
      <c r="EL16" s="9"/>
      <c r="EM16" s="9"/>
      <c r="EN16" s="9"/>
      <c r="EO16" s="9"/>
      <c r="EP16" s="9"/>
      <c r="EQ16" s="9"/>
      <c r="ER16" s="9"/>
      <c r="ES16" s="9"/>
      <c r="ET16" s="9"/>
      <c r="EU16" s="9"/>
      <c r="EV16" s="9"/>
      <c r="EW16" s="9"/>
      <c r="EX16" s="9"/>
      <c r="EY16" s="9"/>
      <c r="EZ16" s="9"/>
      <c r="FA16" s="9"/>
      <c r="FB16" s="9"/>
      <c r="FC16" s="9"/>
      <c r="FD16" s="9"/>
      <c r="FE16" s="9"/>
      <c r="FF16" s="9"/>
      <c r="FG16" s="9"/>
      <c r="FH16" s="9"/>
      <c r="FI16" s="9"/>
      <c r="FJ16" s="9"/>
      <c r="FK16" s="9"/>
      <c r="FL16" s="9"/>
      <c r="FM16" s="9"/>
      <c r="FN16" s="9"/>
      <c r="FO16" s="9"/>
      <c r="FP16" s="9"/>
      <c r="FQ16" s="9"/>
      <c r="FR16" s="9"/>
      <c r="FS16" s="9"/>
      <c r="FT16" s="9"/>
      <c r="FU16" s="9"/>
      <c r="FV16" s="9"/>
      <c r="FW16" s="9"/>
      <c r="FX16" s="9"/>
      <c r="FY16" s="9"/>
      <c r="FZ16" s="9"/>
      <c r="GA16" s="9"/>
      <c r="GB16" s="9"/>
      <c r="GC16" s="9"/>
      <c r="GD16" s="9"/>
      <c r="GE16" s="9"/>
      <c r="GF16" s="9"/>
      <c r="GG16" s="9"/>
      <c r="GH16" s="9"/>
      <c r="GI16" s="9"/>
      <c r="GJ16" s="9"/>
      <c r="GK16" s="9"/>
      <c r="GL16" s="9"/>
      <c r="GM16" s="9"/>
      <c r="GN16" s="9"/>
      <c r="GO16" s="9"/>
      <c r="GP16" s="9"/>
      <c r="GQ16" s="9"/>
      <c r="GR16" s="9"/>
      <c r="GS16" s="9"/>
      <c r="GT16" s="9"/>
      <c r="GU16" s="9"/>
      <c r="GV16" s="9"/>
      <c r="GW16" s="9"/>
      <c r="GX16" s="9"/>
      <c r="GY16" s="9"/>
      <c r="GZ16" s="9"/>
      <c r="HA16" s="9"/>
      <c r="HB16" s="9"/>
      <c r="HC16" s="9"/>
      <c r="HD16" s="9"/>
      <c r="HE16" s="9"/>
      <c r="HF16" s="9"/>
      <c r="HG16" s="9"/>
      <c r="HH16" s="9"/>
      <c r="HI16" s="9"/>
      <c r="HJ16" s="9"/>
      <c r="HK16" s="9"/>
      <c r="HL16" s="9"/>
      <c r="HM16" s="9"/>
      <c r="HN16" s="9"/>
      <c r="HO16" s="9"/>
      <c r="HP16" s="9"/>
      <c r="HQ16" s="9"/>
      <c r="HR16" s="9"/>
      <c r="HS16" s="9"/>
      <c r="HT16" s="9"/>
      <c r="HU16" s="9"/>
      <c r="HV16" s="9"/>
      <c r="HW16" s="9"/>
      <c r="HX16" s="9"/>
    </row>
    <row r="17" spans="1:232" ht="15">
      <c r="A17" s="372" t="s">
        <v>847</v>
      </c>
      <c r="B17" s="351">
        <f t="shared" si="2"/>
        <v>23556988000</v>
      </c>
      <c r="C17" s="351">
        <f t="shared" si="2"/>
        <v>24021908000</v>
      </c>
      <c r="D17" s="351">
        <f t="shared" si="2"/>
        <v>24487273000</v>
      </c>
      <c r="E17" s="351">
        <f t="shared" si="2"/>
        <v>25273603000</v>
      </c>
      <c r="F17" s="351">
        <f t="shared" si="2"/>
        <v>26808662000</v>
      </c>
      <c r="G17" s="351">
        <f t="shared" si="2"/>
        <v>28403204000</v>
      </c>
      <c r="H17" s="351">
        <f t="shared" si="2"/>
        <v>37825755000</v>
      </c>
      <c r="I17" s="351">
        <f t="shared" si="2"/>
        <v>48459999000</v>
      </c>
      <c r="J17" s="351"/>
      <c r="K17" s="635">
        <f>I17/H17-1</f>
        <v>0.28113765343216546</v>
      </c>
      <c r="L17" s="935"/>
      <c r="M17" s="931"/>
      <c r="N17" s="931"/>
      <c r="O17" s="931"/>
      <c r="P17" s="931"/>
      <c r="Q17" s="931"/>
      <c r="R17" s="931"/>
      <c r="S17" s="669"/>
      <c r="W17" s="669"/>
      <c r="X17" s="669"/>
      <c r="Y17" s="669"/>
      <c r="Z17" s="669"/>
      <c r="AA17" s="669"/>
      <c r="AB17" s="669"/>
      <c r="AC17" s="669"/>
      <c r="AD17" s="669"/>
      <c r="AE17" s="669"/>
      <c r="AF17" s="669"/>
      <c r="AG17" s="669"/>
      <c r="AH17" s="669"/>
      <c r="AI17" s="669"/>
      <c r="AJ17" s="669"/>
      <c r="AK17" s="669"/>
      <c r="AL17" s="669"/>
      <c r="AM17" s="669"/>
      <c r="AN17" s="669"/>
      <c r="AO17" s="669"/>
      <c r="AP17" s="669"/>
      <c r="AQ17" s="669"/>
      <c r="AR17" s="669"/>
      <c r="AS17" s="669"/>
      <c r="AT17" s="669"/>
      <c r="AU17" s="669"/>
      <c r="AV17" s="669"/>
      <c r="AW17" s="669"/>
      <c r="AX17" s="669"/>
      <c r="AY17" s="669"/>
      <c r="AZ17" s="669"/>
      <c r="BA17" s="669"/>
      <c r="BB17" s="669"/>
      <c r="BC17" s="669"/>
      <c r="BD17" s="669"/>
      <c r="BE17" s="669"/>
      <c r="BF17" s="669"/>
      <c r="BG17" s="669"/>
      <c r="BH17" s="669"/>
      <c r="BI17" s="669"/>
      <c r="BJ17" s="669"/>
      <c r="BK17" s="669"/>
      <c r="BL17" s="669"/>
      <c r="BM17" s="669"/>
      <c r="BN17" s="669"/>
      <c r="BO17" s="669"/>
      <c r="BP17" s="669"/>
      <c r="BQ17" s="669"/>
      <c r="BR17" s="669"/>
      <c r="BS17" s="669"/>
      <c r="BT17" s="669"/>
      <c r="BU17" s="669"/>
      <c r="BV17" s="669"/>
      <c r="BW17" s="669"/>
      <c r="BX17" s="669"/>
      <c r="BY17" s="669"/>
      <c r="BZ17" s="669"/>
      <c r="CA17" s="669"/>
      <c r="CB17" s="669"/>
      <c r="CC17" s="669"/>
      <c r="CD17" s="669"/>
      <c r="CE17" s="669"/>
      <c r="CF17" s="669"/>
      <c r="CG17" s="669"/>
      <c r="CH17" s="669"/>
      <c r="CI17" s="669"/>
      <c r="CJ17" s="669"/>
      <c r="CK17" s="669"/>
      <c r="CL17" s="669"/>
      <c r="CM17" s="669"/>
      <c r="CN17" s="669"/>
      <c r="CO17" s="669"/>
      <c r="CP17" s="669"/>
      <c r="CQ17" s="669"/>
      <c r="CR17" s="669"/>
      <c r="CS17" s="669"/>
      <c r="CT17" s="669"/>
      <c r="CU17" s="669"/>
      <c r="CV17" s="669"/>
      <c r="CW17" s="9"/>
      <c r="CX17" s="9"/>
      <c r="CY17" s="9"/>
      <c r="CZ17" s="9"/>
      <c r="DA17" s="9"/>
      <c r="DB17" s="9"/>
      <c r="DC17" s="9"/>
      <c r="DD17" s="9"/>
      <c r="DE17" s="9"/>
      <c r="DF17" s="9"/>
      <c r="DG17" s="9"/>
      <c r="DH17" s="9"/>
      <c r="DI17" s="9"/>
      <c r="DJ17" s="9"/>
      <c r="DK17" s="9"/>
      <c r="DL17" s="9"/>
      <c r="DM17" s="9"/>
      <c r="DN17" s="9"/>
      <c r="DO17" s="9"/>
      <c r="DP17" s="9"/>
      <c r="DQ17" s="9"/>
      <c r="DR17" s="9"/>
      <c r="DS17" s="9"/>
      <c r="DT17" s="9"/>
      <c r="DU17" s="9"/>
      <c r="DV17" s="9"/>
      <c r="DW17" s="9"/>
      <c r="DX17" s="9"/>
      <c r="DY17" s="9"/>
      <c r="DZ17" s="9"/>
      <c r="EA17" s="9"/>
      <c r="EB17" s="9"/>
      <c r="EC17" s="9"/>
      <c r="ED17" s="9"/>
      <c r="EE17" s="9"/>
      <c r="EF17" s="9"/>
      <c r="EG17" s="9"/>
      <c r="EH17" s="9"/>
      <c r="EI17" s="9"/>
      <c r="EJ17" s="9"/>
      <c r="EK17" s="9"/>
      <c r="EL17" s="9"/>
      <c r="EM17" s="9"/>
      <c r="EN17" s="9"/>
      <c r="EO17" s="9"/>
      <c r="EP17" s="9"/>
      <c r="EQ17" s="9"/>
      <c r="ER17" s="9"/>
      <c r="ES17" s="9"/>
      <c r="ET17" s="9"/>
      <c r="EU17" s="9"/>
      <c r="EV17" s="9"/>
      <c r="EW17" s="9"/>
      <c r="EX17" s="9"/>
      <c r="EY17" s="9"/>
      <c r="EZ17" s="9"/>
      <c r="FA17" s="9"/>
      <c r="FB17" s="9"/>
      <c r="FC17" s="9"/>
      <c r="FD17" s="9"/>
      <c r="FE17" s="9"/>
      <c r="FF17" s="9"/>
      <c r="FG17" s="9"/>
      <c r="FH17" s="9"/>
      <c r="FI17" s="9"/>
      <c r="FJ17" s="9"/>
      <c r="FK17" s="9"/>
      <c r="FL17" s="9"/>
      <c r="FM17" s="9"/>
      <c r="FN17" s="9"/>
      <c r="FO17" s="9"/>
      <c r="FP17" s="9"/>
      <c r="FQ17" s="9"/>
      <c r="FR17" s="9"/>
      <c r="FS17" s="9"/>
      <c r="FT17" s="9"/>
      <c r="FU17" s="9"/>
      <c r="FV17" s="9"/>
      <c r="FW17" s="9"/>
      <c r="FX17" s="9"/>
      <c r="FY17" s="9"/>
      <c r="FZ17" s="9"/>
      <c r="GA17" s="9"/>
      <c r="GB17" s="9"/>
      <c r="GC17" s="9"/>
      <c r="GD17" s="9"/>
      <c r="GE17" s="9"/>
      <c r="GF17" s="9"/>
      <c r="GG17" s="9"/>
      <c r="GH17" s="9"/>
      <c r="GI17" s="9"/>
      <c r="GJ17" s="9"/>
      <c r="GK17" s="9"/>
      <c r="GL17" s="9"/>
      <c r="GM17" s="9"/>
      <c r="GN17" s="9"/>
      <c r="GO17" s="9"/>
      <c r="GP17" s="9"/>
      <c r="GQ17" s="9"/>
      <c r="GR17" s="9"/>
      <c r="GS17" s="9"/>
      <c r="GT17" s="9"/>
      <c r="GU17" s="9"/>
      <c r="GV17" s="9"/>
      <c r="GW17" s="9"/>
      <c r="GX17" s="9"/>
      <c r="GY17" s="9"/>
      <c r="GZ17" s="9"/>
      <c r="HA17" s="9"/>
      <c r="HB17" s="9"/>
      <c r="HC17" s="9"/>
      <c r="HD17" s="9"/>
      <c r="HE17" s="9"/>
      <c r="HF17" s="9"/>
      <c r="HG17" s="9"/>
      <c r="HH17" s="9"/>
      <c r="HI17" s="9"/>
      <c r="HJ17" s="9"/>
      <c r="HK17" s="9"/>
      <c r="HL17" s="9"/>
      <c r="HM17" s="9"/>
      <c r="HN17" s="9"/>
      <c r="HO17" s="9"/>
      <c r="HP17" s="9"/>
      <c r="HQ17" s="9"/>
      <c r="HR17" s="9"/>
      <c r="HS17" s="9"/>
      <c r="HT17" s="9"/>
      <c r="HU17" s="9"/>
      <c r="HV17" s="9"/>
      <c r="HW17" s="9"/>
      <c r="HX17" s="9"/>
    </row>
    <row r="18" spans="1:232" ht="18" customHeight="1" thickBot="1">
      <c r="A18" s="17" t="s">
        <v>9</v>
      </c>
      <c r="B18" s="18">
        <f t="shared" ref="B18:I18" si="3">SUM(B16:B17)</f>
        <v>24342841000</v>
      </c>
      <c r="C18" s="18">
        <f t="shared" si="3"/>
        <v>24809461000</v>
      </c>
      <c r="D18" s="18">
        <f t="shared" si="3"/>
        <v>25309169000</v>
      </c>
      <c r="E18" s="18">
        <f t="shared" si="3"/>
        <v>26111620000</v>
      </c>
      <c r="F18" s="18">
        <f t="shared" si="3"/>
        <v>27643734000</v>
      </c>
      <c r="G18" s="18">
        <f t="shared" si="3"/>
        <v>29317261000</v>
      </c>
      <c r="H18" s="18">
        <f t="shared" si="3"/>
        <v>38785648000</v>
      </c>
      <c r="I18" s="352">
        <f t="shared" si="3"/>
        <v>49551351000</v>
      </c>
      <c r="J18" s="636"/>
      <c r="K18" s="768">
        <f>I18/H18-1</f>
        <v>0.27756924416990536</v>
      </c>
      <c r="L18" s="934"/>
      <c r="M18" s="936"/>
      <c r="N18" s="931"/>
      <c r="O18" s="931"/>
      <c r="P18" s="931"/>
      <c r="Q18" s="931"/>
      <c r="R18" s="931"/>
      <c r="S18" s="669"/>
      <c r="W18" s="669"/>
      <c r="X18" s="669"/>
      <c r="Y18" s="669"/>
      <c r="Z18" s="669"/>
      <c r="AA18" s="669"/>
      <c r="AB18" s="669"/>
      <c r="AC18" s="669"/>
      <c r="AD18" s="669"/>
      <c r="AE18" s="669"/>
      <c r="AF18" s="669"/>
      <c r="AG18" s="669"/>
      <c r="AH18" s="669"/>
      <c r="AI18" s="669"/>
      <c r="AJ18" s="669"/>
      <c r="AK18" s="669"/>
      <c r="AL18" s="669"/>
      <c r="AM18" s="669"/>
      <c r="AN18" s="669"/>
      <c r="AO18" s="669"/>
      <c r="AP18" s="669"/>
      <c r="AQ18" s="669"/>
      <c r="AR18" s="669"/>
      <c r="AS18" s="669"/>
      <c r="AT18" s="669"/>
      <c r="AU18" s="669"/>
      <c r="AV18" s="669"/>
      <c r="AW18" s="669"/>
      <c r="AX18" s="669"/>
      <c r="AY18" s="669"/>
      <c r="AZ18" s="669"/>
      <c r="BA18" s="669"/>
      <c r="BB18" s="669"/>
      <c r="BC18" s="669"/>
      <c r="BD18" s="669"/>
      <c r="BE18" s="669"/>
      <c r="BF18" s="669"/>
      <c r="BG18" s="669"/>
      <c r="BH18" s="669"/>
      <c r="BI18" s="669"/>
      <c r="BJ18" s="669"/>
      <c r="BK18" s="669"/>
      <c r="BL18" s="669"/>
      <c r="BM18" s="669"/>
      <c r="BN18" s="669"/>
      <c r="BO18" s="669"/>
      <c r="BP18" s="669"/>
      <c r="BQ18" s="669"/>
      <c r="BR18" s="669"/>
      <c r="BS18" s="669"/>
      <c r="BT18" s="669"/>
      <c r="BU18" s="669"/>
      <c r="BV18" s="669"/>
      <c r="BW18" s="669"/>
      <c r="BX18" s="669"/>
      <c r="BY18" s="669"/>
      <c r="BZ18" s="669"/>
      <c r="CA18" s="669"/>
      <c r="CB18" s="669"/>
      <c r="CC18" s="669"/>
      <c r="CD18" s="669"/>
      <c r="CE18" s="669"/>
      <c r="CF18" s="669"/>
      <c r="CG18" s="669"/>
      <c r="CH18" s="669"/>
      <c r="CI18" s="669"/>
      <c r="CJ18" s="669"/>
      <c r="CK18" s="669"/>
      <c r="CL18" s="669"/>
      <c r="CM18" s="669"/>
      <c r="CN18" s="669"/>
      <c r="CO18" s="669"/>
      <c r="CP18" s="669"/>
      <c r="CQ18" s="669"/>
      <c r="CR18" s="669"/>
      <c r="CS18" s="669"/>
      <c r="CT18" s="669"/>
      <c r="CU18" s="669"/>
      <c r="CV18" s="669"/>
      <c r="CW18" s="9"/>
      <c r="CX18" s="9"/>
      <c r="CY18" s="9"/>
      <c r="CZ18" s="9"/>
      <c r="DA18" s="9"/>
      <c r="DB18" s="9"/>
      <c r="DC18" s="9"/>
      <c r="DD18" s="9"/>
      <c r="DE18" s="9"/>
      <c r="DF18" s="9"/>
      <c r="DG18" s="9"/>
      <c r="DH18" s="9"/>
      <c r="DI18" s="9"/>
      <c r="DJ18" s="9"/>
      <c r="DK18" s="9"/>
      <c r="DL18" s="9"/>
      <c r="DM18" s="9"/>
      <c r="DN18" s="9"/>
      <c r="DO18" s="9"/>
      <c r="DP18" s="9"/>
      <c r="DQ18" s="9"/>
      <c r="DR18" s="9"/>
      <c r="DS18" s="9"/>
      <c r="DT18" s="9"/>
      <c r="DU18" s="9"/>
      <c r="DV18" s="9"/>
      <c r="DW18" s="9"/>
      <c r="DX18" s="9"/>
      <c r="DY18" s="9"/>
      <c r="DZ18" s="9"/>
      <c r="EA18" s="9"/>
      <c r="EB18" s="9"/>
      <c r="EC18" s="9"/>
      <c r="ED18" s="9"/>
      <c r="EE18" s="9"/>
      <c r="EF18" s="9"/>
      <c r="EG18" s="9"/>
      <c r="EH18" s="9"/>
      <c r="EI18" s="9"/>
      <c r="EJ18" s="9"/>
      <c r="EK18" s="9"/>
      <c r="EL18" s="9"/>
      <c r="EM18" s="9"/>
      <c r="EN18" s="9"/>
      <c r="EO18" s="9"/>
      <c r="EP18" s="9"/>
      <c r="EQ18" s="9"/>
      <c r="ER18" s="9"/>
      <c r="ES18" s="9"/>
      <c r="ET18" s="9"/>
      <c r="EU18" s="9"/>
      <c r="EV18" s="9"/>
      <c r="EW18" s="9"/>
      <c r="EX18" s="9"/>
      <c r="EY18" s="9"/>
      <c r="EZ18" s="9"/>
      <c r="FA18" s="9"/>
      <c r="FB18" s="9"/>
      <c r="FC18" s="9"/>
      <c r="FD18" s="9"/>
      <c r="FE18" s="9"/>
      <c r="FF18" s="9"/>
      <c r="FG18" s="9"/>
      <c r="FH18" s="9"/>
      <c r="FI18" s="9"/>
      <c r="FJ18" s="9"/>
      <c r="FK18" s="9"/>
      <c r="FL18" s="9"/>
      <c r="FM18" s="9"/>
      <c r="FN18" s="9"/>
      <c r="FO18" s="9"/>
      <c r="FP18" s="9"/>
      <c r="FQ18" s="9"/>
      <c r="FR18" s="9"/>
      <c r="FS18" s="9"/>
      <c r="FT18" s="9"/>
      <c r="FU18" s="9"/>
      <c r="FV18" s="9"/>
      <c r="FW18" s="9"/>
      <c r="FX18" s="9"/>
      <c r="FY18" s="9"/>
      <c r="FZ18" s="9"/>
      <c r="GA18" s="9"/>
      <c r="GB18" s="9"/>
      <c r="GC18" s="9"/>
      <c r="GD18" s="9"/>
      <c r="GE18" s="9"/>
      <c r="GF18" s="9"/>
      <c r="GG18" s="9"/>
      <c r="GH18" s="9"/>
      <c r="GI18" s="9"/>
      <c r="GJ18" s="9"/>
      <c r="GK18" s="9"/>
      <c r="GL18" s="9"/>
      <c r="GM18" s="9"/>
      <c r="GN18" s="9"/>
      <c r="GO18" s="9"/>
      <c r="GP18" s="9"/>
      <c r="GQ18" s="9"/>
      <c r="GR18" s="9"/>
      <c r="GS18" s="9"/>
      <c r="GT18" s="9"/>
      <c r="GU18" s="9"/>
      <c r="GV18" s="9"/>
      <c r="GW18" s="9"/>
      <c r="GX18" s="9"/>
      <c r="GY18" s="9"/>
      <c r="GZ18" s="9"/>
      <c r="HA18" s="9"/>
      <c r="HB18" s="9"/>
      <c r="HC18" s="9"/>
      <c r="HD18" s="9"/>
      <c r="HE18" s="9"/>
      <c r="HF18" s="9"/>
      <c r="HG18" s="9"/>
      <c r="HH18" s="9"/>
      <c r="HI18" s="9"/>
      <c r="HJ18" s="9"/>
      <c r="HK18" s="9"/>
      <c r="HL18" s="9"/>
      <c r="HM18" s="9"/>
      <c r="HN18" s="9"/>
      <c r="HO18" s="9"/>
      <c r="HP18" s="9"/>
      <c r="HQ18" s="9"/>
      <c r="HR18" s="9"/>
      <c r="HS18" s="9"/>
      <c r="HT18" s="9"/>
      <c r="HU18" s="9"/>
      <c r="HV18" s="9"/>
      <c r="HW18" s="9"/>
      <c r="HX18" s="9"/>
    </row>
    <row r="19" spans="1:232" ht="14.1" customHeight="1" thickTop="1">
      <c r="A19" s="16"/>
      <c r="B19" s="16"/>
      <c r="C19" s="16"/>
      <c r="D19" s="16"/>
      <c r="E19" s="16"/>
      <c r="F19" s="16"/>
      <c r="G19" s="16"/>
      <c r="H19" s="16"/>
      <c r="I19" s="16"/>
      <c r="J19" s="16"/>
      <c r="K19" s="21"/>
      <c r="L19" s="937"/>
      <c r="M19" s="931"/>
      <c r="N19" s="931"/>
      <c r="O19" s="931"/>
      <c r="P19" s="931"/>
      <c r="Q19" s="931"/>
      <c r="R19" s="931"/>
      <c r="S19" s="669"/>
      <c r="W19" s="669"/>
      <c r="X19" s="669"/>
      <c r="Y19" s="669"/>
      <c r="Z19" s="669"/>
      <c r="AA19" s="669"/>
      <c r="AB19" s="669"/>
      <c r="AC19" s="669"/>
      <c r="AD19" s="669"/>
      <c r="AE19" s="669"/>
      <c r="AF19" s="669"/>
      <c r="AG19" s="669"/>
      <c r="AH19" s="669"/>
      <c r="AI19" s="669"/>
      <c r="AJ19" s="669"/>
      <c r="AK19" s="669"/>
      <c r="AL19" s="669"/>
      <c r="AM19" s="669"/>
      <c r="AN19" s="669"/>
      <c r="AO19" s="669"/>
      <c r="AP19" s="669"/>
      <c r="AQ19" s="669"/>
      <c r="AR19" s="669"/>
      <c r="AS19" s="669"/>
      <c r="AT19" s="669"/>
      <c r="AU19" s="669"/>
      <c r="AV19" s="669"/>
      <c r="AW19" s="669"/>
      <c r="AX19" s="669"/>
      <c r="AY19" s="669"/>
      <c r="AZ19" s="669"/>
      <c r="BA19" s="669"/>
      <c r="BB19" s="669"/>
      <c r="BC19" s="669"/>
      <c r="BD19" s="669"/>
      <c r="BE19" s="669"/>
      <c r="BF19" s="669"/>
      <c r="BG19" s="669"/>
      <c r="BH19" s="669"/>
      <c r="BI19" s="669"/>
      <c r="BJ19" s="669"/>
      <c r="BK19" s="669"/>
      <c r="BL19" s="669"/>
      <c r="BM19" s="669"/>
      <c r="BN19" s="669"/>
      <c r="BO19" s="669"/>
      <c r="BP19" s="669"/>
      <c r="BQ19" s="669"/>
      <c r="BR19" s="669"/>
      <c r="BS19" s="669"/>
      <c r="BT19" s="669"/>
      <c r="BU19" s="669"/>
      <c r="BV19" s="669"/>
      <c r="BW19" s="669"/>
      <c r="BX19" s="669"/>
      <c r="BY19" s="669"/>
      <c r="BZ19" s="669"/>
      <c r="CA19" s="669"/>
      <c r="CB19" s="669"/>
      <c r="CC19" s="669"/>
      <c r="CD19" s="669"/>
      <c r="CE19" s="669"/>
      <c r="CF19" s="669"/>
      <c r="CG19" s="669"/>
      <c r="CH19" s="669"/>
      <c r="CI19" s="669"/>
      <c r="CJ19" s="669"/>
      <c r="CK19" s="669"/>
      <c r="CL19" s="669"/>
      <c r="CM19" s="669"/>
      <c r="CN19" s="669"/>
      <c r="CO19" s="669"/>
      <c r="CP19" s="669"/>
      <c r="CQ19" s="669"/>
      <c r="CR19" s="669"/>
      <c r="CS19" s="669"/>
      <c r="CT19" s="669"/>
      <c r="CU19" s="669"/>
      <c r="CV19" s="669"/>
      <c r="CW19" s="9"/>
      <c r="CX19" s="9"/>
      <c r="CY19" s="9"/>
      <c r="CZ19" s="9"/>
      <c r="DA19" s="9"/>
      <c r="DB19" s="9"/>
      <c r="DC19" s="9"/>
      <c r="DD19" s="9"/>
      <c r="DE19" s="9"/>
      <c r="DF19" s="9"/>
      <c r="DG19" s="9"/>
      <c r="DH19" s="9"/>
      <c r="DI19" s="9"/>
      <c r="DJ19" s="9"/>
      <c r="DK19" s="9"/>
      <c r="DL19" s="9"/>
      <c r="DM19" s="9"/>
      <c r="DN19" s="9"/>
      <c r="DO19" s="9"/>
      <c r="DP19" s="9"/>
      <c r="DQ19" s="9"/>
      <c r="DR19" s="9"/>
      <c r="DS19" s="9"/>
      <c r="DT19" s="9"/>
      <c r="DU19" s="9"/>
      <c r="DV19" s="9"/>
      <c r="DW19" s="9"/>
      <c r="DX19" s="9"/>
      <c r="DY19" s="9"/>
      <c r="DZ19" s="9"/>
      <c r="EA19" s="9"/>
      <c r="EB19" s="9"/>
      <c r="EC19" s="9"/>
      <c r="ED19" s="9"/>
      <c r="EE19" s="9"/>
      <c r="EF19" s="9"/>
      <c r="EG19" s="9"/>
      <c r="EH19" s="9"/>
      <c r="EI19" s="9"/>
      <c r="EJ19" s="9"/>
      <c r="EK19" s="9"/>
      <c r="EL19" s="9"/>
      <c r="EM19" s="9"/>
      <c r="EN19" s="9"/>
      <c r="EO19" s="9"/>
      <c r="EP19" s="9"/>
      <c r="EQ19" s="9"/>
      <c r="ER19" s="9"/>
      <c r="ES19" s="9"/>
      <c r="ET19" s="9"/>
      <c r="EU19" s="9"/>
      <c r="EV19" s="9"/>
      <c r="EW19" s="9"/>
      <c r="EX19" s="9"/>
      <c r="EY19" s="9"/>
      <c r="EZ19" s="9"/>
      <c r="FA19" s="9"/>
      <c r="FB19" s="9"/>
      <c r="FC19" s="9"/>
      <c r="FD19" s="9"/>
      <c r="FE19" s="9"/>
      <c r="FF19" s="9"/>
      <c r="FG19" s="9"/>
      <c r="FH19" s="9"/>
      <c r="FI19" s="9"/>
      <c r="FJ19" s="9"/>
      <c r="FK19" s="9"/>
      <c r="FL19" s="9"/>
      <c r="FM19" s="9"/>
      <c r="FN19" s="9"/>
      <c r="FO19" s="9"/>
      <c r="FP19" s="9"/>
      <c r="FQ19" s="9"/>
      <c r="FR19" s="9"/>
      <c r="FS19" s="9"/>
      <c r="FT19" s="9"/>
      <c r="FU19" s="9"/>
      <c r="FV19" s="9"/>
      <c r="FW19" s="9"/>
      <c r="FX19" s="9"/>
      <c r="FY19" s="9"/>
      <c r="FZ19" s="9"/>
      <c r="GA19" s="9"/>
      <c r="GB19" s="9"/>
      <c r="GC19" s="9"/>
      <c r="GD19" s="9"/>
      <c r="GE19" s="9"/>
      <c r="GF19" s="9"/>
      <c r="GG19" s="9"/>
      <c r="GH19" s="9"/>
      <c r="GI19" s="9"/>
      <c r="GJ19" s="9"/>
      <c r="GK19" s="9"/>
      <c r="GL19" s="9"/>
      <c r="GM19" s="9"/>
      <c r="GN19" s="9"/>
      <c r="GO19" s="9"/>
      <c r="GP19" s="9"/>
      <c r="GQ19" s="9"/>
      <c r="GR19" s="9"/>
      <c r="GS19" s="9"/>
      <c r="GT19" s="9"/>
      <c r="GU19" s="9"/>
      <c r="GV19" s="9"/>
      <c r="GW19" s="9"/>
      <c r="GX19" s="9"/>
      <c r="GY19" s="9"/>
      <c r="GZ19" s="9"/>
      <c r="HA19" s="9"/>
      <c r="HB19" s="9"/>
      <c r="HC19" s="9"/>
      <c r="HD19" s="9"/>
      <c r="HE19" s="9"/>
      <c r="HF19" s="9"/>
      <c r="HG19" s="9"/>
      <c r="HH19" s="9"/>
      <c r="HI19" s="9"/>
      <c r="HJ19" s="9"/>
      <c r="HK19" s="9"/>
      <c r="HL19" s="9"/>
      <c r="HM19" s="9"/>
      <c r="HN19" s="9"/>
      <c r="HO19" s="9"/>
      <c r="HP19" s="9"/>
      <c r="HQ19" s="9"/>
      <c r="HR19" s="9"/>
      <c r="HS19" s="9"/>
      <c r="HT19" s="9"/>
      <c r="HU19" s="9"/>
      <c r="HV19" s="9"/>
      <c r="HW19" s="9"/>
      <c r="HX19" s="9"/>
    </row>
    <row r="20" spans="1:232" ht="12" customHeight="1">
      <c r="A20" s="9" t="s">
        <v>1</v>
      </c>
      <c r="B20" s="946"/>
      <c r="C20" s="946"/>
      <c r="D20" s="946"/>
      <c r="E20" s="946"/>
      <c r="F20" s="946"/>
      <c r="G20" s="946"/>
      <c r="H20" s="946"/>
      <c r="I20" s="946"/>
      <c r="J20" s="947"/>
      <c r="K20" s="20"/>
      <c r="L20" s="930"/>
      <c r="M20" s="931"/>
      <c r="N20" s="931"/>
      <c r="O20" s="931"/>
      <c r="P20" s="931"/>
      <c r="Q20" s="931"/>
      <c r="R20" s="931"/>
      <c r="S20" s="669"/>
      <c r="W20" s="669"/>
      <c r="X20" s="669"/>
      <c r="Y20" s="669"/>
      <c r="Z20" s="669"/>
      <c r="AA20" s="669"/>
      <c r="AB20" s="669"/>
      <c r="AC20" s="669"/>
      <c r="AD20" s="669"/>
      <c r="AE20" s="669"/>
      <c r="AF20" s="669"/>
      <c r="AG20" s="669"/>
      <c r="AH20" s="669"/>
      <c r="AI20" s="669"/>
      <c r="AJ20" s="669"/>
      <c r="AK20" s="669"/>
      <c r="AL20" s="669"/>
      <c r="AM20" s="669"/>
      <c r="AN20" s="669"/>
      <c r="AO20" s="669"/>
      <c r="AP20" s="669"/>
      <c r="AQ20" s="669"/>
      <c r="AR20" s="669"/>
      <c r="AS20" s="669"/>
      <c r="AT20" s="669"/>
      <c r="AU20" s="669"/>
      <c r="AV20" s="669"/>
      <c r="AW20" s="669"/>
      <c r="AX20" s="669"/>
      <c r="AY20" s="669"/>
      <c r="AZ20" s="669"/>
      <c r="BA20" s="669"/>
      <c r="BB20" s="669"/>
      <c r="BC20" s="669"/>
      <c r="BD20" s="669"/>
      <c r="BE20" s="669"/>
      <c r="BF20" s="669"/>
      <c r="BG20" s="669"/>
      <c r="BH20" s="669"/>
      <c r="BI20" s="669"/>
      <c r="BJ20" s="669"/>
      <c r="BK20" s="669"/>
      <c r="BL20" s="669"/>
      <c r="BM20" s="669"/>
      <c r="BN20" s="669"/>
      <c r="BO20" s="669"/>
      <c r="BP20" s="669"/>
      <c r="BQ20" s="669"/>
      <c r="BR20" s="669"/>
      <c r="BS20" s="669"/>
      <c r="BT20" s="669"/>
      <c r="BU20" s="669"/>
      <c r="BV20" s="669"/>
      <c r="BW20" s="669"/>
      <c r="BX20" s="669"/>
      <c r="BY20" s="669"/>
      <c r="BZ20" s="669"/>
      <c r="CA20" s="669"/>
      <c r="CB20" s="669"/>
      <c r="CC20" s="669"/>
      <c r="CD20" s="669"/>
      <c r="CE20" s="669"/>
      <c r="CF20" s="669"/>
      <c r="CG20" s="669"/>
      <c r="CH20" s="669"/>
      <c r="CI20" s="669"/>
      <c r="CJ20" s="669"/>
      <c r="CK20" s="669"/>
      <c r="CL20" s="669"/>
      <c r="CM20" s="669"/>
      <c r="CN20" s="669"/>
      <c r="CO20" s="669"/>
      <c r="CP20" s="669"/>
      <c r="CQ20" s="669"/>
      <c r="CR20" s="669"/>
      <c r="CS20" s="669"/>
      <c r="CT20" s="669"/>
      <c r="CU20" s="669"/>
      <c r="CV20" s="669"/>
      <c r="CW20" s="9"/>
      <c r="CX20" s="9"/>
      <c r="CY20" s="9"/>
      <c r="CZ20" s="9"/>
      <c r="DA20" s="9"/>
      <c r="DB20" s="9"/>
      <c r="DC20" s="9"/>
      <c r="DD20" s="9"/>
      <c r="DE20" s="9"/>
      <c r="DF20" s="9"/>
      <c r="DG20" s="9"/>
      <c r="DH20" s="9"/>
      <c r="DI20" s="9"/>
      <c r="DJ20" s="9"/>
      <c r="DK20" s="9"/>
      <c r="DL20" s="9"/>
      <c r="DM20" s="9"/>
      <c r="DN20" s="9"/>
      <c r="DO20" s="9"/>
      <c r="DP20" s="9"/>
      <c r="DQ20" s="9"/>
      <c r="DR20" s="9"/>
      <c r="DS20" s="9"/>
      <c r="DT20" s="9"/>
      <c r="DU20" s="9"/>
      <c r="DV20" s="9"/>
      <c r="DW20" s="9"/>
      <c r="DX20" s="9"/>
      <c r="DY20" s="9"/>
      <c r="DZ20" s="9"/>
      <c r="EA20" s="9"/>
      <c r="EB20" s="9"/>
      <c r="EC20" s="9"/>
      <c r="ED20" s="9"/>
      <c r="EE20" s="9"/>
      <c r="EF20" s="9"/>
      <c r="EG20" s="9"/>
      <c r="EH20" s="9"/>
      <c r="EI20" s="9"/>
      <c r="EJ20" s="9"/>
      <c r="EK20" s="9"/>
      <c r="EL20" s="9"/>
      <c r="EM20" s="9"/>
      <c r="EN20" s="9"/>
      <c r="EO20" s="9"/>
      <c r="EP20" s="9"/>
      <c r="EQ20" s="9"/>
      <c r="ER20" s="9"/>
      <c r="ES20" s="9"/>
      <c r="ET20" s="9"/>
      <c r="EU20" s="9"/>
      <c r="EV20" s="9"/>
      <c r="EW20" s="9"/>
      <c r="EX20" s="9"/>
      <c r="EY20" s="9"/>
      <c r="EZ20" s="9"/>
      <c r="FA20" s="9"/>
      <c r="FB20" s="9"/>
      <c r="FC20" s="9"/>
      <c r="FD20" s="9"/>
      <c r="FE20" s="9"/>
      <c r="FF20" s="9"/>
      <c r="FG20" s="9"/>
      <c r="FH20" s="9"/>
      <c r="FI20" s="9"/>
      <c r="FJ20" s="9"/>
      <c r="FK20" s="9"/>
      <c r="FL20" s="9"/>
      <c r="FM20" s="9"/>
      <c r="FN20" s="9"/>
      <c r="FO20" s="9"/>
      <c r="FP20" s="9"/>
      <c r="FQ20" s="9"/>
      <c r="FR20" s="9"/>
      <c r="FS20" s="9"/>
      <c r="FT20" s="9"/>
      <c r="FU20" s="9"/>
      <c r="FV20" s="9"/>
      <c r="FW20" s="9"/>
      <c r="FX20" s="9"/>
      <c r="FY20" s="9"/>
      <c r="FZ20" s="9"/>
      <c r="GA20" s="9"/>
      <c r="GB20" s="9"/>
      <c r="GC20" s="9"/>
      <c r="GD20" s="9"/>
      <c r="GE20" s="9"/>
      <c r="GF20" s="9"/>
      <c r="GG20" s="9"/>
      <c r="GH20" s="9"/>
      <c r="GI20" s="9"/>
      <c r="GJ20" s="9"/>
      <c r="GK20" s="9"/>
      <c r="GL20" s="9"/>
      <c r="GM20" s="9"/>
      <c r="GN20" s="9"/>
      <c r="GO20" s="9"/>
      <c r="GP20" s="9"/>
      <c r="GQ20" s="9"/>
      <c r="GR20" s="9"/>
      <c r="GS20" s="9"/>
      <c r="GT20" s="9"/>
      <c r="GU20" s="9"/>
      <c r="GV20" s="9"/>
      <c r="GW20" s="9"/>
      <c r="GX20" s="9"/>
      <c r="GY20" s="9"/>
      <c r="GZ20" s="9"/>
      <c r="HA20" s="9"/>
      <c r="HB20" s="9"/>
      <c r="HC20" s="9"/>
      <c r="HD20" s="9"/>
      <c r="HE20" s="9"/>
      <c r="HF20" s="9"/>
      <c r="HG20" s="9"/>
      <c r="HH20" s="9"/>
      <c r="HI20" s="9"/>
      <c r="HJ20" s="9"/>
      <c r="HK20" s="9"/>
      <c r="HL20" s="9"/>
      <c r="HM20" s="9"/>
      <c r="HN20" s="9"/>
      <c r="HO20" s="9"/>
      <c r="HP20" s="9"/>
      <c r="HQ20" s="9"/>
      <c r="HR20" s="9"/>
      <c r="HS20" s="9"/>
      <c r="HT20" s="9"/>
      <c r="HU20" s="9"/>
      <c r="HV20" s="9"/>
      <c r="HW20" s="9"/>
      <c r="HX20" s="9"/>
    </row>
    <row r="21" spans="1:232" ht="12" customHeight="1">
      <c r="A21" s="9" t="s">
        <v>10</v>
      </c>
      <c r="B21" s="947"/>
      <c r="C21" s="947"/>
      <c r="D21" s="947"/>
      <c r="E21" s="947"/>
      <c r="F21" s="947"/>
      <c r="G21" s="947"/>
      <c r="H21" s="947"/>
      <c r="I21" s="948"/>
      <c r="J21" s="947"/>
      <c r="K21" s="20"/>
      <c r="L21" s="930"/>
      <c r="M21" s="931"/>
      <c r="N21" s="931"/>
      <c r="O21" s="931"/>
      <c r="P21" s="931"/>
      <c r="Q21" s="931"/>
      <c r="R21" s="931"/>
      <c r="S21" s="669"/>
      <c r="W21" s="669"/>
      <c r="X21" s="669"/>
      <c r="Y21" s="669"/>
      <c r="Z21" s="669"/>
      <c r="AA21" s="669"/>
      <c r="AB21" s="669"/>
      <c r="AC21" s="669"/>
      <c r="AD21" s="669"/>
      <c r="AE21" s="669"/>
      <c r="AF21" s="669"/>
      <c r="AG21" s="669"/>
      <c r="AH21" s="669"/>
      <c r="AI21" s="669"/>
      <c r="AJ21" s="669"/>
      <c r="AK21" s="669"/>
      <c r="AL21" s="669"/>
      <c r="AM21" s="669"/>
      <c r="AN21" s="669"/>
      <c r="AO21" s="669"/>
      <c r="AP21" s="669"/>
      <c r="AQ21" s="669"/>
      <c r="AR21" s="669"/>
      <c r="AS21" s="669"/>
      <c r="AT21" s="669"/>
      <c r="AU21" s="669"/>
      <c r="AV21" s="669"/>
      <c r="AW21" s="669"/>
      <c r="AX21" s="669"/>
      <c r="AY21" s="669"/>
      <c r="AZ21" s="669"/>
      <c r="BA21" s="669"/>
      <c r="BB21" s="669"/>
      <c r="BC21" s="669"/>
      <c r="BD21" s="669"/>
      <c r="BE21" s="669"/>
      <c r="BF21" s="669"/>
      <c r="BG21" s="669"/>
      <c r="BH21" s="669"/>
      <c r="BI21" s="669"/>
      <c r="BJ21" s="669"/>
      <c r="BK21" s="669"/>
      <c r="BL21" s="669"/>
      <c r="BM21" s="669"/>
      <c r="BN21" s="669"/>
      <c r="BO21" s="669"/>
      <c r="BP21" s="669"/>
      <c r="BQ21" s="669"/>
      <c r="BR21" s="669"/>
      <c r="BS21" s="669"/>
      <c r="BT21" s="669"/>
      <c r="BU21" s="669"/>
      <c r="BV21" s="669"/>
      <c r="BW21" s="669"/>
      <c r="BX21" s="669"/>
      <c r="BY21" s="669"/>
      <c r="BZ21" s="669"/>
      <c r="CA21" s="669"/>
      <c r="CB21" s="669"/>
      <c r="CC21" s="669"/>
      <c r="CD21" s="669"/>
      <c r="CE21" s="669"/>
      <c r="CF21" s="669"/>
      <c r="CG21" s="669"/>
      <c r="CH21" s="669"/>
      <c r="CI21" s="669"/>
      <c r="CJ21" s="669"/>
      <c r="CK21" s="669"/>
      <c r="CL21" s="669"/>
      <c r="CM21" s="669"/>
      <c r="CN21" s="669"/>
      <c r="CO21" s="669"/>
      <c r="CP21" s="669"/>
      <c r="CQ21" s="669"/>
      <c r="CR21" s="669"/>
      <c r="CS21" s="669"/>
      <c r="CT21" s="669"/>
      <c r="CU21" s="669"/>
      <c r="CV21" s="669"/>
      <c r="CW21" s="9"/>
      <c r="CX21" s="9"/>
      <c r="CY21" s="9"/>
      <c r="CZ21" s="9"/>
      <c r="DA21" s="9"/>
      <c r="DB21" s="9"/>
      <c r="DC21" s="9"/>
      <c r="DD21" s="9"/>
      <c r="DE21" s="9"/>
      <c r="DF21" s="9"/>
      <c r="DG21" s="9"/>
      <c r="DH21" s="9"/>
      <c r="DI21" s="9"/>
      <c r="DJ21" s="9"/>
      <c r="DK21" s="9"/>
      <c r="DL21" s="9"/>
      <c r="DM21" s="9"/>
      <c r="DN21" s="9"/>
      <c r="DO21" s="9"/>
      <c r="DP21" s="9"/>
      <c r="DQ21" s="9"/>
      <c r="DR21" s="9"/>
      <c r="DS21" s="9"/>
      <c r="DT21" s="9"/>
      <c r="DU21" s="9"/>
      <c r="DV21" s="9"/>
      <c r="DW21" s="9"/>
      <c r="DX21" s="9"/>
      <c r="DY21" s="9"/>
      <c r="DZ21" s="9"/>
      <c r="EA21" s="9"/>
      <c r="EB21" s="9"/>
      <c r="EC21" s="9"/>
      <c r="ED21" s="9"/>
      <c r="EE21" s="9"/>
      <c r="EF21" s="9"/>
      <c r="EG21" s="9"/>
      <c r="EH21" s="9"/>
      <c r="EI21" s="9"/>
      <c r="EJ21" s="9"/>
      <c r="EK21" s="9"/>
      <c r="EL21" s="9"/>
      <c r="EM21" s="9"/>
      <c r="EN21" s="9"/>
      <c r="EO21" s="9"/>
      <c r="EP21" s="9"/>
      <c r="EQ21" s="9"/>
      <c r="ER21" s="9"/>
      <c r="ES21" s="9"/>
      <c r="ET21" s="9"/>
      <c r="EU21" s="9"/>
      <c r="EV21" s="9"/>
      <c r="EW21" s="9"/>
      <c r="EX21" s="9"/>
      <c r="EY21" s="9"/>
      <c r="EZ21" s="9"/>
      <c r="FA21" s="9"/>
      <c r="FB21" s="9"/>
      <c r="FC21" s="9"/>
      <c r="FD21" s="9"/>
      <c r="FE21" s="9"/>
      <c r="FF21" s="9"/>
      <c r="FG21" s="9"/>
      <c r="FH21" s="9"/>
      <c r="FI21" s="9"/>
      <c r="FJ21" s="9"/>
      <c r="FK21" s="9"/>
      <c r="FL21" s="9"/>
      <c r="FM21" s="9"/>
      <c r="FN21" s="9"/>
      <c r="FO21" s="9"/>
      <c r="FP21" s="9"/>
      <c r="FQ21" s="9"/>
      <c r="FR21" s="9"/>
      <c r="FS21" s="9"/>
      <c r="FT21" s="9"/>
      <c r="FU21" s="9"/>
      <c r="FV21" s="9"/>
      <c r="FW21" s="9"/>
      <c r="FX21" s="9"/>
      <c r="FY21" s="9"/>
      <c r="FZ21" s="9"/>
      <c r="GA21" s="9"/>
      <c r="GB21" s="9"/>
      <c r="GC21" s="9"/>
      <c r="GD21" s="9"/>
      <c r="GE21" s="9"/>
      <c r="GF21" s="9"/>
      <c r="GG21" s="9"/>
      <c r="GH21" s="9"/>
      <c r="GI21" s="9"/>
      <c r="GJ21" s="9"/>
      <c r="GK21" s="9"/>
      <c r="GL21" s="9"/>
      <c r="GM21" s="9"/>
      <c r="GN21" s="9"/>
      <c r="GO21" s="9"/>
      <c r="GP21" s="9"/>
      <c r="GQ21" s="9"/>
      <c r="GR21" s="9"/>
      <c r="GS21" s="9"/>
      <c r="GT21" s="9"/>
      <c r="GU21" s="9"/>
      <c r="GV21" s="9"/>
      <c r="GW21" s="9"/>
      <c r="GX21" s="9"/>
      <c r="GY21" s="9"/>
      <c r="GZ21" s="9"/>
      <c r="HA21" s="9"/>
      <c r="HB21" s="9"/>
      <c r="HC21" s="9"/>
      <c r="HD21" s="9"/>
      <c r="HE21" s="9"/>
      <c r="HF21" s="9"/>
      <c r="HG21" s="9"/>
      <c r="HH21" s="9"/>
      <c r="HI21" s="9"/>
      <c r="HJ21" s="9"/>
      <c r="HK21" s="9"/>
      <c r="HL21" s="9"/>
      <c r="HM21" s="9"/>
      <c r="HN21" s="9"/>
      <c r="HO21" s="9"/>
      <c r="HP21" s="9"/>
      <c r="HQ21" s="9"/>
      <c r="HR21" s="9"/>
      <c r="HS21" s="9"/>
      <c r="HT21" s="9"/>
      <c r="HU21" s="9"/>
      <c r="HV21" s="9"/>
      <c r="HW21" s="9"/>
      <c r="HX21" s="9"/>
    </row>
    <row r="22" spans="1:232" ht="14.25" customHeight="1">
      <c r="A22" s="9" t="s">
        <v>955</v>
      </c>
      <c r="B22" s="9"/>
      <c r="C22" s="9"/>
      <c r="D22" s="9"/>
      <c r="E22" s="9"/>
      <c r="F22" s="9"/>
      <c r="G22" s="9"/>
      <c r="H22" s="947"/>
      <c r="I22" s="947"/>
      <c r="J22" s="947"/>
      <c r="K22" s="947"/>
      <c r="L22" s="754"/>
      <c r="M22" s="610"/>
      <c r="N22" s="610"/>
      <c r="O22" s="610"/>
      <c r="P22" s="610"/>
      <c r="Q22" s="610"/>
      <c r="R22" s="610"/>
      <c r="S22" s="669"/>
      <c r="W22" s="669"/>
      <c r="X22" s="669"/>
      <c r="Y22" s="669"/>
      <c r="Z22" s="669"/>
      <c r="AA22" s="669"/>
      <c r="AB22" s="669"/>
      <c r="AC22" s="669"/>
      <c r="AD22" s="669"/>
      <c r="AE22" s="669"/>
      <c r="AF22" s="669"/>
      <c r="AG22" s="669"/>
      <c r="AH22" s="669"/>
      <c r="AI22" s="669"/>
      <c r="AJ22" s="669"/>
      <c r="AK22" s="669"/>
      <c r="AL22" s="669"/>
      <c r="AM22" s="669"/>
      <c r="AN22" s="669"/>
      <c r="AO22" s="669"/>
      <c r="AP22" s="669"/>
      <c r="AQ22" s="669"/>
      <c r="AR22" s="669"/>
      <c r="AS22" s="669"/>
      <c r="AT22" s="669"/>
      <c r="AU22" s="669"/>
      <c r="AV22" s="669"/>
      <c r="AW22" s="669"/>
      <c r="AX22" s="669"/>
      <c r="AY22" s="669"/>
      <c r="AZ22" s="669"/>
      <c r="BA22" s="669"/>
      <c r="BB22" s="669"/>
      <c r="BC22" s="669"/>
      <c r="BD22" s="669"/>
      <c r="BE22" s="669"/>
      <c r="BF22" s="669"/>
      <c r="BG22" s="669"/>
      <c r="BH22" s="669"/>
      <c r="BI22" s="669"/>
      <c r="BJ22" s="669"/>
      <c r="BK22" s="669"/>
      <c r="BL22" s="669"/>
      <c r="BM22" s="669"/>
      <c r="BN22" s="669"/>
      <c r="BO22" s="669"/>
      <c r="BP22" s="669"/>
      <c r="BQ22" s="669"/>
      <c r="BR22" s="669"/>
      <c r="BS22" s="669"/>
      <c r="BT22" s="669"/>
      <c r="BU22" s="669"/>
      <c r="BV22" s="669"/>
      <c r="BW22" s="669"/>
      <c r="BX22" s="669"/>
      <c r="BY22" s="669"/>
      <c r="BZ22" s="669"/>
      <c r="CA22" s="669"/>
      <c r="CB22" s="669"/>
      <c r="CC22" s="669"/>
      <c r="CD22" s="669"/>
      <c r="CE22" s="669"/>
      <c r="CF22" s="669"/>
      <c r="CG22" s="669"/>
      <c r="CH22" s="669"/>
      <c r="CI22" s="669"/>
      <c r="CJ22" s="669"/>
      <c r="CK22" s="669"/>
      <c r="CL22" s="669"/>
      <c r="CM22" s="669"/>
      <c r="CN22" s="669"/>
      <c r="CO22" s="669"/>
      <c r="CP22" s="669"/>
      <c r="CQ22" s="669"/>
      <c r="CR22" s="669"/>
      <c r="CS22" s="669"/>
      <c r="CT22" s="669"/>
      <c r="CU22" s="669"/>
      <c r="CV22" s="669"/>
      <c r="CW22" s="9"/>
      <c r="CX22" s="9"/>
      <c r="CY22" s="9"/>
      <c r="CZ22" s="9"/>
      <c r="DA22" s="9"/>
      <c r="DB22" s="9"/>
      <c r="DC22" s="9"/>
      <c r="DD22" s="9"/>
      <c r="DE22" s="9"/>
      <c r="DF22" s="9"/>
      <c r="DG22" s="9"/>
      <c r="DH22" s="9"/>
      <c r="DI22" s="9"/>
      <c r="DJ22" s="9"/>
      <c r="DK22" s="9"/>
      <c r="DL22" s="9"/>
      <c r="DM22" s="9"/>
      <c r="DN22" s="9"/>
      <c r="DO22" s="9"/>
      <c r="DP22" s="9"/>
      <c r="DQ22" s="9"/>
      <c r="DR22" s="9"/>
      <c r="DS22" s="9"/>
      <c r="DT22" s="9"/>
      <c r="DU22" s="9"/>
      <c r="DV22" s="9"/>
      <c r="DW22" s="9"/>
      <c r="DX22" s="9"/>
      <c r="DY22" s="9"/>
      <c r="DZ22" s="9"/>
      <c r="EA22" s="9"/>
      <c r="EB22" s="9"/>
      <c r="EC22" s="9"/>
      <c r="ED22" s="9"/>
      <c r="EE22" s="9"/>
      <c r="EF22" s="9"/>
      <c r="EG22" s="9"/>
      <c r="EH22" s="9"/>
      <c r="EI22" s="9"/>
      <c r="EJ22" s="9"/>
      <c r="EK22" s="9"/>
      <c r="EL22" s="9"/>
      <c r="EM22" s="9"/>
      <c r="EN22" s="9"/>
      <c r="EO22" s="9"/>
      <c r="EP22" s="9"/>
      <c r="EQ22" s="9"/>
      <c r="ER22" s="9"/>
      <c r="ES22" s="9"/>
      <c r="ET22" s="9"/>
      <c r="EU22" s="9"/>
      <c r="EV22" s="9"/>
      <c r="EW22" s="9"/>
      <c r="EX22" s="9"/>
      <c r="EY22" s="9"/>
      <c r="EZ22" s="9"/>
      <c r="FA22" s="9"/>
      <c r="FB22" s="9"/>
      <c r="FC22" s="9"/>
      <c r="FD22" s="9"/>
      <c r="FE22" s="9"/>
      <c r="FF22" s="9"/>
      <c r="FG22" s="9"/>
      <c r="FH22" s="9"/>
      <c r="FI22" s="9"/>
      <c r="FJ22" s="9"/>
      <c r="FK22" s="9"/>
      <c r="FL22" s="9"/>
      <c r="FM22" s="9"/>
      <c r="FN22" s="9"/>
      <c r="FO22" s="9"/>
      <c r="FP22" s="9"/>
      <c r="FQ22" s="9"/>
      <c r="FR22" s="9"/>
      <c r="FS22" s="9"/>
      <c r="FT22" s="9"/>
      <c r="FU22" s="9"/>
      <c r="FV22" s="9"/>
      <c r="FW22" s="9"/>
      <c r="FX22" s="9"/>
      <c r="FY22" s="9"/>
      <c r="FZ22" s="9"/>
      <c r="GA22" s="9"/>
      <c r="GB22" s="9"/>
      <c r="GC22" s="9"/>
      <c r="GD22" s="9"/>
      <c r="GE22" s="9"/>
      <c r="GF22" s="9"/>
      <c r="GG22" s="9"/>
      <c r="GH22" s="9"/>
      <c r="GI22" s="9"/>
      <c r="GJ22" s="9"/>
      <c r="GK22" s="9"/>
      <c r="GL22" s="9"/>
      <c r="GM22" s="9"/>
      <c r="GN22" s="9"/>
      <c r="GO22" s="9"/>
      <c r="GP22" s="9"/>
      <c r="GQ22" s="9"/>
      <c r="GR22" s="9"/>
      <c r="GS22" s="9"/>
      <c r="GT22" s="9"/>
      <c r="GU22" s="9"/>
      <c r="GV22" s="9"/>
      <c r="GW22" s="9"/>
      <c r="GX22" s="9"/>
      <c r="GY22" s="9"/>
      <c r="GZ22" s="9"/>
      <c r="HA22" s="9"/>
      <c r="HB22" s="9"/>
      <c r="HC22" s="9"/>
      <c r="HD22" s="9"/>
      <c r="HE22" s="9"/>
      <c r="HF22" s="9"/>
      <c r="HG22" s="9"/>
      <c r="HH22" s="9"/>
      <c r="HI22" s="9"/>
      <c r="HJ22" s="9"/>
      <c r="HK22" s="9"/>
      <c r="HL22" s="9"/>
      <c r="HM22" s="9"/>
      <c r="HN22" s="9"/>
      <c r="HO22" s="9"/>
      <c r="HP22" s="9"/>
      <c r="HQ22" s="9"/>
      <c r="HR22" s="9"/>
      <c r="HS22" s="9"/>
      <c r="HT22" s="9"/>
      <c r="HU22" s="9"/>
      <c r="HV22" s="9"/>
      <c r="HW22" s="9"/>
      <c r="HX22" s="9"/>
    </row>
    <row r="23" spans="1:232" ht="14.1" customHeight="1">
      <c r="A23" s="9" t="s">
        <v>943</v>
      </c>
      <c r="B23" s="949"/>
      <c r="C23" s="949"/>
      <c r="D23" s="949"/>
      <c r="E23" s="949"/>
      <c r="F23" s="949"/>
      <c r="G23" s="949"/>
      <c r="H23" s="949"/>
      <c r="I23" s="949"/>
      <c r="J23" s="947"/>
      <c r="K23" s="23"/>
      <c r="L23" s="754"/>
      <c r="M23" s="610"/>
      <c r="N23" s="610"/>
      <c r="O23" s="610"/>
      <c r="P23" s="610"/>
      <c r="Q23" s="610"/>
      <c r="R23" s="610"/>
      <c r="S23" s="669"/>
      <c r="W23" s="669"/>
      <c r="X23" s="669"/>
      <c r="Y23" s="669"/>
      <c r="Z23" s="669"/>
      <c r="AA23" s="669"/>
      <c r="AB23" s="669"/>
      <c r="AC23" s="669"/>
      <c r="AD23" s="669"/>
      <c r="AE23" s="669"/>
      <c r="AF23" s="669"/>
      <c r="AG23" s="669"/>
      <c r="AH23" s="669"/>
      <c r="AI23" s="669"/>
      <c r="AJ23" s="669"/>
      <c r="AK23" s="669"/>
      <c r="AL23" s="669"/>
      <c r="AM23" s="669"/>
      <c r="AN23" s="669"/>
      <c r="AO23" s="669"/>
      <c r="AP23" s="669"/>
      <c r="AQ23" s="669"/>
      <c r="AR23" s="669"/>
      <c r="AS23" s="669"/>
      <c r="AT23" s="669"/>
      <c r="AU23" s="669"/>
      <c r="AV23" s="669"/>
      <c r="AW23" s="669"/>
      <c r="AX23" s="669"/>
      <c r="AY23" s="669"/>
      <c r="AZ23" s="669"/>
      <c r="BA23" s="669"/>
      <c r="BB23" s="669"/>
      <c r="BC23" s="669"/>
      <c r="BD23" s="669"/>
      <c r="BE23" s="669"/>
      <c r="BF23" s="669"/>
      <c r="BG23" s="669"/>
      <c r="BH23" s="669"/>
      <c r="BI23" s="669"/>
      <c r="BJ23" s="669"/>
      <c r="BK23" s="669"/>
      <c r="BL23" s="669"/>
      <c r="BM23" s="669"/>
      <c r="BN23" s="669"/>
      <c r="BO23" s="669"/>
      <c r="BP23" s="669"/>
      <c r="BQ23" s="669"/>
      <c r="BR23" s="669"/>
      <c r="BS23" s="669"/>
      <c r="BT23" s="669"/>
      <c r="BU23" s="669"/>
      <c r="BV23" s="669"/>
      <c r="BW23" s="669"/>
      <c r="BX23" s="669"/>
      <c r="BY23" s="669"/>
      <c r="BZ23" s="669"/>
      <c r="CA23" s="669"/>
      <c r="CB23" s="669"/>
      <c r="CC23" s="669"/>
      <c r="CD23" s="669"/>
      <c r="CE23" s="669"/>
      <c r="CF23" s="669"/>
      <c r="CG23" s="669"/>
      <c r="CH23" s="669"/>
      <c r="CI23" s="669"/>
      <c r="CJ23" s="669"/>
      <c r="CK23" s="669"/>
      <c r="CL23" s="669"/>
      <c r="CM23" s="669"/>
      <c r="CN23" s="669"/>
      <c r="CO23" s="669"/>
      <c r="CP23" s="669"/>
      <c r="CQ23" s="669"/>
      <c r="CR23" s="669"/>
      <c r="CS23" s="669"/>
      <c r="CT23" s="669"/>
      <c r="CU23" s="669"/>
      <c r="CV23" s="669"/>
      <c r="CW23" s="9"/>
      <c r="CX23" s="9"/>
      <c r="CY23" s="9"/>
      <c r="CZ23" s="9"/>
      <c r="DA23" s="9"/>
      <c r="DB23" s="9"/>
      <c r="DC23" s="9"/>
      <c r="DD23" s="9"/>
      <c r="DE23" s="9"/>
      <c r="DF23" s="9"/>
      <c r="DG23" s="9"/>
      <c r="DH23" s="9"/>
      <c r="DI23" s="9"/>
      <c r="DJ23" s="9"/>
      <c r="DK23" s="9"/>
      <c r="DL23" s="9"/>
      <c r="DM23" s="9"/>
      <c r="DN23" s="9"/>
      <c r="DO23" s="9"/>
      <c r="DP23" s="9"/>
      <c r="DQ23" s="9"/>
      <c r="DR23" s="9"/>
      <c r="DS23" s="9"/>
      <c r="DT23" s="9"/>
      <c r="DU23" s="9"/>
      <c r="DV23" s="9"/>
      <c r="DW23" s="9"/>
      <c r="DX23" s="9"/>
      <c r="DY23" s="9"/>
      <c r="DZ23" s="9"/>
      <c r="EA23" s="9"/>
      <c r="EB23" s="9"/>
      <c r="EC23" s="9"/>
      <c r="ED23" s="9"/>
      <c r="EE23" s="9"/>
      <c r="EF23" s="9"/>
      <c r="EG23" s="9"/>
      <c r="EH23" s="9"/>
      <c r="EI23" s="9"/>
      <c r="EJ23" s="9"/>
      <c r="EK23" s="9"/>
      <c r="EL23" s="9"/>
      <c r="EM23" s="9"/>
      <c r="EN23" s="9"/>
      <c r="EO23" s="9"/>
      <c r="EP23" s="9"/>
      <c r="EQ23" s="9"/>
      <c r="ER23" s="9"/>
      <c r="ES23" s="9"/>
      <c r="ET23" s="9"/>
      <c r="EU23" s="9"/>
      <c r="EV23" s="9"/>
      <c r="EW23" s="9"/>
      <c r="EX23" s="9"/>
      <c r="EY23" s="9"/>
      <c r="EZ23" s="9"/>
      <c r="FA23" s="9"/>
      <c r="FB23" s="9"/>
      <c r="FC23" s="9"/>
      <c r="FD23" s="9"/>
      <c r="FE23" s="9"/>
      <c r="FF23" s="9"/>
      <c r="FG23" s="9"/>
      <c r="FH23" s="9"/>
      <c r="FI23" s="9"/>
      <c r="FJ23" s="9"/>
      <c r="FK23" s="9"/>
      <c r="FL23" s="9"/>
      <c r="FM23" s="9"/>
      <c r="FN23" s="9"/>
      <c r="FO23" s="9"/>
      <c r="FP23" s="9"/>
      <c r="FQ23" s="9"/>
      <c r="FR23" s="9"/>
      <c r="FS23" s="9"/>
      <c r="FT23" s="9"/>
      <c r="FU23" s="9"/>
      <c r="FV23" s="9"/>
      <c r="FW23" s="9"/>
      <c r="FX23" s="9"/>
      <c r="FY23" s="9"/>
      <c r="FZ23" s="9"/>
      <c r="GA23" s="9"/>
      <c r="GB23" s="9"/>
      <c r="GC23" s="9"/>
      <c r="GD23" s="9"/>
      <c r="GE23" s="9"/>
      <c r="GF23" s="9"/>
      <c r="GG23" s="9"/>
      <c r="GH23" s="9"/>
      <c r="GI23" s="9"/>
      <c r="GJ23" s="9"/>
      <c r="GK23" s="9"/>
      <c r="GL23" s="9"/>
      <c r="GM23" s="9"/>
      <c r="GN23" s="9"/>
      <c r="GO23" s="9"/>
      <c r="GP23" s="9"/>
      <c r="GQ23" s="9"/>
      <c r="GR23" s="9"/>
      <c r="GS23" s="9"/>
      <c r="GT23" s="9"/>
      <c r="GU23" s="9"/>
      <c r="GV23" s="9"/>
      <c r="GW23" s="9"/>
      <c r="GX23" s="9"/>
      <c r="GY23" s="9"/>
      <c r="GZ23" s="9"/>
      <c r="HA23" s="9"/>
      <c r="HB23" s="9"/>
      <c r="HC23" s="9"/>
      <c r="HD23" s="9"/>
      <c r="HE23" s="9"/>
      <c r="HF23" s="9"/>
      <c r="HG23" s="9"/>
      <c r="HH23" s="9"/>
      <c r="HI23" s="9"/>
      <c r="HJ23" s="9"/>
      <c r="HK23" s="9"/>
      <c r="HL23" s="9"/>
      <c r="HM23" s="9"/>
      <c r="HN23" s="9"/>
      <c r="HO23" s="9"/>
      <c r="HP23" s="9"/>
      <c r="HQ23" s="9"/>
      <c r="HR23" s="9"/>
      <c r="HS23" s="9"/>
      <c r="HT23" s="9"/>
      <c r="HU23" s="9"/>
      <c r="HV23" s="9"/>
      <c r="HW23" s="9"/>
      <c r="HX23" s="9"/>
    </row>
    <row r="24" spans="1:232" ht="12.75" customHeight="1">
      <c r="A24" s="9"/>
      <c r="B24" s="221"/>
      <c r="C24" s="221"/>
      <c r="D24" s="221"/>
      <c r="E24" s="221"/>
      <c r="F24" s="221"/>
      <c r="G24" s="221"/>
      <c r="H24" s="221"/>
      <c r="I24" s="221"/>
      <c r="J24" s="1"/>
      <c r="K24" s="8"/>
      <c r="L24" s="754"/>
      <c r="M24" s="610"/>
      <c r="N24" s="610"/>
      <c r="O24" s="610"/>
      <c r="P24" s="610"/>
      <c r="Q24" s="610"/>
      <c r="R24" s="610"/>
      <c r="S24" s="669"/>
      <c r="W24" s="669"/>
      <c r="X24" s="669"/>
      <c r="Y24" s="669"/>
      <c r="Z24" s="669"/>
      <c r="AA24" s="669"/>
      <c r="AB24" s="669"/>
      <c r="AC24" s="669"/>
      <c r="AD24" s="669"/>
      <c r="AE24" s="669"/>
      <c r="AF24" s="669"/>
      <c r="AG24" s="669"/>
      <c r="AH24" s="669"/>
      <c r="AI24" s="669"/>
      <c r="AJ24" s="669"/>
      <c r="AK24" s="669"/>
      <c r="AL24" s="669"/>
      <c r="AM24" s="669"/>
      <c r="AN24" s="669"/>
      <c r="AO24" s="669"/>
      <c r="AP24" s="669"/>
      <c r="AQ24" s="669"/>
      <c r="AR24" s="669"/>
      <c r="AS24" s="669"/>
      <c r="AT24" s="669"/>
      <c r="AU24" s="669"/>
      <c r="AV24" s="669"/>
      <c r="AW24" s="669"/>
      <c r="AX24" s="669"/>
      <c r="AY24" s="669"/>
      <c r="AZ24" s="669"/>
      <c r="BA24" s="669"/>
      <c r="BB24" s="669"/>
      <c r="BC24" s="669"/>
      <c r="BD24" s="669"/>
      <c r="BE24" s="669"/>
      <c r="BF24" s="669"/>
      <c r="BG24" s="669"/>
      <c r="BH24" s="669"/>
      <c r="BI24" s="669"/>
      <c r="BJ24" s="669"/>
      <c r="BK24" s="669"/>
      <c r="BL24" s="669"/>
      <c r="BM24" s="669"/>
      <c r="BN24" s="669"/>
      <c r="BO24" s="669"/>
      <c r="BP24" s="669"/>
      <c r="BQ24" s="669"/>
      <c r="BR24" s="669"/>
      <c r="BS24" s="669"/>
      <c r="BT24" s="669"/>
      <c r="BU24" s="669"/>
      <c r="BV24" s="669"/>
      <c r="BW24" s="669"/>
      <c r="BX24" s="669"/>
      <c r="BY24" s="669"/>
      <c r="BZ24" s="669"/>
      <c r="CA24" s="669"/>
      <c r="CB24" s="669"/>
      <c r="CC24" s="669"/>
      <c r="CD24" s="669"/>
      <c r="CE24" s="669"/>
      <c r="CF24" s="669"/>
      <c r="CG24" s="669"/>
      <c r="CH24" s="669"/>
      <c r="CI24" s="669"/>
      <c r="CJ24" s="669"/>
      <c r="CK24" s="669"/>
      <c r="CL24" s="669"/>
      <c r="CM24" s="669"/>
      <c r="CN24" s="669"/>
      <c r="CO24" s="669"/>
      <c r="CP24" s="669"/>
      <c r="CQ24" s="669"/>
      <c r="CR24" s="669"/>
      <c r="CS24" s="669"/>
      <c r="CT24" s="669"/>
      <c r="CU24" s="669"/>
      <c r="CV24" s="669"/>
      <c r="CW24" s="9"/>
      <c r="CX24" s="9"/>
      <c r="CY24" s="9"/>
      <c r="CZ24" s="9"/>
      <c r="DA24" s="9"/>
      <c r="DB24" s="9"/>
      <c r="DC24" s="9"/>
      <c r="DD24" s="9"/>
      <c r="DE24" s="9"/>
      <c r="DF24" s="9"/>
      <c r="DG24" s="9"/>
      <c r="DH24" s="9"/>
      <c r="DI24" s="9"/>
      <c r="DJ24" s="9"/>
      <c r="DK24" s="9"/>
      <c r="DL24" s="9"/>
      <c r="DM24" s="9"/>
      <c r="DN24" s="9"/>
      <c r="DO24" s="9"/>
      <c r="DP24" s="9"/>
      <c r="DQ24" s="9"/>
      <c r="DR24" s="9"/>
      <c r="DS24" s="9"/>
      <c r="DT24" s="9"/>
      <c r="DU24" s="9"/>
      <c r="DV24" s="9"/>
      <c r="DW24" s="9"/>
      <c r="DX24" s="9"/>
      <c r="DY24" s="9"/>
      <c r="DZ24" s="9"/>
      <c r="EA24" s="9"/>
      <c r="EB24" s="9"/>
      <c r="EC24" s="9"/>
      <c r="ED24" s="9"/>
      <c r="EE24" s="9"/>
      <c r="EF24" s="9"/>
      <c r="EG24" s="9"/>
      <c r="EH24" s="9"/>
      <c r="EI24" s="9"/>
      <c r="EJ24" s="9"/>
      <c r="EK24" s="9"/>
      <c r="EL24" s="9"/>
      <c r="EM24" s="9"/>
      <c r="EN24" s="9"/>
      <c r="EO24" s="9"/>
      <c r="EP24" s="9"/>
      <c r="EQ24" s="9"/>
      <c r="ER24" s="9"/>
      <c r="ES24" s="9"/>
      <c r="ET24" s="9"/>
      <c r="EU24" s="9"/>
      <c r="EV24" s="9"/>
      <c r="EW24" s="9"/>
      <c r="EX24" s="9"/>
      <c r="EY24" s="9"/>
      <c r="EZ24" s="9"/>
      <c r="FA24" s="9"/>
      <c r="FB24" s="9"/>
      <c r="FC24" s="9"/>
      <c r="FD24" s="9"/>
      <c r="FE24" s="9"/>
      <c r="FF24" s="9"/>
      <c r="FG24" s="9"/>
      <c r="FH24" s="9"/>
      <c r="FI24" s="9"/>
      <c r="FJ24" s="9"/>
      <c r="FK24" s="9"/>
      <c r="FL24" s="9"/>
      <c r="FM24" s="9"/>
      <c r="FN24" s="9"/>
      <c r="FO24" s="9"/>
      <c r="FP24" s="9"/>
      <c r="FQ24" s="9"/>
      <c r="FR24" s="9"/>
      <c r="FS24" s="9"/>
      <c r="FT24" s="9"/>
      <c r="FU24" s="9"/>
      <c r="FV24" s="9"/>
      <c r="FW24" s="9"/>
      <c r="FX24" s="9"/>
      <c r="FY24" s="9"/>
      <c r="FZ24" s="9"/>
      <c r="GA24" s="9"/>
      <c r="GB24" s="9"/>
      <c r="GC24" s="9"/>
      <c r="GD24" s="9"/>
      <c r="GE24" s="9"/>
      <c r="GF24" s="9"/>
      <c r="GG24" s="9"/>
      <c r="GH24" s="9"/>
      <c r="GI24" s="9"/>
      <c r="GJ24" s="9"/>
      <c r="GK24" s="9"/>
      <c r="GL24" s="9"/>
      <c r="GM24" s="9"/>
      <c r="GN24" s="9"/>
      <c r="GO24" s="9"/>
      <c r="GP24" s="9"/>
      <c r="GQ24" s="9"/>
      <c r="GR24" s="9"/>
      <c r="GS24" s="9"/>
      <c r="GT24" s="9"/>
      <c r="GU24" s="9"/>
      <c r="GV24" s="9"/>
      <c r="GW24" s="9"/>
      <c r="GX24" s="9"/>
      <c r="GY24" s="9"/>
      <c r="GZ24" s="9"/>
      <c r="HA24" s="9"/>
      <c r="HB24" s="9"/>
      <c r="HC24" s="9"/>
      <c r="HD24" s="9"/>
      <c r="HE24" s="9"/>
      <c r="HF24" s="9"/>
      <c r="HG24" s="9"/>
      <c r="HH24" s="9"/>
      <c r="HI24" s="9"/>
      <c r="HJ24" s="9"/>
      <c r="HK24" s="9"/>
      <c r="HL24" s="9"/>
      <c r="HM24" s="9"/>
      <c r="HN24" s="9"/>
      <c r="HO24" s="9"/>
      <c r="HP24" s="9"/>
      <c r="HQ24" s="9"/>
      <c r="HR24" s="9"/>
      <c r="HS24" s="9"/>
      <c r="HT24" s="9"/>
      <c r="HU24" s="9"/>
      <c r="HV24" s="9"/>
      <c r="HW24" s="9"/>
      <c r="HX24" s="9"/>
    </row>
    <row r="25" spans="1:232" ht="12.75" customHeight="1">
      <c r="A25" s="9"/>
      <c r="B25" s="221"/>
      <c r="C25" s="221"/>
      <c r="D25" s="221"/>
      <c r="E25" s="221"/>
      <c r="F25" s="221"/>
      <c r="G25" s="221"/>
      <c r="H25" s="221"/>
      <c r="I25" s="221"/>
      <c r="J25" s="1"/>
      <c r="K25" s="8"/>
      <c r="L25" s="754"/>
      <c r="M25" s="610"/>
      <c r="N25" s="610"/>
      <c r="O25" s="610"/>
      <c r="P25" s="610"/>
      <c r="Q25" s="610"/>
      <c r="R25" s="610"/>
      <c r="S25" s="669"/>
      <c r="W25" s="669"/>
      <c r="X25" s="669"/>
      <c r="Y25" s="669"/>
      <c r="Z25" s="669"/>
      <c r="AA25" s="669"/>
      <c r="AB25" s="669"/>
      <c r="AC25" s="669"/>
      <c r="AD25" s="669"/>
      <c r="AE25" s="669"/>
      <c r="AF25" s="669"/>
      <c r="AG25" s="669"/>
      <c r="AH25" s="669"/>
      <c r="AI25" s="669"/>
      <c r="AJ25" s="669"/>
      <c r="AK25" s="669"/>
      <c r="AL25" s="669"/>
      <c r="AM25" s="669"/>
      <c r="AN25" s="669"/>
      <c r="AO25" s="669"/>
      <c r="AP25" s="669"/>
      <c r="AQ25" s="669"/>
      <c r="AR25" s="669"/>
      <c r="AS25" s="669"/>
      <c r="AT25" s="669"/>
      <c r="AU25" s="669"/>
      <c r="AV25" s="669"/>
      <c r="AW25" s="669"/>
      <c r="AX25" s="669"/>
      <c r="AY25" s="669"/>
      <c r="AZ25" s="669"/>
      <c r="BA25" s="669"/>
      <c r="BB25" s="669"/>
      <c r="BC25" s="669"/>
      <c r="BD25" s="669"/>
      <c r="BE25" s="669"/>
      <c r="BF25" s="669"/>
      <c r="BG25" s="669"/>
      <c r="BH25" s="669"/>
      <c r="BI25" s="669"/>
      <c r="BJ25" s="669"/>
      <c r="BK25" s="669"/>
      <c r="BL25" s="669"/>
      <c r="BM25" s="669"/>
      <c r="BN25" s="669"/>
      <c r="BO25" s="669"/>
      <c r="BP25" s="669"/>
      <c r="BQ25" s="669"/>
      <c r="BR25" s="669"/>
      <c r="BS25" s="669"/>
      <c r="BT25" s="669"/>
      <c r="BU25" s="669"/>
      <c r="BV25" s="669"/>
      <c r="BW25" s="669"/>
      <c r="BX25" s="669"/>
      <c r="BY25" s="669"/>
      <c r="BZ25" s="669"/>
      <c r="CA25" s="669"/>
      <c r="CB25" s="669"/>
      <c r="CC25" s="669"/>
      <c r="CD25" s="669"/>
      <c r="CE25" s="669"/>
      <c r="CF25" s="669"/>
      <c r="CG25" s="669"/>
      <c r="CH25" s="669"/>
      <c r="CI25" s="669"/>
      <c r="CJ25" s="669"/>
      <c r="CK25" s="669"/>
      <c r="CL25" s="669"/>
      <c r="CM25" s="669"/>
      <c r="CN25" s="669"/>
      <c r="CO25" s="669"/>
      <c r="CP25" s="669"/>
      <c r="CQ25" s="669"/>
      <c r="CR25" s="669"/>
      <c r="CS25" s="669"/>
      <c r="CT25" s="669"/>
      <c r="CU25" s="669"/>
      <c r="CV25" s="669"/>
      <c r="CW25" s="9"/>
      <c r="CX25" s="9"/>
      <c r="CY25" s="9"/>
      <c r="CZ25" s="9"/>
      <c r="DA25" s="9"/>
      <c r="DB25" s="9"/>
      <c r="DC25" s="9"/>
      <c r="DD25" s="9"/>
      <c r="DE25" s="9"/>
      <c r="DF25" s="9"/>
      <c r="DG25" s="9"/>
      <c r="DH25" s="9"/>
      <c r="DI25" s="9"/>
      <c r="DJ25" s="9"/>
      <c r="DK25" s="9"/>
      <c r="DL25" s="9"/>
      <c r="DM25" s="9"/>
      <c r="DN25" s="9"/>
      <c r="DO25" s="9"/>
      <c r="DP25" s="9"/>
      <c r="DQ25" s="9"/>
      <c r="DR25" s="9"/>
      <c r="DS25" s="9"/>
      <c r="DT25" s="9"/>
      <c r="DU25" s="9"/>
      <c r="DV25" s="9"/>
      <c r="DW25" s="9"/>
      <c r="DX25" s="9"/>
      <c r="DY25" s="9"/>
      <c r="DZ25" s="9"/>
      <c r="EA25" s="9"/>
      <c r="EB25" s="9"/>
      <c r="EC25" s="9"/>
      <c r="ED25" s="9"/>
      <c r="EE25" s="9"/>
      <c r="EF25" s="9"/>
      <c r="EG25" s="9"/>
      <c r="EH25" s="9"/>
      <c r="EI25" s="9"/>
      <c r="EJ25" s="9"/>
      <c r="EK25" s="9"/>
      <c r="EL25" s="9"/>
      <c r="EM25" s="9"/>
      <c r="EN25" s="9"/>
      <c r="EO25" s="9"/>
      <c r="EP25" s="9"/>
      <c r="EQ25" s="9"/>
      <c r="ER25" s="9"/>
      <c r="ES25" s="9"/>
      <c r="ET25" s="9"/>
      <c r="EU25" s="9"/>
      <c r="EV25" s="9"/>
      <c r="EW25" s="9"/>
      <c r="EX25" s="9"/>
      <c r="EY25" s="9"/>
      <c r="EZ25" s="9"/>
      <c r="FA25" s="9"/>
      <c r="FB25" s="9"/>
      <c r="FC25" s="9"/>
      <c r="FD25" s="9"/>
      <c r="FE25" s="9"/>
      <c r="FF25" s="9"/>
      <c r="FG25" s="9"/>
      <c r="FH25" s="9"/>
      <c r="FI25" s="9"/>
      <c r="FJ25" s="9"/>
      <c r="FK25" s="9"/>
      <c r="FL25" s="9"/>
      <c r="FM25" s="9"/>
      <c r="FN25" s="9"/>
      <c r="FO25" s="9"/>
      <c r="FP25" s="9"/>
      <c r="FQ25" s="9"/>
      <c r="FR25" s="9"/>
      <c r="FS25" s="9"/>
      <c r="FT25" s="9"/>
      <c r="FU25" s="9"/>
      <c r="FV25" s="9"/>
      <c r="FW25" s="9"/>
      <c r="FX25" s="9"/>
      <c r="FY25" s="9"/>
      <c r="FZ25" s="9"/>
      <c r="GA25" s="9"/>
      <c r="GB25" s="9"/>
      <c r="GC25" s="9"/>
      <c r="GD25" s="9"/>
      <c r="GE25" s="9"/>
      <c r="GF25" s="9"/>
      <c r="GG25" s="9"/>
      <c r="GH25" s="9"/>
      <c r="GI25" s="9"/>
      <c r="GJ25" s="9"/>
      <c r="GK25" s="9"/>
      <c r="GL25" s="9"/>
      <c r="GM25" s="9"/>
      <c r="GN25" s="9"/>
      <c r="GO25" s="9"/>
      <c r="GP25" s="9"/>
      <c r="GQ25" s="9"/>
      <c r="GR25" s="9"/>
      <c r="GS25" s="9"/>
      <c r="GT25" s="9"/>
      <c r="GU25" s="9"/>
      <c r="GV25" s="9"/>
      <c r="GW25" s="9"/>
      <c r="GX25" s="9"/>
      <c r="GY25" s="9"/>
      <c r="GZ25" s="9"/>
      <c r="HA25" s="9"/>
      <c r="HB25" s="9"/>
      <c r="HC25" s="9"/>
      <c r="HD25" s="9"/>
      <c r="HE25" s="9"/>
      <c r="HF25" s="9"/>
      <c r="HG25" s="9"/>
      <c r="HH25" s="9"/>
      <c r="HI25" s="9"/>
      <c r="HJ25" s="9"/>
      <c r="HK25" s="9"/>
      <c r="HL25" s="9"/>
      <c r="HM25" s="9"/>
      <c r="HN25" s="9"/>
      <c r="HO25" s="9"/>
      <c r="HP25" s="9"/>
      <c r="HQ25" s="9"/>
      <c r="HR25" s="9"/>
      <c r="HS25" s="9"/>
      <c r="HT25" s="9"/>
      <c r="HU25" s="9"/>
      <c r="HV25" s="9"/>
      <c r="HW25" s="9"/>
      <c r="HX25" s="9"/>
    </row>
    <row r="26" spans="1:232" ht="12.75" customHeight="1">
      <c r="A26" s="1"/>
      <c r="B26" s="221"/>
      <c r="C26" s="221"/>
      <c r="D26" s="221"/>
      <c r="E26" s="221"/>
      <c r="F26" s="221"/>
      <c r="G26" s="221"/>
      <c r="H26" s="221"/>
      <c r="I26" s="221"/>
      <c r="J26" s="1"/>
      <c r="K26" s="8"/>
      <c r="L26" s="754"/>
      <c r="M26" s="610"/>
      <c r="N26" s="610"/>
      <c r="O26" s="610"/>
      <c r="P26" s="610"/>
      <c r="Q26" s="610"/>
      <c r="R26" s="610"/>
      <c r="S26" s="669"/>
      <c r="W26" s="669"/>
      <c r="X26" s="669"/>
      <c r="Y26" s="669"/>
      <c r="Z26" s="669"/>
      <c r="AA26" s="669"/>
      <c r="AB26" s="669"/>
      <c r="AC26" s="669"/>
      <c r="AD26" s="669"/>
      <c r="AE26" s="669"/>
      <c r="AF26" s="669"/>
      <c r="AG26" s="669"/>
      <c r="AH26" s="669"/>
      <c r="AI26" s="669"/>
      <c r="AJ26" s="669"/>
      <c r="AK26" s="669"/>
      <c r="AL26" s="669"/>
      <c r="AM26" s="669"/>
      <c r="AN26" s="669"/>
      <c r="AO26" s="669"/>
      <c r="AP26" s="669"/>
      <c r="AQ26" s="669"/>
      <c r="AR26" s="669"/>
      <c r="AS26" s="669"/>
      <c r="AT26" s="669"/>
      <c r="AU26" s="669"/>
      <c r="AV26" s="669"/>
      <c r="AW26" s="669"/>
      <c r="AX26" s="669"/>
      <c r="AY26" s="669"/>
      <c r="AZ26" s="669"/>
      <c r="BA26" s="669"/>
      <c r="BB26" s="669"/>
      <c r="BC26" s="669"/>
      <c r="BD26" s="669"/>
      <c r="BE26" s="669"/>
      <c r="BF26" s="669"/>
      <c r="BG26" s="669"/>
      <c r="BH26" s="669"/>
      <c r="BI26" s="669"/>
      <c r="BJ26" s="669"/>
      <c r="BK26" s="669"/>
      <c r="BL26" s="669"/>
      <c r="BM26" s="669"/>
      <c r="BN26" s="669"/>
      <c r="BO26" s="669"/>
      <c r="BP26" s="669"/>
      <c r="BQ26" s="669"/>
      <c r="BR26" s="669"/>
      <c r="BS26" s="669"/>
      <c r="BT26" s="669"/>
      <c r="BU26" s="669"/>
      <c r="BV26" s="669"/>
      <c r="BW26" s="669"/>
      <c r="BX26" s="669"/>
      <c r="BY26" s="669"/>
      <c r="BZ26" s="669"/>
      <c r="CA26" s="669"/>
      <c r="CB26" s="669"/>
      <c r="CC26" s="669"/>
      <c r="CD26" s="669"/>
      <c r="CE26" s="669"/>
      <c r="CF26" s="669"/>
      <c r="CG26" s="669"/>
      <c r="CH26" s="669"/>
      <c r="CI26" s="669"/>
      <c r="CJ26" s="669"/>
      <c r="CK26" s="669"/>
      <c r="CL26" s="669"/>
      <c r="CM26" s="669"/>
      <c r="CN26" s="669"/>
      <c r="CO26" s="669"/>
      <c r="CP26" s="669"/>
      <c r="CQ26" s="669"/>
      <c r="CR26" s="669"/>
      <c r="CS26" s="669"/>
      <c r="CT26" s="669"/>
      <c r="CU26" s="669"/>
      <c r="CV26" s="669"/>
      <c r="CW26" s="9"/>
      <c r="CX26" s="9"/>
      <c r="CY26" s="9"/>
      <c r="CZ26" s="9"/>
      <c r="DA26" s="9"/>
      <c r="DB26" s="9"/>
      <c r="DC26" s="9"/>
      <c r="DD26" s="9"/>
      <c r="DE26" s="9"/>
      <c r="DF26" s="9"/>
      <c r="DG26" s="9"/>
      <c r="DH26" s="9"/>
      <c r="DI26" s="9"/>
      <c r="DJ26" s="9"/>
      <c r="DK26" s="9"/>
      <c r="DL26" s="9"/>
      <c r="DM26" s="9"/>
      <c r="DN26" s="9"/>
      <c r="DO26" s="9"/>
      <c r="DP26" s="9"/>
      <c r="DQ26" s="9"/>
      <c r="DR26" s="9"/>
      <c r="DS26" s="9"/>
      <c r="DT26" s="9"/>
      <c r="DU26" s="9"/>
      <c r="DV26" s="9"/>
      <c r="DW26" s="9"/>
      <c r="DX26" s="9"/>
      <c r="DY26" s="9"/>
      <c r="DZ26" s="9"/>
      <c r="EA26" s="9"/>
      <c r="EB26" s="9"/>
      <c r="EC26" s="9"/>
      <c r="ED26" s="9"/>
      <c r="EE26" s="9"/>
      <c r="EF26" s="9"/>
      <c r="EG26" s="9"/>
      <c r="EH26" s="9"/>
      <c r="EI26" s="9"/>
      <c r="EJ26" s="9"/>
      <c r="EK26" s="9"/>
      <c r="EL26" s="9"/>
      <c r="EM26" s="9"/>
      <c r="EN26" s="9"/>
      <c r="EO26" s="9"/>
      <c r="EP26" s="9"/>
      <c r="EQ26" s="9"/>
      <c r="ER26" s="9"/>
      <c r="ES26" s="9"/>
      <c r="ET26" s="9"/>
      <c r="EU26" s="9"/>
      <c r="EV26" s="9"/>
      <c r="EW26" s="9"/>
      <c r="EX26" s="9"/>
      <c r="EY26" s="9"/>
      <c r="EZ26" s="9"/>
      <c r="FA26" s="9"/>
      <c r="FB26" s="9"/>
      <c r="FC26" s="9"/>
      <c r="FD26" s="9"/>
      <c r="FE26" s="9"/>
      <c r="FF26" s="9"/>
      <c r="FG26" s="9"/>
      <c r="FH26" s="9"/>
      <c r="FI26" s="9"/>
      <c r="FJ26" s="9"/>
      <c r="FK26" s="9"/>
      <c r="FL26" s="9"/>
      <c r="FM26" s="9"/>
      <c r="FN26" s="9"/>
      <c r="FO26" s="9"/>
      <c r="FP26" s="9"/>
      <c r="FQ26" s="9"/>
      <c r="FR26" s="9"/>
      <c r="FS26" s="9"/>
      <c r="FT26" s="9"/>
      <c r="FU26" s="9"/>
      <c r="FV26" s="9"/>
      <c r="FW26" s="9"/>
      <c r="FX26" s="9"/>
      <c r="FY26" s="9"/>
      <c r="FZ26" s="9"/>
      <c r="GA26" s="9"/>
      <c r="GB26" s="9"/>
      <c r="GC26" s="9"/>
      <c r="GD26" s="9"/>
      <c r="GE26" s="9"/>
      <c r="GF26" s="9"/>
      <c r="GG26" s="9"/>
      <c r="GH26" s="9"/>
      <c r="GI26" s="9"/>
      <c r="GJ26" s="9"/>
      <c r="GK26" s="9"/>
      <c r="GL26" s="9"/>
      <c r="GM26" s="9"/>
      <c r="GN26" s="9"/>
      <c r="GO26" s="9"/>
      <c r="GP26" s="9"/>
      <c r="GQ26" s="9"/>
      <c r="GR26" s="9"/>
      <c r="GS26" s="9"/>
      <c r="GT26" s="9"/>
      <c r="GU26" s="9"/>
      <c r="GV26" s="9"/>
      <c r="GW26" s="9"/>
      <c r="GX26" s="9"/>
      <c r="GY26" s="9"/>
      <c r="GZ26" s="9"/>
      <c r="HA26" s="9"/>
      <c r="HB26" s="9"/>
      <c r="HC26" s="9"/>
      <c r="HD26" s="9"/>
      <c r="HE26" s="9"/>
      <c r="HF26" s="9"/>
      <c r="HG26" s="9"/>
      <c r="HH26" s="9"/>
      <c r="HI26" s="9"/>
      <c r="HJ26" s="9"/>
      <c r="HK26" s="9"/>
      <c r="HL26" s="9"/>
      <c r="HM26" s="9"/>
      <c r="HN26" s="9"/>
      <c r="HO26" s="9"/>
      <c r="HP26" s="9"/>
      <c r="HQ26" s="9"/>
      <c r="HR26" s="9"/>
      <c r="HS26" s="9"/>
      <c r="HT26" s="9"/>
      <c r="HU26" s="9"/>
      <c r="HV26" s="9"/>
      <c r="HW26" s="9"/>
      <c r="HX26" s="9"/>
    </row>
    <row r="27" spans="1:232" ht="12.75" customHeight="1">
      <c r="A27" s="1"/>
      <c r="B27" s="1"/>
      <c r="C27" s="1"/>
      <c r="D27" s="1"/>
      <c r="E27" s="1"/>
      <c r="F27" s="1"/>
      <c r="G27" s="1"/>
      <c r="H27" s="1"/>
      <c r="I27" s="1"/>
      <c r="J27" s="1"/>
      <c r="K27" s="8"/>
      <c r="L27" s="754"/>
      <c r="M27" s="610"/>
      <c r="N27" s="610"/>
      <c r="O27" s="610"/>
      <c r="P27" s="610"/>
      <c r="Q27" s="610"/>
      <c r="R27" s="610"/>
      <c r="S27" s="308"/>
      <c r="T27" s="695"/>
      <c r="U27" s="695"/>
      <c r="V27" s="695"/>
      <c r="W27" s="308"/>
      <c r="X27" s="373"/>
      <c r="Y27" s="669"/>
      <c r="Z27" s="669"/>
      <c r="AA27" s="669"/>
      <c r="AB27" s="669"/>
      <c r="AC27" s="669"/>
      <c r="AD27" s="669"/>
      <c r="AE27" s="669"/>
      <c r="AF27" s="669"/>
      <c r="AG27" s="669"/>
      <c r="AH27" s="669"/>
      <c r="AI27" s="669"/>
      <c r="AJ27" s="669"/>
      <c r="AK27" s="669"/>
      <c r="AL27" s="669"/>
      <c r="AM27" s="669"/>
      <c r="AN27" s="669"/>
      <c r="AO27" s="669"/>
      <c r="AP27" s="669"/>
      <c r="AQ27" s="669"/>
      <c r="AR27" s="669"/>
      <c r="AS27" s="669"/>
      <c r="AT27" s="669"/>
      <c r="AU27" s="669"/>
      <c r="AV27" s="669"/>
      <c r="AW27" s="669"/>
      <c r="AX27" s="669"/>
      <c r="AY27" s="669"/>
      <c r="AZ27" s="669"/>
      <c r="BA27" s="669"/>
      <c r="BB27" s="669"/>
      <c r="BC27" s="669"/>
      <c r="BD27" s="669"/>
      <c r="BE27" s="669"/>
      <c r="BF27" s="669"/>
      <c r="BG27" s="669"/>
      <c r="BH27" s="669"/>
      <c r="BI27" s="669"/>
      <c r="BJ27" s="669"/>
      <c r="BK27" s="669"/>
      <c r="BL27" s="669"/>
      <c r="BM27" s="669"/>
      <c r="BN27" s="669"/>
      <c r="BO27" s="669"/>
      <c r="BP27" s="669"/>
      <c r="BQ27" s="669"/>
      <c r="BR27" s="669"/>
      <c r="BS27" s="669"/>
      <c r="BT27" s="669"/>
      <c r="BU27" s="669"/>
      <c r="BV27" s="669"/>
      <c r="BW27" s="669"/>
      <c r="BX27" s="669"/>
      <c r="BY27" s="669"/>
      <c r="BZ27" s="669"/>
      <c r="CA27" s="669"/>
      <c r="CB27" s="669"/>
      <c r="CC27" s="669"/>
      <c r="CD27" s="669"/>
      <c r="CE27" s="669"/>
      <c r="CF27" s="669"/>
      <c r="CG27" s="669"/>
      <c r="CH27" s="669"/>
      <c r="CI27" s="669"/>
      <c r="CJ27" s="669"/>
      <c r="CK27" s="669"/>
      <c r="CL27" s="669"/>
      <c r="CM27" s="669"/>
      <c r="CN27" s="669"/>
      <c r="CO27" s="669"/>
      <c r="CP27" s="669"/>
      <c r="CQ27" s="669"/>
      <c r="CR27" s="669"/>
      <c r="CS27" s="669"/>
      <c r="CT27" s="669"/>
      <c r="CU27" s="669"/>
      <c r="CV27" s="669"/>
      <c r="CW27" s="9"/>
      <c r="CX27" s="9"/>
      <c r="CY27" s="9"/>
      <c r="CZ27" s="9"/>
      <c r="DA27" s="9"/>
      <c r="DB27" s="9"/>
      <c r="DC27" s="9"/>
      <c r="DD27" s="9"/>
      <c r="DE27" s="9"/>
      <c r="DF27" s="9"/>
      <c r="DG27" s="9"/>
      <c r="DH27" s="9"/>
      <c r="DI27" s="9"/>
      <c r="DJ27" s="9"/>
      <c r="DK27" s="9"/>
      <c r="DL27" s="9"/>
      <c r="DM27" s="9"/>
      <c r="DN27" s="9"/>
      <c r="DO27" s="9"/>
      <c r="DP27" s="9"/>
      <c r="DQ27" s="9"/>
      <c r="DR27" s="9"/>
      <c r="DS27" s="9"/>
      <c r="DT27" s="9"/>
      <c r="DU27" s="9"/>
      <c r="DV27" s="9"/>
      <c r="DW27" s="9"/>
      <c r="DX27" s="9"/>
      <c r="DY27" s="9"/>
      <c r="DZ27" s="9"/>
      <c r="EA27" s="9"/>
      <c r="EB27" s="9"/>
      <c r="EC27" s="9"/>
      <c r="ED27" s="9"/>
      <c r="EE27" s="9"/>
      <c r="EF27" s="9"/>
      <c r="EG27" s="9"/>
      <c r="EH27" s="9"/>
      <c r="EI27" s="9"/>
      <c r="EJ27" s="9"/>
      <c r="EK27" s="9"/>
      <c r="EL27" s="9"/>
      <c r="EM27" s="9"/>
      <c r="EN27" s="9"/>
      <c r="EO27" s="9"/>
      <c r="EP27" s="9"/>
      <c r="EQ27" s="9"/>
      <c r="ER27" s="9"/>
      <c r="ES27" s="9"/>
      <c r="ET27" s="9"/>
      <c r="EU27" s="9"/>
      <c r="EV27" s="9"/>
      <c r="EW27" s="9"/>
      <c r="EX27" s="9"/>
      <c r="EY27" s="9"/>
      <c r="EZ27" s="9"/>
      <c r="FA27" s="9"/>
      <c r="FB27" s="9"/>
      <c r="FC27" s="9"/>
      <c r="FD27" s="9"/>
      <c r="FE27" s="9"/>
      <c r="FF27" s="9"/>
      <c r="FG27" s="9"/>
      <c r="FH27" s="9"/>
      <c r="FI27" s="9"/>
      <c r="FJ27" s="9"/>
      <c r="FK27" s="9"/>
      <c r="FL27" s="9"/>
      <c r="FM27" s="9"/>
      <c r="FN27" s="9"/>
      <c r="FO27" s="9"/>
      <c r="FP27" s="9"/>
      <c r="FQ27" s="9"/>
      <c r="FR27" s="9"/>
      <c r="FS27" s="9"/>
      <c r="FT27" s="9"/>
      <c r="FU27" s="9"/>
      <c r="FV27" s="9"/>
      <c r="FW27" s="9"/>
      <c r="FX27" s="9"/>
      <c r="FY27" s="9"/>
      <c r="FZ27" s="9"/>
      <c r="GA27" s="9"/>
      <c r="GB27" s="9"/>
      <c r="GC27" s="9"/>
      <c r="GD27" s="9"/>
      <c r="GE27" s="9"/>
      <c r="GF27" s="9"/>
      <c r="GG27" s="9"/>
      <c r="GH27" s="9"/>
      <c r="GI27" s="9"/>
      <c r="GJ27" s="9"/>
      <c r="GK27" s="9"/>
      <c r="GL27" s="9"/>
      <c r="GM27" s="9"/>
      <c r="GN27" s="9"/>
      <c r="GO27" s="9"/>
      <c r="GP27" s="9"/>
      <c r="GQ27" s="9"/>
      <c r="GR27" s="9"/>
      <c r="GS27" s="9"/>
      <c r="GT27" s="9"/>
      <c r="GU27" s="9"/>
      <c r="GV27" s="9"/>
      <c r="GW27" s="9"/>
      <c r="GX27" s="9"/>
      <c r="GY27" s="9"/>
      <c r="GZ27" s="9"/>
      <c r="HA27" s="9"/>
      <c r="HB27" s="9"/>
      <c r="HC27" s="9"/>
      <c r="HD27" s="9"/>
      <c r="HE27" s="9"/>
      <c r="HF27" s="9"/>
      <c r="HG27" s="9"/>
      <c r="HH27" s="9"/>
      <c r="HI27" s="9"/>
      <c r="HJ27" s="9"/>
      <c r="HK27" s="9"/>
      <c r="HL27" s="9"/>
      <c r="HM27" s="9"/>
      <c r="HN27" s="9"/>
      <c r="HO27" s="9"/>
      <c r="HP27" s="9"/>
      <c r="HQ27" s="9"/>
      <c r="HR27" s="9"/>
      <c r="HS27" s="9"/>
      <c r="HT27" s="9"/>
      <c r="HU27" s="9"/>
      <c r="HV27" s="9"/>
      <c r="HW27" s="9"/>
      <c r="HX27" s="9"/>
    </row>
    <row r="28" spans="1:232" ht="12.75" customHeight="1">
      <c r="A28" s="694"/>
      <c r="B28" s="1041"/>
      <c r="C28" s="1041"/>
      <c r="D28" s="1041"/>
      <c r="E28" s="1041"/>
      <c r="F28" s="1041"/>
      <c r="G28" s="1041"/>
      <c r="H28" s="1041"/>
      <c r="I28" s="1041"/>
      <c r="J28" s="1041"/>
      <c r="K28" s="8"/>
      <c r="L28" s="754"/>
      <c r="M28" s="610"/>
      <c r="N28" s="610"/>
      <c r="O28" s="610"/>
      <c r="P28" s="610"/>
      <c r="Q28" s="610"/>
      <c r="R28" s="610"/>
      <c r="S28" s="308"/>
      <c r="T28" s="695"/>
      <c r="U28" s="684"/>
      <c r="V28" s="684"/>
      <c r="W28" s="373" t="s">
        <v>853</v>
      </c>
      <c r="X28" s="373" t="s">
        <v>863</v>
      </c>
      <c r="Y28" s="669"/>
      <c r="Z28" s="669"/>
      <c r="AA28" s="669"/>
      <c r="AB28" s="669"/>
      <c r="AC28" s="669"/>
      <c r="AD28" s="669"/>
      <c r="AE28" s="669"/>
      <c r="AF28" s="669"/>
      <c r="AG28" s="669"/>
      <c r="AH28" s="669"/>
      <c r="AI28" s="669"/>
      <c r="AJ28" s="669"/>
      <c r="AK28" s="669"/>
      <c r="AL28" s="669"/>
      <c r="AM28" s="669"/>
      <c r="AN28" s="669"/>
      <c r="AO28" s="669"/>
      <c r="AP28" s="669"/>
      <c r="AQ28" s="669"/>
      <c r="AR28" s="669"/>
      <c r="AS28" s="669"/>
      <c r="AT28" s="669"/>
      <c r="AU28" s="669"/>
      <c r="AV28" s="669"/>
      <c r="AW28" s="669"/>
      <c r="AX28" s="669"/>
      <c r="AY28" s="669"/>
      <c r="AZ28" s="669"/>
      <c r="BA28" s="669"/>
      <c r="BB28" s="669"/>
      <c r="BC28" s="669"/>
      <c r="BD28" s="669"/>
      <c r="BE28" s="669"/>
      <c r="BF28" s="669"/>
      <c r="BG28" s="669"/>
      <c r="BH28" s="669"/>
      <c r="BI28" s="669"/>
      <c r="BJ28" s="669"/>
      <c r="BK28" s="669"/>
      <c r="BL28" s="669"/>
      <c r="BM28" s="669"/>
      <c r="BN28" s="669"/>
      <c r="BO28" s="669"/>
      <c r="BP28" s="669"/>
      <c r="BQ28" s="669"/>
      <c r="BR28" s="669"/>
      <c r="BS28" s="669"/>
      <c r="BT28" s="669"/>
      <c r="BU28" s="669"/>
      <c r="BV28" s="669"/>
      <c r="BW28" s="669"/>
      <c r="BX28" s="669"/>
      <c r="BY28" s="669"/>
      <c r="BZ28" s="669"/>
      <c r="CA28" s="669"/>
      <c r="CB28" s="669"/>
      <c r="CC28" s="669"/>
      <c r="CD28" s="669"/>
      <c r="CE28" s="669"/>
      <c r="CF28" s="669"/>
      <c r="CG28" s="669"/>
      <c r="CH28" s="669"/>
      <c r="CI28" s="669"/>
      <c r="CJ28" s="669"/>
      <c r="CK28" s="669"/>
      <c r="CL28" s="669"/>
      <c r="CM28" s="669"/>
      <c r="CN28" s="669"/>
      <c r="CO28" s="669"/>
      <c r="CP28" s="669"/>
      <c r="CQ28" s="669"/>
      <c r="CR28" s="669"/>
      <c r="CS28" s="669"/>
      <c r="CT28" s="669"/>
      <c r="CU28" s="669"/>
      <c r="CV28" s="669"/>
      <c r="CW28" s="9"/>
      <c r="CX28" s="9"/>
      <c r="CY28" s="9"/>
      <c r="CZ28" s="9"/>
      <c r="DA28" s="9"/>
      <c r="DB28" s="9"/>
      <c r="DC28" s="9"/>
      <c r="DD28" s="9"/>
      <c r="DE28" s="9"/>
      <c r="DF28" s="9"/>
      <c r="DG28" s="9"/>
      <c r="DH28" s="9"/>
      <c r="DI28" s="9"/>
      <c r="DJ28" s="9"/>
      <c r="DK28" s="9"/>
      <c r="DL28" s="9"/>
      <c r="DM28" s="9"/>
      <c r="DN28" s="9"/>
      <c r="DO28" s="9"/>
      <c r="DP28" s="9"/>
      <c r="DQ28" s="9"/>
      <c r="DR28" s="9"/>
      <c r="DS28" s="9"/>
      <c r="DT28" s="9"/>
      <c r="DU28" s="9"/>
      <c r="DV28" s="9"/>
      <c r="DW28" s="9"/>
      <c r="DX28" s="9"/>
      <c r="DY28" s="9"/>
      <c r="DZ28" s="9"/>
      <c r="EA28" s="9"/>
      <c r="EB28" s="9"/>
      <c r="EC28" s="9"/>
      <c r="ED28" s="9"/>
      <c r="EE28" s="9"/>
      <c r="EF28" s="9"/>
      <c r="EG28" s="9"/>
      <c r="EH28" s="9"/>
      <c r="EI28" s="9"/>
      <c r="EJ28" s="9"/>
      <c r="EK28" s="9"/>
      <c r="EL28" s="9"/>
      <c r="EM28" s="9"/>
      <c r="EN28" s="9"/>
      <c r="EO28" s="9"/>
      <c r="EP28" s="9"/>
      <c r="EQ28" s="9"/>
      <c r="ER28" s="9"/>
      <c r="ES28" s="9"/>
      <c r="ET28" s="9"/>
      <c r="EU28" s="9"/>
      <c r="EV28" s="9"/>
      <c r="EW28" s="9"/>
      <c r="EX28" s="9"/>
      <c r="EY28" s="9"/>
      <c r="EZ28" s="9"/>
      <c r="FA28" s="9"/>
      <c r="FB28" s="9"/>
      <c r="FC28" s="9"/>
      <c r="FD28" s="9"/>
      <c r="FE28" s="9"/>
      <c r="FF28" s="9"/>
      <c r="FG28" s="9"/>
      <c r="FH28" s="9"/>
      <c r="FI28" s="9"/>
      <c r="FJ28" s="9"/>
      <c r="FK28" s="9"/>
      <c r="FL28" s="9"/>
      <c r="FM28" s="9"/>
      <c r="FN28" s="9"/>
      <c r="FO28" s="9"/>
      <c r="FP28" s="9"/>
      <c r="FQ28" s="9"/>
      <c r="FR28" s="9"/>
      <c r="FS28" s="9"/>
      <c r="FT28" s="9"/>
      <c r="FU28" s="9"/>
      <c r="FV28" s="9"/>
      <c r="FW28" s="9"/>
      <c r="FX28" s="9"/>
      <c r="FY28" s="9"/>
      <c r="FZ28" s="9"/>
      <c r="GA28" s="9"/>
      <c r="GB28" s="9"/>
      <c r="GC28" s="9"/>
      <c r="GD28" s="9"/>
      <c r="GE28" s="9"/>
      <c r="GF28" s="9"/>
      <c r="GG28" s="9"/>
      <c r="GH28" s="9"/>
      <c r="GI28" s="9"/>
      <c r="GJ28" s="9"/>
      <c r="GK28" s="9"/>
      <c r="GL28" s="9"/>
      <c r="GM28" s="9"/>
      <c r="GN28" s="9"/>
      <c r="GO28" s="9"/>
      <c r="GP28" s="9"/>
      <c r="GQ28" s="9"/>
      <c r="GR28" s="9"/>
      <c r="GS28" s="9"/>
      <c r="GT28" s="9"/>
      <c r="GU28" s="9"/>
      <c r="GV28" s="9"/>
      <c r="GW28" s="9"/>
      <c r="GX28" s="9"/>
      <c r="GY28" s="9"/>
      <c r="GZ28" s="9"/>
      <c r="HA28" s="9"/>
      <c r="HB28" s="9"/>
      <c r="HC28" s="9"/>
      <c r="HD28" s="9"/>
      <c r="HE28" s="9"/>
      <c r="HF28" s="9"/>
      <c r="HG28" s="9"/>
      <c r="HH28" s="9"/>
      <c r="HI28" s="9"/>
      <c r="HJ28" s="9"/>
      <c r="HK28" s="9"/>
      <c r="HL28" s="9"/>
      <c r="HM28" s="9"/>
      <c r="HN28" s="9"/>
      <c r="HO28" s="9"/>
      <c r="HP28" s="9"/>
      <c r="HQ28" s="9"/>
      <c r="HR28" s="9"/>
      <c r="HS28" s="9"/>
      <c r="HT28" s="9"/>
      <c r="HU28" s="9"/>
      <c r="HV28" s="9"/>
      <c r="HW28" s="9"/>
      <c r="HX28" s="9"/>
    </row>
    <row r="29" spans="1:232" ht="15.75">
      <c r="A29" s="1331" t="s">
        <v>11</v>
      </c>
      <c r="B29" s="1041"/>
      <c r="C29" s="1041"/>
      <c r="D29" s="1041"/>
      <c r="E29" s="1041"/>
      <c r="F29" s="1041"/>
      <c r="G29" s="1041"/>
      <c r="H29" s="1041"/>
      <c r="I29" s="1041"/>
      <c r="J29" s="1041"/>
      <c r="K29" s="8"/>
      <c r="L29" s="754"/>
      <c r="M29" s="610"/>
      <c r="N29" s="610"/>
      <c r="Q29" s="610"/>
      <c r="R29" s="610"/>
      <c r="S29" s="308"/>
      <c r="T29" s="695"/>
      <c r="U29" s="684" t="s">
        <v>848</v>
      </c>
      <c r="V29" s="685">
        <f>I11/1000000000</f>
        <v>23.992450999999999</v>
      </c>
      <c r="W29" s="686">
        <f>V29/$V$33</f>
        <v>0.31942395863649325</v>
      </c>
      <c r="X29" s="373">
        <v>40</v>
      </c>
      <c r="Y29" s="669"/>
      <c r="Z29" s="669"/>
      <c r="AA29" s="669"/>
      <c r="AB29" s="669"/>
      <c r="AC29" s="669"/>
      <c r="AD29" s="669"/>
      <c r="AE29" s="669"/>
      <c r="AF29" s="669"/>
      <c r="AG29" s="669"/>
      <c r="AH29" s="669"/>
      <c r="AI29" s="669"/>
      <c r="AJ29" s="669"/>
      <c r="AK29" s="669"/>
      <c r="AL29" s="669"/>
      <c r="AM29" s="669"/>
      <c r="AN29" s="669"/>
      <c r="AO29" s="669"/>
      <c r="AP29" s="669"/>
      <c r="AQ29" s="669"/>
      <c r="AR29" s="669"/>
      <c r="AS29" s="669"/>
      <c r="AT29" s="669"/>
      <c r="AU29" s="669"/>
      <c r="AV29" s="669"/>
      <c r="AW29" s="669"/>
      <c r="AX29" s="669"/>
      <c r="AY29" s="669"/>
      <c r="AZ29" s="669"/>
      <c r="BA29" s="669"/>
      <c r="BB29" s="669"/>
      <c r="BC29" s="669"/>
      <c r="BD29" s="669"/>
      <c r="BE29" s="669"/>
      <c r="BF29" s="669"/>
      <c r="BG29" s="669"/>
      <c r="BH29" s="669"/>
      <c r="BI29" s="669"/>
      <c r="BJ29" s="669"/>
      <c r="BK29" s="669"/>
      <c r="BL29" s="669"/>
      <c r="BM29" s="669"/>
      <c r="BN29" s="669"/>
      <c r="BO29" s="669"/>
      <c r="BP29" s="669"/>
      <c r="BQ29" s="669"/>
      <c r="BR29" s="669"/>
      <c r="BS29" s="669"/>
      <c r="BT29" s="669"/>
      <c r="BU29" s="669"/>
      <c r="BV29" s="669"/>
      <c r="BW29" s="669"/>
      <c r="BX29" s="669"/>
      <c r="BY29" s="669"/>
      <c r="BZ29" s="669"/>
      <c r="CA29" s="669"/>
      <c r="CB29" s="669"/>
      <c r="CC29" s="669"/>
      <c r="CD29" s="669"/>
      <c r="CE29" s="669"/>
      <c r="CF29" s="669"/>
      <c r="CG29" s="669"/>
      <c r="CH29" s="669"/>
      <c r="CI29" s="669"/>
      <c r="CJ29" s="669"/>
      <c r="CK29" s="669"/>
      <c r="CL29" s="669"/>
      <c r="CM29" s="669"/>
      <c r="CN29" s="669"/>
      <c r="CO29" s="669"/>
      <c r="CP29" s="669"/>
      <c r="CQ29" s="669"/>
      <c r="CR29" s="669"/>
      <c r="CS29" s="669"/>
      <c r="CT29" s="669"/>
      <c r="CU29" s="669"/>
      <c r="CV29" s="669"/>
      <c r="CW29" s="9"/>
      <c r="CX29" s="9"/>
      <c r="CY29" s="9"/>
      <c r="CZ29" s="9"/>
      <c r="DA29" s="9"/>
      <c r="DB29" s="9"/>
      <c r="DC29" s="9"/>
      <c r="DD29" s="9"/>
      <c r="DE29" s="9"/>
      <c r="DF29" s="9"/>
      <c r="DG29" s="9"/>
      <c r="DH29" s="9"/>
      <c r="DI29" s="9"/>
      <c r="DJ29" s="9"/>
      <c r="DK29" s="9"/>
      <c r="DL29" s="9"/>
      <c r="DM29" s="9"/>
      <c r="DN29" s="9"/>
      <c r="DO29" s="9"/>
      <c r="DP29" s="9"/>
      <c r="DQ29" s="9"/>
      <c r="DR29" s="9"/>
      <c r="DS29" s="9"/>
      <c r="DT29" s="9"/>
      <c r="DU29" s="9"/>
      <c r="DV29" s="9"/>
      <c r="DW29" s="9"/>
      <c r="DX29" s="9"/>
      <c r="DY29" s="9"/>
      <c r="DZ29" s="9"/>
      <c r="EA29" s="9"/>
      <c r="EB29" s="9"/>
      <c r="EC29" s="9"/>
      <c r="ED29" s="9"/>
      <c r="EE29" s="9"/>
      <c r="EF29" s="9"/>
      <c r="EG29" s="9"/>
      <c r="EH29" s="9"/>
      <c r="EI29" s="9"/>
      <c r="EJ29" s="9"/>
      <c r="EK29" s="9"/>
      <c r="EL29" s="9"/>
      <c r="EM29" s="9"/>
      <c r="EN29" s="9"/>
      <c r="EO29" s="9"/>
      <c r="EP29" s="9"/>
      <c r="EQ29" s="9"/>
      <c r="ER29" s="9"/>
      <c r="ES29" s="9"/>
      <c r="ET29" s="9"/>
      <c r="EU29" s="9"/>
      <c r="EV29" s="9"/>
      <c r="EW29" s="9"/>
      <c r="EX29" s="9"/>
      <c r="EY29" s="9"/>
      <c r="EZ29" s="9"/>
      <c r="FA29" s="9"/>
      <c r="FB29" s="9"/>
      <c r="FC29" s="9"/>
      <c r="FD29" s="9"/>
      <c r="FE29" s="9"/>
      <c r="FF29" s="9"/>
      <c r="FG29" s="9"/>
      <c r="FH29" s="9"/>
      <c r="FI29" s="9"/>
      <c r="FJ29" s="9"/>
      <c r="FK29" s="9"/>
      <c r="FL29" s="9"/>
      <c r="FM29" s="9"/>
      <c r="FN29" s="9"/>
      <c r="FO29" s="9"/>
      <c r="FP29" s="9"/>
      <c r="FQ29" s="9"/>
      <c r="FR29" s="9"/>
      <c r="FS29" s="9"/>
      <c r="FT29" s="9"/>
      <c r="FU29" s="9"/>
      <c r="FV29" s="9"/>
      <c r="FW29" s="9"/>
      <c r="FX29" s="9"/>
      <c r="FY29" s="9"/>
      <c r="FZ29" s="9"/>
      <c r="GA29" s="9"/>
      <c r="GB29" s="9"/>
      <c r="GC29" s="9"/>
      <c r="GD29" s="9"/>
      <c r="GE29" s="9"/>
      <c r="GF29" s="9"/>
      <c r="GG29" s="9"/>
      <c r="GH29" s="9"/>
      <c r="GI29" s="9"/>
      <c r="GJ29" s="9"/>
      <c r="GK29" s="9"/>
      <c r="GL29" s="9"/>
      <c r="GM29" s="9"/>
      <c r="GN29" s="9"/>
      <c r="GO29" s="9"/>
      <c r="GP29" s="9"/>
      <c r="GQ29" s="9"/>
      <c r="GR29" s="9"/>
      <c r="GS29" s="9"/>
      <c r="GT29" s="9"/>
      <c r="GU29" s="9"/>
      <c r="GV29" s="9"/>
      <c r="GW29" s="9"/>
      <c r="GX29" s="9"/>
      <c r="GY29" s="9"/>
      <c r="GZ29" s="9"/>
      <c r="HA29" s="9"/>
      <c r="HB29" s="9"/>
      <c r="HC29" s="9"/>
      <c r="HD29" s="9"/>
      <c r="HE29" s="9"/>
      <c r="HF29" s="9"/>
      <c r="HG29" s="9"/>
      <c r="HH29" s="9"/>
      <c r="HI29" s="9"/>
      <c r="HJ29" s="9"/>
      <c r="HK29" s="9"/>
      <c r="HL29" s="9"/>
      <c r="HM29" s="9"/>
      <c r="HN29" s="9"/>
      <c r="HO29" s="9"/>
      <c r="HP29" s="9"/>
      <c r="HQ29" s="9"/>
      <c r="HR29" s="9"/>
      <c r="HS29" s="9"/>
      <c r="HT29" s="9"/>
      <c r="HU29" s="9"/>
      <c r="HV29" s="9"/>
      <c r="HW29" s="9"/>
      <c r="HX29" s="9"/>
    </row>
    <row r="30" spans="1:232" ht="14.1" customHeight="1">
      <c r="A30" s="1042"/>
      <c r="B30" s="1041"/>
      <c r="C30" s="1041"/>
      <c r="D30" s="1041"/>
      <c r="E30" s="1041"/>
      <c r="F30" s="1041"/>
      <c r="G30" s="1041"/>
      <c r="H30" s="1041"/>
      <c r="I30" s="1041"/>
      <c r="J30" s="1043"/>
      <c r="K30" s="654"/>
      <c r="L30" s="754"/>
      <c r="M30" s="610"/>
      <c r="N30" s="610"/>
      <c r="O30" s="939"/>
      <c r="P30" s="939"/>
      <c r="Q30" s="610"/>
      <c r="R30" s="610"/>
      <c r="S30" s="308"/>
      <c r="T30" s="695"/>
      <c r="U30" s="684" t="s">
        <v>850</v>
      </c>
      <c r="V30" s="685">
        <f>I12/1000000000</f>
        <v>1.5678179999999999</v>
      </c>
      <c r="W30" s="686">
        <f>V30/$V$33</f>
        <v>2.0873175149197953E-2</v>
      </c>
      <c r="X30" s="373">
        <v>2</v>
      </c>
      <c r="Y30" s="669"/>
      <c r="Z30" s="669"/>
      <c r="AA30" s="669"/>
      <c r="AB30" s="669"/>
      <c r="AC30" s="669"/>
      <c r="AD30" s="669"/>
      <c r="AE30" s="669"/>
      <c r="AF30" s="669"/>
      <c r="AG30" s="669"/>
      <c r="AH30" s="669"/>
      <c r="AI30" s="669"/>
      <c r="AJ30" s="669"/>
      <c r="AK30" s="669"/>
      <c r="AL30" s="669"/>
      <c r="AM30" s="669"/>
      <c r="AN30" s="669"/>
      <c r="AO30" s="669"/>
      <c r="AP30" s="669"/>
      <c r="AQ30" s="669"/>
      <c r="AR30" s="669"/>
      <c r="AS30" s="669"/>
      <c r="AT30" s="669"/>
      <c r="AU30" s="669"/>
      <c r="AV30" s="669"/>
      <c r="AW30" s="669"/>
      <c r="AX30" s="669"/>
      <c r="AY30" s="669"/>
      <c r="AZ30" s="669"/>
      <c r="BA30" s="669"/>
      <c r="BB30" s="669"/>
      <c r="BC30" s="669"/>
      <c r="BD30" s="669"/>
      <c r="BE30" s="669"/>
      <c r="BF30" s="669"/>
      <c r="BG30" s="669"/>
      <c r="BH30" s="669"/>
      <c r="BI30" s="669"/>
      <c r="BJ30" s="669"/>
      <c r="BK30" s="669"/>
      <c r="BL30" s="669"/>
      <c r="BM30" s="669"/>
      <c r="BN30" s="669"/>
      <c r="BO30" s="669"/>
      <c r="BP30" s="669"/>
      <c r="BQ30" s="669"/>
      <c r="BR30" s="669"/>
      <c r="BS30" s="669"/>
      <c r="BT30" s="669"/>
      <c r="BU30" s="669"/>
      <c r="BV30" s="669"/>
      <c r="BW30" s="669"/>
      <c r="BX30" s="669"/>
      <c r="BY30" s="669"/>
      <c r="BZ30" s="669"/>
      <c r="CA30" s="669"/>
      <c r="CB30" s="669"/>
      <c r="CC30" s="669"/>
      <c r="CD30" s="669"/>
      <c r="CE30" s="669"/>
      <c r="CF30" s="669"/>
      <c r="CG30" s="669"/>
      <c r="CH30" s="669"/>
      <c r="CI30" s="669"/>
      <c r="CJ30" s="669"/>
      <c r="CK30" s="669"/>
      <c r="CL30" s="669"/>
      <c r="CM30" s="669"/>
      <c r="CN30" s="669"/>
      <c r="CO30" s="669"/>
      <c r="CP30" s="669"/>
      <c r="CQ30" s="669"/>
      <c r="CR30" s="669"/>
      <c r="CS30" s="669"/>
      <c r="CT30" s="669"/>
      <c r="CU30" s="669"/>
      <c r="CV30" s="669"/>
      <c r="CW30" s="9"/>
      <c r="CX30" s="9"/>
      <c r="CY30" s="9"/>
      <c r="CZ30" s="9"/>
      <c r="DA30" s="9"/>
      <c r="DB30" s="9"/>
      <c r="DC30" s="9"/>
      <c r="DD30" s="9"/>
      <c r="DE30" s="9"/>
      <c r="DF30" s="9"/>
      <c r="DG30" s="9"/>
      <c r="DH30" s="9"/>
      <c r="DI30" s="9"/>
      <c r="DJ30" s="9"/>
      <c r="DK30" s="9"/>
      <c r="DL30" s="9"/>
      <c r="DM30" s="9"/>
      <c r="DN30" s="9"/>
      <c r="DO30" s="9"/>
      <c r="DP30" s="9"/>
      <c r="DQ30" s="9"/>
      <c r="DR30" s="9"/>
      <c r="DS30" s="9"/>
      <c r="DT30" s="9"/>
      <c r="DU30" s="9"/>
      <c r="DV30" s="9"/>
      <c r="DW30" s="9"/>
      <c r="DX30" s="9"/>
      <c r="DY30" s="9"/>
      <c r="DZ30" s="9"/>
      <c r="EA30" s="9"/>
      <c r="EB30" s="9"/>
      <c r="EC30" s="9"/>
      <c r="ED30" s="9"/>
      <c r="EE30" s="9"/>
      <c r="EF30" s="9"/>
      <c r="EG30" s="9"/>
      <c r="EH30" s="9"/>
      <c r="EI30" s="9"/>
      <c r="EJ30" s="9"/>
      <c r="EK30" s="9"/>
      <c r="EL30" s="9"/>
      <c r="EM30" s="9"/>
      <c r="EN30" s="9"/>
      <c r="EO30" s="9"/>
      <c r="EP30" s="9"/>
      <c r="EQ30" s="9"/>
      <c r="ER30" s="9"/>
      <c r="ES30" s="9"/>
      <c r="ET30" s="9"/>
      <c r="EU30" s="9"/>
      <c r="EV30" s="9"/>
      <c r="EW30" s="9"/>
      <c r="EX30" s="9"/>
      <c r="EY30" s="9"/>
      <c r="EZ30" s="9"/>
      <c r="FA30" s="9"/>
      <c r="FB30" s="9"/>
      <c r="FC30" s="9"/>
      <c r="FD30" s="9"/>
      <c r="FE30" s="9"/>
      <c r="FF30" s="9"/>
      <c r="FG30" s="9"/>
      <c r="FH30" s="9"/>
      <c r="FI30" s="9"/>
      <c r="FJ30" s="9"/>
      <c r="FK30" s="9"/>
      <c r="FL30" s="9"/>
      <c r="FM30" s="9"/>
      <c r="FN30" s="9"/>
      <c r="FO30" s="9"/>
      <c r="FP30" s="9"/>
      <c r="FQ30" s="9"/>
      <c r="FR30" s="9"/>
      <c r="FS30" s="9"/>
      <c r="FT30" s="9"/>
      <c r="FU30" s="9"/>
      <c r="FV30" s="9"/>
      <c r="FW30" s="9"/>
      <c r="FX30" s="9"/>
      <c r="FY30" s="9"/>
      <c r="FZ30" s="9"/>
      <c r="GA30" s="9"/>
      <c r="GB30" s="9"/>
      <c r="GC30" s="9"/>
      <c r="GD30" s="9"/>
      <c r="GE30" s="9"/>
      <c r="GF30" s="9"/>
      <c r="GG30" s="9"/>
      <c r="GH30" s="9"/>
      <c r="GI30" s="9"/>
      <c r="GJ30" s="9"/>
      <c r="GK30" s="9"/>
      <c r="GL30" s="9"/>
      <c r="GM30" s="9"/>
      <c r="GN30" s="9"/>
      <c r="GO30" s="9"/>
      <c r="GP30" s="9"/>
      <c r="GQ30" s="9"/>
      <c r="GR30" s="9"/>
      <c r="GS30" s="9"/>
      <c r="GT30" s="9"/>
      <c r="GU30" s="9"/>
      <c r="GV30" s="9"/>
      <c r="GW30" s="9"/>
      <c r="GX30" s="9"/>
      <c r="GY30" s="9"/>
      <c r="GZ30" s="9"/>
      <c r="HA30" s="9"/>
      <c r="HB30" s="9"/>
      <c r="HC30" s="9"/>
      <c r="HD30" s="9"/>
      <c r="HE30" s="9"/>
      <c r="HF30" s="9"/>
      <c r="HG30" s="9"/>
      <c r="HH30" s="9"/>
      <c r="HI30" s="9"/>
      <c r="HJ30" s="9"/>
      <c r="HK30" s="9"/>
      <c r="HL30" s="9"/>
      <c r="HM30" s="9"/>
      <c r="HN30" s="9"/>
      <c r="HO30" s="9"/>
      <c r="HP30" s="9"/>
      <c r="HQ30" s="9"/>
      <c r="HR30" s="9"/>
      <c r="HS30" s="9"/>
      <c r="HT30" s="9"/>
      <c r="HU30" s="9"/>
      <c r="HV30" s="9"/>
      <c r="HW30" s="9"/>
      <c r="HX30" s="9"/>
    </row>
    <row r="31" spans="1:232" ht="14.1" customHeight="1">
      <c r="A31" s="1044"/>
      <c r="B31" s="1045">
        <f t="shared" ref="B31:I31" si="4">B3</f>
        <v>2014</v>
      </c>
      <c r="C31" s="1045" t="str">
        <f t="shared" si="4"/>
        <v>FY 2015</v>
      </c>
      <c r="D31" s="1045" t="str">
        <f t="shared" si="4"/>
        <v>FY 2016</v>
      </c>
      <c r="E31" s="1045" t="str">
        <f t="shared" si="4"/>
        <v>FY 2017</v>
      </c>
      <c r="F31" s="1045" t="str">
        <f t="shared" si="4"/>
        <v>FY 2018</v>
      </c>
      <c r="G31" s="1045" t="str">
        <f t="shared" si="4"/>
        <v>FY 2019</v>
      </c>
      <c r="H31" s="921" t="str">
        <f t="shared" si="4"/>
        <v>FY 2020</v>
      </c>
      <c r="I31" s="921" t="str">
        <f t="shared" si="4"/>
        <v>FY 2021</v>
      </c>
      <c r="J31" s="1046"/>
      <c r="K31" s="752"/>
      <c r="L31" s="754"/>
      <c r="M31" s="610"/>
      <c r="N31" s="610"/>
      <c r="O31" s="939"/>
      <c r="P31" s="939"/>
      <c r="Q31" s="610"/>
      <c r="R31" s="610"/>
      <c r="S31" s="308"/>
      <c r="T31" s="695"/>
      <c r="U31" s="684" t="s">
        <v>849</v>
      </c>
      <c r="V31" s="685">
        <f>I16/1000000000</f>
        <v>1.0913520000000001</v>
      </c>
      <c r="W31" s="686">
        <f>V31/$V$33</f>
        <v>1.4529735878416683E-2</v>
      </c>
      <c r="X31" s="373">
        <v>2</v>
      </c>
      <c r="Y31" s="669"/>
      <c r="Z31" s="669"/>
      <c r="AA31" s="669"/>
      <c r="AB31" s="669"/>
      <c r="AC31" s="669"/>
      <c r="AD31" s="669"/>
      <c r="AE31" s="669"/>
      <c r="AF31" s="669"/>
      <c r="AG31" s="669"/>
      <c r="AH31" s="669"/>
      <c r="AI31" s="669"/>
      <c r="AJ31" s="669"/>
      <c r="AK31" s="669"/>
      <c r="AL31" s="669"/>
      <c r="AM31" s="669"/>
      <c r="AN31" s="669"/>
      <c r="AO31" s="669"/>
      <c r="AP31" s="669"/>
      <c r="AQ31" s="669"/>
      <c r="AR31" s="669"/>
      <c r="AS31" s="669"/>
      <c r="AT31" s="669"/>
      <c r="AU31" s="669"/>
      <c r="AV31" s="669"/>
      <c r="AW31" s="669"/>
      <c r="AX31" s="669"/>
      <c r="AY31" s="669"/>
      <c r="AZ31" s="669"/>
      <c r="BA31" s="669"/>
      <c r="BB31" s="669"/>
      <c r="BC31" s="669"/>
      <c r="BD31" s="669"/>
      <c r="BE31" s="669"/>
      <c r="BF31" s="669"/>
      <c r="BG31" s="669"/>
      <c r="BH31" s="669"/>
      <c r="BI31" s="669"/>
      <c r="BJ31" s="669"/>
      <c r="BK31" s="669"/>
      <c r="BL31" s="669"/>
      <c r="BM31" s="669"/>
      <c r="BN31" s="669"/>
      <c r="BO31" s="669"/>
      <c r="BP31" s="669"/>
      <c r="BQ31" s="669"/>
      <c r="BR31" s="669"/>
      <c r="BS31" s="669"/>
      <c r="BT31" s="669"/>
      <c r="BU31" s="669"/>
      <c r="BV31" s="669"/>
      <c r="BW31" s="669"/>
      <c r="BX31" s="669"/>
      <c r="BY31" s="669"/>
      <c r="BZ31" s="669"/>
      <c r="CA31" s="669"/>
      <c r="CB31" s="669"/>
      <c r="CC31" s="669"/>
      <c r="CD31" s="669"/>
      <c r="CE31" s="669"/>
      <c r="CF31" s="669"/>
      <c r="CG31" s="669"/>
      <c r="CH31" s="669"/>
      <c r="CI31" s="669"/>
      <c r="CJ31" s="669"/>
      <c r="CK31" s="669"/>
      <c r="CL31" s="669"/>
      <c r="CM31" s="669"/>
      <c r="CN31" s="669"/>
      <c r="CO31" s="669"/>
      <c r="CP31" s="669"/>
      <c r="CQ31" s="669"/>
      <c r="CR31" s="669"/>
      <c r="CS31" s="669"/>
      <c r="CT31" s="669"/>
      <c r="CU31" s="669"/>
      <c r="CV31" s="669"/>
      <c r="CW31" s="9"/>
      <c r="CX31" s="9"/>
      <c r="CY31" s="9"/>
      <c r="CZ31" s="9"/>
      <c r="DA31" s="9"/>
      <c r="DB31" s="9"/>
      <c r="DC31" s="9"/>
      <c r="DD31" s="9"/>
      <c r="DE31" s="9"/>
      <c r="DF31" s="9"/>
      <c r="DG31" s="9"/>
      <c r="DH31" s="9"/>
      <c r="DI31" s="9"/>
      <c r="DJ31" s="9"/>
      <c r="DK31" s="9"/>
      <c r="DL31" s="9"/>
      <c r="DM31" s="9"/>
      <c r="DN31" s="9"/>
      <c r="DO31" s="9"/>
      <c r="DP31" s="9"/>
      <c r="DQ31" s="9"/>
      <c r="DR31" s="9"/>
      <c r="DS31" s="9"/>
      <c r="DT31" s="9"/>
      <c r="DU31" s="9"/>
      <c r="DV31" s="9"/>
      <c r="DW31" s="9"/>
      <c r="DX31" s="9"/>
      <c r="DY31" s="9"/>
      <c r="DZ31" s="9"/>
      <c r="EA31" s="9"/>
      <c r="EB31" s="9"/>
      <c r="EC31" s="9"/>
      <c r="ED31" s="9"/>
      <c r="EE31" s="9"/>
      <c r="EF31" s="9"/>
      <c r="EG31" s="9"/>
      <c r="EH31" s="9"/>
      <c r="EI31" s="9"/>
      <c r="EJ31" s="9"/>
      <c r="EK31" s="9"/>
      <c r="EL31" s="9"/>
      <c r="EM31" s="9"/>
      <c r="EN31" s="9"/>
      <c r="EO31" s="9"/>
      <c r="EP31" s="9"/>
      <c r="EQ31" s="9"/>
      <c r="ER31" s="9"/>
      <c r="ES31" s="9"/>
      <c r="ET31" s="9"/>
      <c r="EU31" s="9"/>
      <c r="EV31" s="9"/>
      <c r="EW31" s="9"/>
      <c r="EX31" s="9"/>
      <c r="EY31" s="9"/>
      <c r="EZ31" s="9"/>
      <c r="FA31" s="9"/>
      <c r="FB31" s="9"/>
      <c r="FC31" s="9"/>
      <c r="FD31" s="9"/>
      <c r="FE31" s="9"/>
      <c r="FF31" s="9"/>
      <c r="FG31" s="9"/>
      <c r="FH31" s="9"/>
      <c r="FI31" s="9"/>
      <c r="FJ31" s="9"/>
      <c r="FK31" s="9"/>
      <c r="FL31" s="9"/>
      <c r="FM31" s="9"/>
      <c r="FN31" s="9"/>
      <c r="FO31" s="9"/>
      <c r="FP31" s="9"/>
      <c r="FQ31" s="9"/>
      <c r="FR31" s="9"/>
      <c r="FS31" s="9"/>
      <c r="FT31" s="9"/>
      <c r="FU31" s="9"/>
      <c r="FV31" s="9"/>
      <c r="FW31" s="9"/>
      <c r="FX31" s="9"/>
      <c r="FY31" s="9"/>
      <c r="FZ31" s="9"/>
      <c r="GA31" s="9"/>
      <c r="GB31" s="9"/>
      <c r="GC31" s="9"/>
      <c r="GD31" s="9"/>
      <c r="GE31" s="9"/>
      <c r="GF31" s="9"/>
      <c r="GG31" s="9"/>
      <c r="GH31" s="9"/>
      <c r="GI31" s="9"/>
      <c r="GJ31" s="9"/>
      <c r="GK31" s="9"/>
      <c r="GL31" s="9"/>
      <c r="GM31" s="9"/>
      <c r="GN31" s="9"/>
      <c r="GO31" s="9"/>
      <c r="GP31" s="9"/>
      <c r="GQ31" s="9"/>
      <c r="GR31" s="9"/>
      <c r="GS31" s="9"/>
      <c r="GT31" s="9"/>
      <c r="GU31" s="9"/>
      <c r="GV31" s="9"/>
      <c r="GW31" s="9"/>
      <c r="GX31" s="9"/>
      <c r="GY31" s="9"/>
      <c r="GZ31" s="9"/>
      <c r="HA31" s="9"/>
      <c r="HB31" s="9"/>
      <c r="HC31" s="9"/>
      <c r="HD31" s="9"/>
      <c r="HE31" s="9"/>
      <c r="HF31" s="9"/>
      <c r="HG31" s="9"/>
      <c r="HH31" s="9"/>
      <c r="HI31" s="9"/>
      <c r="HJ31" s="9"/>
      <c r="HK31" s="9"/>
      <c r="HL31" s="9"/>
      <c r="HM31" s="9"/>
      <c r="HN31" s="9"/>
      <c r="HO31" s="9"/>
      <c r="HP31" s="9"/>
      <c r="HQ31" s="9"/>
      <c r="HR31" s="9"/>
      <c r="HS31" s="9"/>
      <c r="HT31" s="9"/>
      <c r="HU31" s="9"/>
      <c r="HV31" s="9"/>
      <c r="HW31" s="9"/>
      <c r="HX31" s="9"/>
    </row>
    <row r="32" spans="1:232" ht="15.75" customHeight="1">
      <c r="A32" s="1047" t="s">
        <v>12</v>
      </c>
      <c r="B32" s="1048" t="s">
        <v>13</v>
      </c>
      <c r="C32" s="1048" t="s">
        <v>13</v>
      </c>
      <c r="D32" s="1048" t="s">
        <v>13</v>
      </c>
      <c r="E32" s="1048" t="s">
        <v>13</v>
      </c>
      <c r="F32" s="1048" t="s">
        <v>13</v>
      </c>
      <c r="G32" s="1048" t="s">
        <v>13</v>
      </c>
      <c r="H32" s="1049" t="s">
        <v>13</v>
      </c>
      <c r="I32" s="1049" t="s">
        <v>13</v>
      </c>
      <c r="J32" s="1046"/>
      <c r="K32" s="752"/>
      <c r="L32" s="754"/>
      <c r="M32" s="610"/>
      <c r="N32" s="610"/>
      <c r="O32" s="939"/>
      <c r="P32" s="939"/>
      <c r="Q32" s="610"/>
      <c r="R32" s="610"/>
      <c r="S32" s="308"/>
      <c r="T32" s="695"/>
      <c r="U32" s="684" t="s">
        <v>851</v>
      </c>
      <c r="V32" s="685">
        <f>I17/1000000000</f>
        <v>48.459999000000003</v>
      </c>
      <c r="W32" s="686">
        <f>V32/$V$33</f>
        <v>0.64517313033589208</v>
      </c>
      <c r="X32" s="373">
        <v>56</v>
      </c>
      <c r="Y32" s="669"/>
      <c r="Z32" s="669"/>
      <c r="AA32" s="669"/>
      <c r="AB32" s="669"/>
      <c r="AC32" s="669"/>
      <c r="AD32" s="669"/>
      <c r="AE32" s="669"/>
      <c r="AF32" s="669"/>
      <c r="AG32" s="669"/>
      <c r="AH32" s="669"/>
      <c r="AI32" s="669"/>
      <c r="AJ32" s="669"/>
      <c r="AK32" s="669"/>
      <c r="AL32" s="669"/>
      <c r="AM32" s="669"/>
      <c r="AN32" s="669"/>
      <c r="AO32" s="669"/>
      <c r="AP32" s="669"/>
      <c r="AQ32" s="669"/>
      <c r="AR32" s="669"/>
      <c r="AS32" s="669"/>
      <c r="AT32" s="669"/>
      <c r="AU32" s="669"/>
      <c r="AV32" s="669"/>
      <c r="AW32" s="669"/>
      <c r="AX32" s="669"/>
      <c r="AY32" s="669"/>
      <c r="AZ32" s="669"/>
      <c r="BA32" s="669"/>
      <c r="BB32" s="669"/>
      <c r="BC32" s="669"/>
      <c r="BD32" s="669"/>
      <c r="BE32" s="669"/>
      <c r="BF32" s="669"/>
      <c r="BG32" s="669"/>
      <c r="BH32" s="669"/>
      <c r="BI32" s="669"/>
      <c r="BJ32" s="669"/>
      <c r="BK32" s="669"/>
      <c r="BL32" s="669"/>
      <c r="BM32" s="669"/>
      <c r="BN32" s="669"/>
      <c r="BO32" s="669"/>
      <c r="BP32" s="669"/>
      <c r="BQ32" s="669"/>
      <c r="BR32" s="669"/>
      <c r="BS32" s="669"/>
      <c r="BT32" s="669"/>
      <c r="BU32" s="669"/>
      <c r="BV32" s="669"/>
      <c r="BW32" s="669"/>
      <c r="BX32" s="669"/>
      <c r="BY32" s="669"/>
      <c r="BZ32" s="669"/>
      <c r="CA32" s="669"/>
      <c r="CB32" s="669"/>
      <c r="CC32" s="669"/>
      <c r="CD32" s="669"/>
      <c r="CE32" s="669"/>
      <c r="CF32" s="669"/>
      <c r="CG32" s="669"/>
      <c r="CH32" s="669"/>
      <c r="CI32" s="669"/>
      <c r="CJ32" s="669"/>
      <c r="CK32" s="669"/>
      <c r="CL32" s="669"/>
      <c r="CM32" s="669"/>
      <c r="CN32" s="669"/>
      <c r="CO32" s="669"/>
      <c r="CP32" s="669"/>
      <c r="CQ32" s="669"/>
      <c r="CR32" s="669"/>
      <c r="CS32" s="669"/>
      <c r="CT32" s="669"/>
      <c r="CU32" s="669"/>
      <c r="CV32" s="669"/>
      <c r="CW32" s="9"/>
      <c r="CX32" s="9"/>
      <c r="CY32" s="9"/>
      <c r="CZ32" s="9"/>
      <c r="DA32" s="9"/>
      <c r="DB32" s="9"/>
      <c r="DC32" s="9"/>
      <c r="DD32" s="9"/>
      <c r="DE32" s="9"/>
      <c r="DF32" s="9"/>
      <c r="DG32" s="9"/>
      <c r="DH32" s="9"/>
      <c r="DI32" s="9"/>
      <c r="DJ32" s="9"/>
      <c r="DK32" s="9"/>
      <c r="DL32" s="9"/>
      <c r="DM32" s="9"/>
      <c r="DN32" s="9"/>
      <c r="DO32" s="9"/>
      <c r="DP32" s="9"/>
      <c r="DQ32" s="9"/>
      <c r="DR32" s="9"/>
      <c r="DS32" s="9"/>
      <c r="DT32" s="9"/>
      <c r="DU32" s="9"/>
      <c r="DV32" s="9"/>
      <c r="DW32" s="9"/>
      <c r="DX32" s="9"/>
      <c r="DY32" s="9"/>
      <c r="DZ32" s="9"/>
      <c r="EA32" s="9"/>
      <c r="EB32" s="9"/>
      <c r="EC32" s="9"/>
      <c r="ED32" s="9"/>
      <c r="EE32" s="9"/>
      <c r="EF32" s="9"/>
      <c r="EG32" s="9"/>
      <c r="EH32" s="9"/>
      <c r="EI32" s="9"/>
      <c r="EJ32" s="9"/>
      <c r="EK32" s="9"/>
      <c r="EL32" s="9"/>
      <c r="EM32" s="9"/>
      <c r="EN32" s="9"/>
      <c r="EO32" s="9"/>
      <c r="EP32" s="9"/>
      <c r="EQ32" s="9"/>
      <c r="ER32" s="9"/>
      <c r="ES32" s="9"/>
      <c r="ET32" s="9"/>
      <c r="EU32" s="9"/>
      <c r="EV32" s="9"/>
      <c r="EW32" s="9"/>
      <c r="EX32" s="9"/>
      <c r="EY32" s="9"/>
      <c r="EZ32" s="9"/>
      <c r="FA32" s="9"/>
      <c r="FB32" s="9"/>
      <c r="FC32" s="9"/>
      <c r="FD32" s="9"/>
      <c r="FE32" s="9"/>
      <c r="FF32" s="9"/>
      <c r="FG32" s="9"/>
      <c r="FH32" s="9"/>
      <c r="FI32" s="9"/>
      <c r="FJ32" s="9"/>
      <c r="FK32" s="9"/>
      <c r="FL32" s="9"/>
      <c r="FM32" s="9"/>
      <c r="FN32" s="9"/>
      <c r="FO32" s="9"/>
      <c r="FP32" s="9"/>
      <c r="FQ32" s="9"/>
      <c r="FR32" s="9"/>
      <c r="FS32" s="9"/>
      <c r="FT32" s="9"/>
      <c r="FU32" s="9"/>
      <c r="FV32" s="9"/>
      <c r="FW32" s="9"/>
      <c r="FX32" s="9"/>
      <c r="FY32" s="9"/>
      <c r="FZ32" s="9"/>
      <c r="GA32" s="9"/>
      <c r="GB32" s="9"/>
      <c r="GC32" s="9"/>
      <c r="GD32" s="9"/>
      <c r="GE32" s="9"/>
      <c r="GF32" s="9"/>
      <c r="GG32" s="9"/>
      <c r="GH32" s="9"/>
      <c r="GI32" s="9"/>
      <c r="GJ32" s="9"/>
      <c r="GK32" s="9"/>
      <c r="GL32" s="9"/>
      <c r="GM32" s="9"/>
      <c r="GN32" s="9"/>
      <c r="GO32" s="9"/>
      <c r="GP32" s="9"/>
      <c r="GQ32" s="9"/>
      <c r="GR32" s="9"/>
      <c r="GS32" s="9"/>
      <c r="GT32" s="9"/>
      <c r="GU32" s="9"/>
      <c r="GV32" s="9"/>
      <c r="GW32" s="9"/>
      <c r="GX32" s="9"/>
      <c r="GY32" s="9"/>
      <c r="GZ32" s="9"/>
      <c r="HA32" s="9"/>
      <c r="HB32" s="9"/>
      <c r="HC32" s="9"/>
      <c r="HD32" s="9"/>
      <c r="HE32" s="9"/>
      <c r="HF32" s="9"/>
      <c r="HG32" s="9"/>
      <c r="HH32" s="9"/>
      <c r="HI32" s="9"/>
      <c r="HJ32" s="9"/>
      <c r="HK32" s="9"/>
      <c r="HL32" s="9"/>
      <c r="HM32" s="9"/>
      <c r="HN32" s="9"/>
      <c r="HO32" s="9"/>
      <c r="HP32" s="9"/>
      <c r="HQ32" s="9"/>
      <c r="HR32" s="9"/>
      <c r="HS32" s="9"/>
      <c r="HT32" s="9"/>
      <c r="HU32" s="9"/>
      <c r="HV32" s="9"/>
      <c r="HW32" s="9"/>
      <c r="HX32" s="9"/>
    </row>
    <row r="33" spans="1:232" ht="12" customHeight="1">
      <c r="A33" s="1041"/>
      <c r="B33" s="1041"/>
      <c r="C33" s="1041"/>
      <c r="D33" s="1041"/>
      <c r="E33" s="1041"/>
      <c r="F33" s="1041"/>
      <c r="G33" s="1041"/>
      <c r="H33" s="1041"/>
      <c r="I33" s="1041"/>
      <c r="J33" s="1050"/>
      <c r="K33" s="752"/>
      <c r="L33" s="754"/>
      <c r="M33" s="610"/>
      <c r="N33" s="610"/>
      <c r="O33" s="939"/>
      <c r="P33" s="939"/>
      <c r="Q33" s="610"/>
      <c r="R33" s="610"/>
      <c r="S33" s="308"/>
      <c r="T33" s="695"/>
      <c r="U33" s="684" t="s">
        <v>852</v>
      </c>
      <c r="V33" s="685">
        <f>I8/1000000000</f>
        <v>75.111620000000002</v>
      </c>
      <c r="W33" s="687">
        <f>SUM(W29:W32)</f>
        <v>1</v>
      </c>
      <c r="X33" s="373"/>
      <c r="Y33" s="669"/>
      <c r="Z33" s="669"/>
      <c r="AA33" s="669"/>
      <c r="AB33" s="669"/>
      <c r="AC33" s="669"/>
      <c r="AD33" s="669"/>
      <c r="AE33" s="669"/>
      <c r="AF33" s="669"/>
      <c r="AG33" s="669"/>
      <c r="AH33" s="669"/>
      <c r="AI33" s="669"/>
      <c r="AJ33" s="669"/>
      <c r="AK33" s="669"/>
      <c r="AL33" s="669"/>
      <c r="AM33" s="669"/>
      <c r="AN33" s="669"/>
      <c r="AO33" s="669"/>
      <c r="AP33" s="669"/>
      <c r="AQ33" s="669"/>
      <c r="AR33" s="669"/>
      <c r="AS33" s="669"/>
      <c r="AT33" s="669"/>
      <c r="AU33" s="669"/>
      <c r="AV33" s="669"/>
      <c r="AW33" s="669"/>
      <c r="AX33" s="669"/>
      <c r="AY33" s="669"/>
      <c r="AZ33" s="669"/>
      <c r="BA33" s="669"/>
      <c r="BB33" s="669"/>
      <c r="BC33" s="669"/>
      <c r="BD33" s="669"/>
      <c r="BE33" s="669"/>
      <c r="BF33" s="669"/>
      <c r="BG33" s="669"/>
      <c r="BH33" s="669"/>
      <c r="BI33" s="669"/>
      <c r="BJ33" s="669"/>
      <c r="BK33" s="669"/>
      <c r="BL33" s="669"/>
      <c r="BM33" s="669"/>
      <c r="BN33" s="669"/>
      <c r="BO33" s="669"/>
      <c r="BP33" s="669"/>
      <c r="BQ33" s="669"/>
      <c r="BR33" s="669"/>
      <c r="BS33" s="669"/>
      <c r="BT33" s="669"/>
      <c r="BU33" s="669"/>
      <c r="BV33" s="669"/>
      <c r="BW33" s="669"/>
      <c r="BX33" s="669"/>
      <c r="BY33" s="669"/>
      <c r="BZ33" s="669"/>
      <c r="CA33" s="669"/>
      <c r="CB33" s="669"/>
      <c r="CC33" s="669"/>
      <c r="CD33" s="669"/>
      <c r="CE33" s="669"/>
      <c r="CF33" s="669"/>
      <c r="CG33" s="669"/>
      <c r="CH33" s="669"/>
      <c r="CI33" s="669"/>
      <c r="CJ33" s="669"/>
      <c r="CK33" s="669"/>
      <c r="CL33" s="669"/>
      <c r="CM33" s="669"/>
      <c r="CN33" s="669"/>
      <c r="CO33" s="669"/>
      <c r="CP33" s="669"/>
      <c r="CQ33" s="669"/>
      <c r="CR33" s="669"/>
      <c r="CS33" s="669"/>
      <c r="CT33" s="669"/>
      <c r="CU33" s="669"/>
      <c r="CV33" s="669"/>
      <c r="CW33" s="9"/>
      <c r="CX33" s="9"/>
      <c r="CY33" s="9"/>
      <c r="CZ33" s="9"/>
      <c r="DA33" s="9"/>
      <c r="DB33" s="9"/>
      <c r="DC33" s="9"/>
      <c r="DD33" s="9"/>
      <c r="DE33" s="9"/>
      <c r="DF33" s="9"/>
      <c r="DG33" s="9"/>
      <c r="DH33" s="9"/>
      <c r="DI33" s="9"/>
      <c r="DJ33" s="9"/>
      <c r="DK33" s="9"/>
      <c r="DL33" s="9"/>
      <c r="DM33" s="9"/>
      <c r="DN33" s="9"/>
      <c r="DO33" s="9"/>
      <c r="DP33" s="9"/>
      <c r="DQ33" s="9"/>
      <c r="DR33" s="9"/>
      <c r="DS33" s="9"/>
      <c r="DT33" s="9"/>
      <c r="DU33" s="9"/>
      <c r="DV33" s="9"/>
      <c r="DW33" s="9"/>
      <c r="DX33" s="9"/>
      <c r="DY33" s="9"/>
      <c r="DZ33" s="9"/>
      <c r="EA33" s="9"/>
      <c r="EB33" s="9"/>
      <c r="EC33" s="9"/>
      <c r="ED33" s="9"/>
      <c r="EE33" s="9"/>
      <c r="EF33" s="9"/>
      <c r="EG33" s="9"/>
      <c r="EH33" s="9"/>
      <c r="EI33" s="9"/>
      <c r="EJ33" s="9"/>
      <c r="EK33" s="9"/>
      <c r="EL33" s="9"/>
      <c r="EM33" s="9"/>
      <c r="EN33" s="9"/>
      <c r="EO33" s="9"/>
      <c r="EP33" s="9"/>
      <c r="EQ33" s="9"/>
      <c r="ER33" s="9"/>
      <c r="ES33" s="9"/>
      <c r="ET33" s="9"/>
      <c r="EU33" s="9"/>
      <c r="EV33" s="9"/>
      <c r="EW33" s="9"/>
      <c r="EX33" s="9"/>
      <c r="EY33" s="9"/>
      <c r="EZ33" s="9"/>
      <c r="FA33" s="9"/>
      <c r="FB33" s="9"/>
      <c r="FC33" s="9"/>
      <c r="FD33" s="9"/>
      <c r="FE33" s="9"/>
      <c r="FF33" s="9"/>
      <c r="FG33" s="9"/>
      <c r="FH33" s="9"/>
      <c r="FI33" s="9"/>
      <c r="FJ33" s="9"/>
      <c r="FK33" s="9"/>
      <c r="FL33" s="9"/>
      <c r="FM33" s="9"/>
      <c r="FN33" s="9"/>
      <c r="FO33" s="9"/>
      <c r="FP33" s="9"/>
      <c r="FQ33" s="9"/>
      <c r="FR33" s="9"/>
      <c r="FS33" s="9"/>
      <c r="FT33" s="9"/>
      <c r="FU33" s="9"/>
      <c r="FV33" s="9"/>
      <c r="FW33" s="9"/>
      <c r="FX33" s="9"/>
      <c r="FY33" s="9"/>
      <c r="FZ33" s="9"/>
      <c r="GA33" s="9"/>
      <c r="GB33" s="9"/>
      <c r="GC33" s="9"/>
      <c r="GD33" s="9"/>
      <c r="GE33" s="9"/>
      <c r="GF33" s="9"/>
      <c r="GG33" s="9"/>
      <c r="GH33" s="9"/>
      <c r="GI33" s="9"/>
      <c r="GJ33" s="9"/>
      <c r="GK33" s="9"/>
      <c r="GL33" s="9"/>
      <c r="GM33" s="9"/>
      <c r="GN33" s="9"/>
      <c r="GO33" s="9"/>
      <c r="GP33" s="9"/>
      <c r="GQ33" s="9"/>
      <c r="GR33" s="9"/>
      <c r="GS33" s="9"/>
      <c r="GT33" s="9"/>
      <c r="GU33" s="9"/>
      <c r="GV33" s="9"/>
      <c r="GW33" s="9"/>
      <c r="GX33" s="9"/>
      <c r="GY33" s="9"/>
      <c r="GZ33" s="9"/>
      <c r="HA33" s="9"/>
      <c r="HB33" s="9"/>
      <c r="HC33" s="9"/>
      <c r="HD33" s="9"/>
      <c r="HE33" s="9"/>
      <c r="HF33" s="9"/>
      <c r="HG33" s="9"/>
      <c r="HH33" s="9"/>
      <c r="HI33" s="9"/>
      <c r="HJ33" s="9"/>
      <c r="HK33" s="9"/>
      <c r="HL33" s="9"/>
      <c r="HM33" s="9"/>
      <c r="HN33" s="9"/>
      <c r="HO33" s="9"/>
      <c r="HP33" s="9"/>
      <c r="HQ33" s="9"/>
      <c r="HR33" s="9"/>
      <c r="HS33" s="9"/>
      <c r="HT33" s="9"/>
      <c r="HU33" s="9"/>
      <c r="HV33" s="9"/>
      <c r="HW33" s="9"/>
      <c r="HX33" s="9"/>
    </row>
    <row r="34" spans="1:232" ht="15" customHeight="1">
      <c r="A34" s="1041" t="s">
        <v>14</v>
      </c>
      <c r="B34" s="1051"/>
      <c r="C34" s="1051"/>
      <c r="D34" s="1051"/>
      <c r="E34" s="1051"/>
      <c r="F34" s="1051"/>
      <c r="G34" s="1051"/>
      <c r="H34" s="1051">
        <f>46141801.78</f>
        <v>46141801.780000001</v>
      </c>
      <c r="I34" s="1051">
        <v>49790482.079999998</v>
      </c>
      <c r="J34" s="1052"/>
      <c r="K34" s="760">
        <f>I34/H34-1</f>
        <v>7.9075375456653774E-2</v>
      </c>
      <c r="L34" s="754"/>
      <c r="M34" s="610"/>
      <c r="N34" s="610"/>
      <c r="O34" s="940"/>
      <c r="P34" s="940"/>
      <c r="Q34" s="610"/>
      <c r="R34" s="610"/>
      <c r="S34" s="308"/>
      <c r="T34" s="695"/>
      <c r="U34" s="684"/>
      <c r="V34" s="684">
        <f>34.3+1.4+1.6+62.7</f>
        <v>100</v>
      </c>
      <c r="W34" s="373"/>
      <c r="X34" s="373"/>
      <c r="Y34" s="669"/>
      <c r="Z34" s="669"/>
      <c r="AA34" s="669"/>
      <c r="AB34" s="669"/>
      <c r="AC34" s="669"/>
      <c r="AD34" s="669"/>
      <c r="AE34" s="669"/>
      <c r="AF34" s="669"/>
      <c r="AG34" s="669"/>
      <c r="AH34" s="669"/>
      <c r="AI34" s="669"/>
      <c r="AJ34" s="669"/>
      <c r="AK34" s="669"/>
      <c r="AL34" s="669"/>
      <c r="AM34" s="669"/>
      <c r="AN34" s="669"/>
      <c r="AO34" s="669"/>
      <c r="AP34" s="669"/>
      <c r="AQ34" s="669"/>
      <c r="AR34" s="669"/>
      <c r="AS34" s="669"/>
      <c r="AT34" s="669"/>
      <c r="AU34" s="669"/>
      <c r="AV34" s="669"/>
      <c r="AW34" s="669"/>
      <c r="AX34" s="669"/>
      <c r="AY34" s="669"/>
      <c r="AZ34" s="669"/>
      <c r="BA34" s="669"/>
      <c r="BB34" s="669"/>
      <c r="BC34" s="669"/>
      <c r="BD34" s="669"/>
      <c r="BE34" s="669"/>
      <c r="BF34" s="669"/>
      <c r="BG34" s="669"/>
      <c r="BH34" s="669"/>
      <c r="BI34" s="669"/>
      <c r="BJ34" s="669"/>
      <c r="BK34" s="669"/>
      <c r="BL34" s="669"/>
      <c r="BM34" s="669"/>
      <c r="BN34" s="669"/>
      <c r="BO34" s="669"/>
      <c r="BP34" s="669"/>
      <c r="BQ34" s="669"/>
      <c r="BR34" s="669"/>
      <c r="BS34" s="669"/>
      <c r="BT34" s="669"/>
      <c r="BU34" s="669"/>
      <c r="BV34" s="669"/>
      <c r="BW34" s="669"/>
      <c r="BX34" s="669"/>
      <c r="BY34" s="669"/>
      <c r="BZ34" s="669"/>
      <c r="CA34" s="669"/>
      <c r="CB34" s="669"/>
      <c r="CC34" s="669"/>
      <c r="CD34" s="669"/>
      <c r="CE34" s="669"/>
      <c r="CF34" s="669"/>
      <c r="CG34" s="669"/>
      <c r="CH34" s="669"/>
      <c r="CI34" s="669"/>
      <c r="CJ34" s="669"/>
      <c r="CK34" s="669"/>
      <c r="CL34" s="669"/>
      <c r="CM34" s="669"/>
      <c r="CN34" s="669"/>
      <c r="CO34" s="669"/>
      <c r="CP34" s="669"/>
      <c r="CQ34" s="669"/>
      <c r="CR34" s="669"/>
      <c r="CS34" s="669"/>
      <c r="CT34" s="669"/>
      <c r="CU34" s="669"/>
      <c r="CV34" s="669"/>
      <c r="CW34" s="9"/>
      <c r="CX34" s="9"/>
      <c r="CY34" s="9"/>
      <c r="CZ34" s="9"/>
      <c r="DA34" s="9"/>
      <c r="DB34" s="9"/>
      <c r="DC34" s="9"/>
      <c r="DD34" s="9"/>
      <c r="DE34" s="9"/>
      <c r="DF34" s="9"/>
      <c r="DG34" s="9"/>
      <c r="DH34" s="9"/>
      <c r="DI34" s="9"/>
      <c r="DJ34" s="9"/>
      <c r="DK34" s="9"/>
      <c r="DL34" s="9"/>
      <c r="DM34" s="9"/>
      <c r="DN34" s="9"/>
      <c r="DO34" s="9"/>
      <c r="DP34" s="9"/>
      <c r="DQ34" s="9"/>
      <c r="DR34" s="9"/>
      <c r="DS34" s="9"/>
      <c r="DT34" s="9"/>
      <c r="DU34" s="9"/>
      <c r="DV34" s="9"/>
      <c r="DW34" s="9"/>
      <c r="DX34" s="9"/>
      <c r="DY34" s="9"/>
      <c r="DZ34" s="9"/>
      <c r="EA34" s="9"/>
      <c r="EB34" s="9"/>
      <c r="EC34" s="9"/>
      <c r="ED34" s="9"/>
      <c r="EE34" s="9"/>
      <c r="EF34" s="9"/>
      <c r="EG34" s="9"/>
      <c r="EH34" s="9"/>
      <c r="EI34" s="9"/>
      <c r="EJ34" s="9"/>
      <c r="EK34" s="9"/>
      <c r="EL34" s="9"/>
      <c r="EM34" s="9"/>
      <c r="EN34" s="9"/>
      <c r="EO34" s="9"/>
      <c r="EP34" s="9"/>
      <c r="EQ34" s="9"/>
      <c r="ER34" s="9"/>
      <c r="ES34" s="9"/>
      <c r="ET34" s="9"/>
      <c r="EU34" s="9"/>
      <c r="EV34" s="9"/>
      <c r="EW34" s="9"/>
      <c r="EX34" s="9"/>
      <c r="EY34" s="9"/>
      <c r="EZ34" s="9"/>
      <c r="FA34" s="9"/>
      <c r="FB34" s="9"/>
      <c r="FC34" s="9"/>
      <c r="FD34" s="9"/>
      <c r="FE34" s="9"/>
      <c r="FF34" s="9"/>
      <c r="FG34" s="9"/>
      <c r="FH34" s="9"/>
      <c r="FI34" s="9"/>
      <c r="FJ34" s="9"/>
      <c r="FK34" s="9"/>
      <c r="FL34" s="9"/>
      <c r="FM34" s="9"/>
      <c r="FN34" s="9"/>
      <c r="FO34" s="9"/>
      <c r="FP34" s="9"/>
      <c r="FQ34" s="9"/>
      <c r="FR34" s="9"/>
      <c r="FS34" s="9"/>
      <c r="FT34" s="9"/>
      <c r="FU34" s="9"/>
      <c r="FV34" s="9"/>
      <c r="FW34" s="9"/>
      <c r="FX34" s="9"/>
      <c r="FY34" s="9"/>
      <c r="FZ34" s="9"/>
      <c r="GA34" s="9"/>
      <c r="GB34" s="9"/>
      <c r="GC34" s="9"/>
      <c r="GD34" s="9"/>
      <c r="GE34" s="9"/>
      <c r="GF34" s="9"/>
      <c r="GG34" s="9"/>
      <c r="GH34" s="9"/>
      <c r="GI34" s="9"/>
      <c r="GJ34" s="9"/>
      <c r="GK34" s="9"/>
      <c r="GL34" s="9"/>
      <c r="GM34" s="9"/>
      <c r="GN34" s="9"/>
      <c r="GO34" s="9"/>
      <c r="GP34" s="9"/>
      <c r="GQ34" s="9"/>
      <c r="GR34" s="9"/>
      <c r="GS34" s="9"/>
      <c r="GT34" s="9"/>
      <c r="GU34" s="9"/>
      <c r="GV34" s="9"/>
      <c r="GW34" s="9"/>
      <c r="GX34" s="9"/>
      <c r="GY34" s="9"/>
      <c r="GZ34" s="9"/>
      <c r="HA34" s="9"/>
      <c r="HB34" s="9"/>
      <c r="HC34" s="9"/>
      <c r="HD34" s="9"/>
      <c r="HE34" s="9"/>
      <c r="HF34" s="9"/>
      <c r="HG34" s="9"/>
      <c r="HH34" s="9"/>
      <c r="HI34" s="9"/>
      <c r="HJ34" s="9"/>
      <c r="HK34" s="9"/>
      <c r="HL34" s="9"/>
      <c r="HM34" s="9"/>
      <c r="HN34" s="9"/>
      <c r="HO34" s="9"/>
      <c r="HP34" s="9"/>
      <c r="HQ34" s="9"/>
      <c r="HR34" s="9"/>
      <c r="HS34" s="9"/>
      <c r="HT34" s="9"/>
      <c r="HU34" s="9"/>
      <c r="HV34" s="9"/>
      <c r="HW34" s="9"/>
      <c r="HX34" s="9"/>
    </row>
    <row r="35" spans="1:232" ht="15" customHeight="1">
      <c r="A35" s="1041" t="s">
        <v>15</v>
      </c>
      <c r="B35" s="1053"/>
      <c r="C35" s="1053"/>
      <c r="D35" s="1053"/>
      <c r="E35" s="1053"/>
      <c r="F35" s="1053"/>
      <c r="G35" s="1053"/>
      <c r="H35" s="1053">
        <f>4532077.97</f>
        <v>4532077.97</v>
      </c>
      <c r="I35" s="1053">
        <v>4206599.4400000004</v>
      </c>
      <c r="J35" s="1052"/>
      <c r="K35" s="760">
        <f>I35/H35-1</f>
        <v>-7.1816621901586442E-2</v>
      </c>
      <c r="L35" s="754"/>
      <c r="M35" s="610"/>
      <c r="N35" s="610"/>
      <c r="O35" s="941"/>
      <c r="P35" s="941"/>
      <c r="Q35" s="610"/>
      <c r="R35" s="610"/>
      <c r="S35" s="308"/>
      <c r="T35" s="695"/>
      <c r="U35" s="695"/>
      <c r="V35" s="695"/>
      <c r="W35" s="308"/>
      <c r="X35" s="373"/>
      <c r="Y35" s="669"/>
      <c r="Z35" s="669"/>
      <c r="AA35" s="669"/>
      <c r="AB35" s="669"/>
      <c r="AC35" s="669"/>
      <c r="AD35" s="669"/>
      <c r="AE35" s="669"/>
      <c r="AF35" s="669"/>
      <c r="AG35" s="669"/>
      <c r="AH35" s="669"/>
      <c r="AI35" s="669"/>
      <c r="AJ35" s="669"/>
      <c r="AK35" s="669"/>
      <c r="AL35" s="669"/>
      <c r="AM35" s="669"/>
      <c r="AN35" s="669"/>
      <c r="AO35" s="669"/>
      <c r="AP35" s="669"/>
      <c r="AQ35" s="669"/>
      <c r="AR35" s="669"/>
      <c r="AS35" s="669"/>
      <c r="AT35" s="669"/>
      <c r="AU35" s="669"/>
      <c r="AV35" s="669"/>
      <c r="AW35" s="669"/>
      <c r="AX35" s="669"/>
      <c r="AY35" s="669"/>
      <c r="AZ35" s="669"/>
      <c r="BA35" s="669"/>
      <c r="BB35" s="669"/>
      <c r="BC35" s="669"/>
      <c r="BD35" s="669"/>
      <c r="BE35" s="669"/>
      <c r="BF35" s="669"/>
      <c r="BG35" s="669"/>
      <c r="BH35" s="669"/>
      <c r="BI35" s="669"/>
      <c r="BJ35" s="669"/>
      <c r="BK35" s="669"/>
      <c r="BL35" s="669"/>
      <c r="BM35" s="669"/>
      <c r="BN35" s="669"/>
      <c r="BO35" s="669"/>
      <c r="BP35" s="669"/>
      <c r="BQ35" s="669"/>
      <c r="BR35" s="669"/>
      <c r="BS35" s="669"/>
      <c r="BT35" s="669"/>
      <c r="BU35" s="669"/>
      <c r="BV35" s="669"/>
      <c r="BW35" s="669"/>
      <c r="BX35" s="669"/>
      <c r="BY35" s="669"/>
      <c r="BZ35" s="669"/>
      <c r="CA35" s="669"/>
      <c r="CB35" s="669"/>
      <c r="CC35" s="669"/>
      <c r="CD35" s="669"/>
      <c r="CE35" s="669"/>
      <c r="CF35" s="669"/>
      <c r="CG35" s="669"/>
      <c r="CH35" s="669"/>
      <c r="CI35" s="669"/>
      <c r="CJ35" s="669"/>
      <c r="CK35" s="669"/>
      <c r="CL35" s="669"/>
      <c r="CM35" s="669"/>
      <c r="CN35" s="669"/>
      <c r="CO35" s="669"/>
      <c r="CP35" s="669"/>
      <c r="CQ35" s="669"/>
      <c r="CR35" s="669"/>
      <c r="CS35" s="669"/>
      <c r="CT35" s="669"/>
      <c r="CU35" s="669"/>
      <c r="CV35" s="669"/>
      <c r="CW35" s="9"/>
      <c r="CX35" s="9"/>
      <c r="CY35" s="9"/>
      <c r="CZ35" s="9"/>
      <c r="DA35" s="9"/>
      <c r="DB35" s="9"/>
      <c r="DC35" s="9"/>
      <c r="DD35" s="9"/>
      <c r="DE35" s="9"/>
      <c r="DF35" s="9"/>
      <c r="DG35" s="9"/>
      <c r="DH35" s="9"/>
      <c r="DI35" s="9"/>
      <c r="DJ35" s="9"/>
      <c r="DK35" s="9"/>
      <c r="DL35" s="9"/>
      <c r="DM35" s="9"/>
      <c r="DN35" s="9"/>
      <c r="DO35" s="9"/>
      <c r="DP35" s="9"/>
      <c r="DQ35" s="9"/>
      <c r="DR35" s="9"/>
      <c r="DS35" s="9"/>
      <c r="DT35" s="9"/>
      <c r="DU35" s="9"/>
      <c r="DV35" s="9"/>
      <c r="DW35" s="9"/>
      <c r="DX35" s="9"/>
      <c r="DY35" s="9"/>
      <c r="DZ35" s="9"/>
      <c r="EA35" s="9"/>
      <c r="EB35" s="9"/>
      <c r="EC35" s="9"/>
      <c r="ED35" s="9"/>
      <c r="EE35" s="9"/>
      <c r="EF35" s="9"/>
      <c r="EG35" s="9"/>
      <c r="EH35" s="9"/>
      <c r="EI35" s="9"/>
      <c r="EJ35" s="9"/>
      <c r="EK35" s="9"/>
      <c r="EL35" s="9"/>
      <c r="EM35" s="9"/>
      <c r="EN35" s="9"/>
      <c r="EO35" s="9"/>
      <c r="EP35" s="9"/>
      <c r="EQ35" s="9"/>
      <c r="ER35" s="9"/>
      <c r="ES35" s="9"/>
      <c r="ET35" s="9"/>
      <c r="EU35" s="9"/>
      <c r="EV35" s="9"/>
      <c r="EW35" s="9"/>
      <c r="EX35" s="9"/>
      <c r="EY35" s="9"/>
      <c r="EZ35" s="9"/>
      <c r="FA35" s="9"/>
      <c r="FB35" s="9"/>
      <c r="FC35" s="9"/>
      <c r="FD35" s="9"/>
      <c r="FE35" s="9"/>
      <c r="FF35" s="9"/>
      <c r="FG35" s="9"/>
      <c r="FH35" s="9"/>
      <c r="FI35" s="9"/>
      <c r="FJ35" s="9"/>
      <c r="FK35" s="9"/>
      <c r="FL35" s="9"/>
      <c r="FM35" s="9"/>
      <c r="FN35" s="9"/>
      <c r="FO35" s="9"/>
      <c r="FP35" s="9"/>
      <c r="FQ35" s="9"/>
      <c r="FR35" s="9"/>
      <c r="FS35" s="9"/>
      <c r="FT35" s="9"/>
      <c r="FU35" s="9"/>
      <c r="FV35" s="9"/>
      <c r="FW35" s="9"/>
      <c r="FX35" s="9"/>
      <c r="FY35" s="9"/>
      <c r="FZ35" s="9"/>
      <c r="GA35" s="9"/>
      <c r="GB35" s="9"/>
      <c r="GC35" s="9"/>
      <c r="GD35" s="9"/>
      <c r="GE35" s="9"/>
      <c r="GF35" s="9"/>
      <c r="GG35" s="9"/>
      <c r="GH35" s="9"/>
      <c r="GI35" s="9"/>
      <c r="GJ35" s="9"/>
      <c r="GK35" s="9"/>
      <c r="GL35" s="9"/>
      <c r="GM35" s="9"/>
      <c r="GN35" s="9"/>
      <c r="GO35" s="9"/>
      <c r="GP35" s="9"/>
      <c r="GQ35" s="9"/>
      <c r="GR35" s="9"/>
      <c r="GS35" s="9"/>
      <c r="GT35" s="9"/>
      <c r="GU35" s="9"/>
      <c r="GV35" s="9"/>
      <c r="GW35" s="9"/>
      <c r="GX35" s="9"/>
      <c r="GY35" s="9"/>
      <c r="GZ35" s="9"/>
      <c r="HA35" s="9"/>
      <c r="HB35" s="9"/>
      <c r="HC35" s="9"/>
      <c r="HD35" s="9"/>
      <c r="HE35" s="9"/>
      <c r="HF35" s="9"/>
      <c r="HG35" s="9"/>
      <c r="HH35" s="9"/>
      <c r="HI35" s="9"/>
      <c r="HJ35" s="9"/>
      <c r="HK35" s="9"/>
      <c r="HL35" s="9"/>
      <c r="HM35" s="9"/>
      <c r="HN35" s="9"/>
      <c r="HO35" s="9"/>
      <c r="HP35" s="9"/>
      <c r="HQ35" s="9"/>
      <c r="HR35" s="9"/>
      <c r="HS35" s="9"/>
      <c r="HT35" s="9"/>
      <c r="HU35" s="9"/>
      <c r="HV35" s="9"/>
      <c r="HW35" s="9"/>
      <c r="HX35" s="9"/>
    </row>
    <row r="36" spans="1:232" ht="15" customHeight="1">
      <c r="A36" s="688" t="s">
        <v>980</v>
      </c>
      <c r="B36" s="1054"/>
      <c r="C36" s="1054"/>
      <c r="D36" s="1054"/>
      <c r="E36" s="1054"/>
      <c r="F36" s="1054"/>
      <c r="G36" s="1054"/>
      <c r="H36" s="1054">
        <f>754884.83-223900</f>
        <v>530984.82999999996</v>
      </c>
      <c r="I36" s="1054">
        <f>690221.06-93078.62</f>
        <v>597142.44000000006</v>
      </c>
      <c r="J36" s="1052"/>
      <c r="K36" s="760">
        <f>I36/H36-1</f>
        <v>0.12459416213453811</v>
      </c>
      <c r="L36" s="754"/>
      <c r="M36" s="610"/>
      <c r="N36" s="610"/>
      <c r="O36" s="942"/>
      <c r="P36" s="942"/>
      <c r="Q36" s="610"/>
      <c r="R36" s="610"/>
      <c r="S36" s="308"/>
      <c r="T36" s="695"/>
      <c r="U36" s="695"/>
      <c r="V36" s="695"/>
      <c r="W36" s="308"/>
      <c r="X36" s="669"/>
      <c r="Y36" s="669"/>
      <c r="Z36" s="669"/>
      <c r="AA36" s="669"/>
      <c r="AB36" s="669"/>
      <c r="AC36" s="669"/>
      <c r="AD36" s="669"/>
      <c r="AE36" s="669"/>
      <c r="AF36" s="669"/>
      <c r="AG36" s="669"/>
      <c r="AH36" s="669"/>
      <c r="AI36" s="669"/>
      <c r="AJ36" s="669"/>
      <c r="AK36" s="669"/>
      <c r="AL36" s="669"/>
      <c r="AM36" s="669"/>
      <c r="AN36" s="669"/>
      <c r="AO36" s="669"/>
      <c r="AP36" s="669"/>
      <c r="AQ36" s="669"/>
      <c r="AR36" s="669"/>
      <c r="AS36" s="669"/>
      <c r="AT36" s="669"/>
      <c r="AU36" s="669"/>
      <c r="AV36" s="669"/>
      <c r="AW36" s="669"/>
      <c r="AX36" s="669"/>
      <c r="AY36" s="669"/>
      <c r="AZ36" s="669"/>
      <c r="BA36" s="669"/>
      <c r="BB36" s="669"/>
      <c r="BC36" s="669"/>
      <c r="BD36" s="669"/>
      <c r="BE36" s="669"/>
      <c r="BF36" s="669"/>
      <c r="BG36" s="669"/>
      <c r="BH36" s="669"/>
      <c r="BI36" s="669"/>
      <c r="BJ36" s="669"/>
      <c r="BK36" s="669"/>
      <c r="BL36" s="669"/>
      <c r="BM36" s="669"/>
      <c r="BN36" s="669"/>
      <c r="BO36" s="669"/>
      <c r="BP36" s="669"/>
      <c r="BQ36" s="669"/>
      <c r="BR36" s="669"/>
      <c r="BS36" s="669"/>
      <c r="BT36" s="669"/>
      <c r="BU36" s="669"/>
      <c r="BV36" s="669"/>
      <c r="BW36" s="669"/>
      <c r="BX36" s="669"/>
      <c r="BY36" s="669"/>
      <c r="BZ36" s="669"/>
      <c r="CA36" s="669"/>
      <c r="CB36" s="669"/>
      <c r="CC36" s="669"/>
      <c r="CD36" s="669"/>
      <c r="CE36" s="669"/>
      <c r="CF36" s="669"/>
      <c r="CG36" s="669"/>
      <c r="CH36" s="669"/>
      <c r="CI36" s="669"/>
      <c r="CJ36" s="669"/>
      <c r="CK36" s="669"/>
      <c r="CL36" s="669"/>
      <c r="CM36" s="669"/>
      <c r="CN36" s="669"/>
      <c r="CO36" s="669"/>
      <c r="CP36" s="669"/>
      <c r="CQ36" s="669"/>
      <c r="CR36" s="669"/>
      <c r="CS36" s="669"/>
      <c r="CT36" s="669"/>
      <c r="CU36" s="669"/>
      <c r="CV36" s="669"/>
      <c r="CW36" s="9"/>
      <c r="CX36" s="9"/>
      <c r="CY36" s="9"/>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9"/>
      <c r="GM36" s="9"/>
      <c r="GN36" s="9"/>
      <c r="GO36" s="9"/>
      <c r="GP36" s="9"/>
      <c r="GQ36" s="9"/>
      <c r="GR36" s="9"/>
      <c r="GS36" s="9"/>
      <c r="GT36" s="9"/>
      <c r="GU36" s="9"/>
      <c r="GV36" s="9"/>
      <c r="GW36" s="9"/>
      <c r="GX36" s="9"/>
      <c r="GY36" s="9"/>
      <c r="GZ36" s="9"/>
      <c r="HA36" s="9"/>
      <c r="HB36" s="9"/>
      <c r="HC36" s="9"/>
      <c r="HD36" s="9"/>
      <c r="HE36" s="9"/>
      <c r="HF36" s="9"/>
      <c r="HG36" s="9"/>
      <c r="HH36" s="9"/>
      <c r="HI36" s="9"/>
      <c r="HJ36" s="9"/>
      <c r="HK36" s="9"/>
      <c r="HL36" s="9"/>
      <c r="HM36" s="9"/>
      <c r="HN36" s="9"/>
      <c r="HO36" s="9"/>
      <c r="HP36" s="9"/>
      <c r="HQ36" s="9"/>
      <c r="HR36" s="9"/>
      <c r="HS36" s="9"/>
      <c r="HT36" s="9"/>
      <c r="HU36" s="9"/>
      <c r="HV36" s="9"/>
      <c r="HW36" s="9"/>
      <c r="HX36" s="9"/>
    </row>
    <row r="37" spans="1:232" ht="15" customHeight="1">
      <c r="A37" s="1041" t="s">
        <v>16</v>
      </c>
      <c r="B37" s="1053"/>
      <c r="C37" s="1053"/>
      <c r="D37" s="1053"/>
      <c r="E37" s="1053"/>
      <c r="F37" s="1053"/>
      <c r="G37" s="1053"/>
      <c r="H37" s="1053">
        <f>50055446.57</f>
        <v>50055446.57</v>
      </c>
      <c r="I37" s="1053">
        <v>45005355.57</v>
      </c>
      <c r="J37" s="1052"/>
      <c r="K37" s="760">
        <f>I37/H37-1</f>
        <v>-0.10088993997761475</v>
      </c>
      <c r="L37" s="754"/>
      <c r="M37" s="610"/>
      <c r="N37" s="610"/>
      <c r="O37" s="942"/>
      <c r="P37" s="942"/>
      <c r="Q37" s="610"/>
      <c r="R37" s="610"/>
      <c r="S37" s="308"/>
      <c r="T37" s="695"/>
      <c r="U37" s="695"/>
      <c r="V37" s="695"/>
      <c r="W37" s="669"/>
      <c r="X37" s="669"/>
      <c r="Y37" s="669"/>
      <c r="Z37" s="669"/>
      <c r="AA37" s="669"/>
      <c r="AB37" s="669"/>
      <c r="AC37" s="669"/>
      <c r="AD37" s="669"/>
      <c r="AE37" s="669"/>
      <c r="AF37" s="669"/>
      <c r="AG37" s="669"/>
      <c r="AH37" s="669"/>
      <c r="AI37" s="669"/>
      <c r="AJ37" s="669"/>
      <c r="AK37" s="669"/>
      <c r="AL37" s="669"/>
      <c r="AM37" s="669"/>
      <c r="AN37" s="669"/>
      <c r="AO37" s="669"/>
      <c r="AP37" s="669"/>
      <c r="AQ37" s="669"/>
      <c r="AR37" s="669"/>
      <c r="AS37" s="669"/>
      <c r="AT37" s="669"/>
      <c r="AU37" s="669"/>
      <c r="AV37" s="669"/>
      <c r="AW37" s="669"/>
      <c r="AX37" s="669"/>
      <c r="AY37" s="669"/>
      <c r="AZ37" s="669"/>
      <c r="BA37" s="669"/>
      <c r="BB37" s="669"/>
      <c r="BC37" s="669"/>
      <c r="BD37" s="669"/>
      <c r="BE37" s="669"/>
      <c r="BF37" s="669"/>
      <c r="BG37" s="669"/>
      <c r="BH37" s="669"/>
      <c r="BI37" s="669"/>
      <c r="BJ37" s="669"/>
      <c r="BK37" s="669"/>
      <c r="BL37" s="669"/>
      <c r="BM37" s="669"/>
      <c r="BN37" s="669"/>
      <c r="BO37" s="669"/>
      <c r="BP37" s="669"/>
      <c r="BQ37" s="669"/>
      <c r="BR37" s="669"/>
      <c r="BS37" s="669"/>
      <c r="BT37" s="669"/>
      <c r="BU37" s="669"/>
      <c r="BV37" s="669"/>
      <c r="BW37" s="669"/>
      <c r="BX37" s="669"/>
      <c r="BY37" s="669"/>
      <c r="BZ37" s="669"/>
      <c r="CA37" s="669"/>
      <c r="CB37" s="669"/>
      <c r="CC37" s="669"/>
      <c r="CD37" s="669"/>
      <c r="CE37" s="669"/>
      <c r="CF37" s="669"/>
      <c r="CG37" s="669"/>
      <c r="CH37" s="669"/>
      <c r="CI37" s="669"/>
      <c r="CJ37" s="669"/>
      <c r="CK37" s="669"/>
      <c r="CL37" s="669"/>
      <c r="CM37" s="669"/>
      <c r="CN37" s="669"/>
      <c r="CO37" s="669"/>
      <c r="CP37" s="669"/>
      <c r="CQ37" s="669"/>
      <c r="CR37" s="669"/>
      <c r="CS37" s="669"/>
      <c r="CT37" s="669"/>
      <c r="CU37" s="669"/>
      <c r="CV37" s="669"/>
      <c r="CW37" s="9"/>
      <c r="CX37" s="9"/>
      <c r="CY37" s="9"/>
      <c r="CZ37" s="9"/>
      <c r="DA37" s="9"/>
      <c r="DB37" s="9"/>
      <c r="DC37" s="9"/>
      <c r="DD37" s="9"/>
      <c r="DE37" s="9"/>
      <c r="DF37" s="9"/>
      <c r="DG37" s="9"/>
      <c r="DH37" s="9"/>
      <c r="DI37" s="9"/>
      <c r="DJ37" s="9"/>
      <c r="DK37" s="9"/>
      <c r="DL37" s="9"/>
      <c r="DM37" s="9"/>
      <c r="DN37" s="9"/>
      <c r="DO37" s="9"/>
      <c r="DP37" s="9"/>
      <c r="DQ37" s="9"/>
      <c r="DR37" s="9"/>
      <c r="DS37" s="9"/>
      <c r="DT37" s="9"/>
      <c r="DU37" s="9"/>
      <c r="DV37" s="9"/>
      <c r="DW37" s="9"/>
      <c r="DX37" s="9"/>
      <c r="DY37" s="9"/>
      <c r="DZ37" s="9"/>
      <c r="EA37" s="9"/>
      <c r="EB37" s="9"/>
      <c r="EC37" s="9"/>
      <c r="ED37" s="9"/>
      <c r="EE37" s="9"/>
      <c r="EF37" s="9"/>
      <c r="EG37" s="9"/>
      <c r="EH37" s="9"/>
      <c r="EI37" s="9"/>
      <c r="EJ37" s="9"/>
      <c r="EK37" s="9"/>
      <c r="EL37" s="9"/>
      <c r="EM37" s="9"/>
      <c r="EN37" s="9"/>
      <c r="EO37" s="9"/>
      <c r="EP37" s="9"/>
      <c r="EQ37" s="9"/>
      <c r="ER37" s="9"/>
      <c r="ES37" s="9"/>
      <c r="ET37" s="9"/>
      <c r="EU37" s="9"/>
      <c r="EV37" s="9"/>
      <c r="EW37" s="9"/>
      <c r="EX37" s="9"/>
      <c r="EY37" s="9"/>
      <c r="EZ37" s="9"/>
      <c r="FA37" s="9"/>
      <c r="FB37" s="9"/>
      <c r="FC37" s="9"/>
      <c r="FD37" s="9"/>
      <c r="FE37" s="9"/>
      <c r="FF37" s="9"/>
      <c r="FG37" s="9"/>
      <c r="FH37" s="9"/>
      <c r="FI37" s="9"/>
      <c r="FJ37" s="9"/>
      <c r="FK37" s="9"/>
      <c r="FL37" s="9"/>
      <c r="FM37" s="9"/>
      <c r="FN37" s="9"/>
      <c r="FO37" s="9"/>
      <c r="FP37" s="9"/>
      <c r="FQ37" s="9"/>
      <c r="FR37" s="9"/>
      <c r="FS37" s="9"/>
      <c r="FT37" s="9"/>
      <c r="FU37" s="9"/>
      <c r="FV37" s="9"/>
      <c r="FW37" s="9"/>
      <c r="FX37" s="9"/>
      <c r="FY37" s="9"/>
      <c r="FZ37" s="9"/>
      <c r="GA37" s="9"/>
      <c r="GB37" s="9"/>
      <c r="GC37" s="9"/>
      <c r="GD37" s="9"/>
      <c r="GE37" s="9"/>
      <c r="GF37" s="9"/>
      <c r="GG37" s="9"/>
      <c r="GH37" s="9"/>
      <c r="GI37" s="9"/>
      <c r="GJ37" s="9"/>
      <c r="GK37" s="9"/>
      <c r="GL37" s="9"/>
      <c r="GM37" s="9"/>
      <c r="GN37" s="9"/>
      <c r="GO37" s="9"/>
      <c r="GP37" s="9"/>
      <c r="GQ37" s="9"/>
      <c r="GR37" s="9"/>
      <c r="GS37" s="9"/>
      <c r="GT37" s="9"/>
      <c r="GU37" s="9"/>
      <c r="GV37" s="9"/>
      <c r="GW37" s="9"/>
      <c r="GX37" s="9"/>
      <c r="GY37" s="9"/>
      <c r="GZ37" s="9"/>
      <c r="HA37" s="9"/>
      <c r="HB37" s="9"/>
      <c r="HC37" s="9"/>
      <c r="HD37" s="9"/>
      <c r="HE37" s="9"/>
      <c r="HF37" s="9"/>
      <c r="HG37" s="9"/>
      <c r="HH37" s="9"/>
      <c r="HI37" s="9"/>
      <c r="HJ37" s="9"/>
      <c r="HK37" s="9"/>
      <c r="HL37" s="9"/>
      <c r="HM37" s="9"/>
      <c r="HN37" s="9"/>
      <c r="HO37" s="9"/>
      <c r="HP37" s="9"/>
      <c r="HQ37" s="9"/>
      <c r="HR37" s="9"/>
      <c r="HS37" s="9"/>
      <c r="HT37" s="9"/>
      <c r="HU37" s="9"/>
      <c r="HV37" s="9"/>
      <c r="HW37" s="9"/>
      <c r="HX37" s="9"/>
    </row>
    <row r="38" spans="1:232" ht="13.5" customHeight="1">
      <c r="A38" s="1041"/>
      <c r="B38" s="1051"/>
      <c r="C38" s="1051"/>
      <c r="D38" s="1051"/>
      <c r="E38" s="1051"/>
      <c r="F38" s="1051"/>
      <c r="G38" s="1051"/>
      <c r="H38" s="1051"/>
      <c r="I38" s="1051"/>
      <c r="J38" s="1055"/>
      <c r="K38" s="753"/>
      <c r="L38" s="754"/>
      <c r="M38" s="610"/>
      <c r="N38" s="610"/>
      <c r="O38" s="942"/>
      <c r="P38" s="942"/>
      <c r="Q38" s="610"/>
      <c r="R38" s="610"/>
      <c r="S38" s="308"/>
      <c r="T38" s="695"/>
      <c r="U38" s="695"/>
      <c r="V38" s="695"/>
      <c r="W38" s="669"/>
      <c r="X38" s="669"/>
      <c r="Y38" s="669"/>
      <c r="Z38" s="669"/>
      <c r="AA38" s="669"/>
      <c r="AB38" s="669"/>
      <c r="AC38" s="669"/>
      <c r="AD38" s="669"/>
      <c r="AE38" s="669"/>
      <c r="AF38" s="669"/>
      <c r="AG38" s="669"/>
      <c r="AH38" s="669"/>
      <c r="AI38" s="669"/>
      <c r="AJ38" s="669"/>
      <c r="AK38" s="669"/>
      <c r="AL38" s="669"/>
      <c r="AM38" s="669"/>
      <c r="AN38" s="669"/>
      <c r="AO38" s="669"/>
      <c r="AP38" s="669"/>
      <c r="AQ38" s="669"/>
      <c r="AR38" s="669"/>
      <c r="AS38" s="669"/>
      <c r="AT38" s="669"/>
      <c r="AU38" s="669"/>
      <c r="AV38" s="669"/>
      <c r="AW38" s="669"/>
      <c r="AX38" s="669"/>
      <c r="AY38" s="669"/>
      <c r="AZ38" s="669"/>
      <c r="BA38" s="669"/>
      <c r="BB38" s="669"/>
      <c r="BC38" s="669"/>
      <c r="BD38" s="669"/>
      <c r="BE38" s="669"/>
      <c r="BF38" s="669"/>
      <c r="BG38" s="669"/>
      <c r="BH38" s="669"/>
      <c r="BI38" s="669"/>
      <c r="BJ38" s="669"/>
      <c r="BK38" s="669"/>
      <c r="BL38" s="669"/>
      <c r="BM38" s="669"/>
      <c r="BN38" s="669"/>
      <c r="BO38" s="669"/>
      <c r="BP38" s="669"/>
      <c r="BQ38" s="669"/>
      <c r="BR38" s="669"/>
      <c r="BS38" s="669"/>
      <c r="BT38" s="669"/>
      <c r="BU38" s="669"/>
      <c r="BV38" s="669"/>
      <c r="BW38" s="669"/>
      <c r="BX38" s="669"/>
      <c r="BY38" s="669"/>
      <c r="BZ38" s="669"/>
      <c r="CA38" s="669"/>
      <c r="CB38" s="669"/>
      <c r="CC38" s="669"/>
      <c r="CD38" s="669"/>
      <c r="CE38" s="669"/>
      <c r="CF38" s="669"/>
      <c r="CG38" s="669"/>
      <c r="CH38" s="669"/>
      <c r="CI38" s="669"/>
      <c r="CJ38" s="669"/>
      <c r="CK38" s="669"/>
      <c r="CL38" s="669"/>
      <c r="CM38" s="669"/>
      <c r="CN38" s="669"/>
      <c r="CO38" s="669"/>
      <c r="CP38" s="669"/>
      <c r="CQ38" s="669"/>
      <c r="CR38" s="669"/>
      <c r="CS38" s="669"/>
      <c r="CT38" s="669"/>
      <c r="CU38" s="669"/>
      <c r="CV38" s="669"/>
      <c r="CW38" s="9"/>
      <c r="CX38" s="9"/>
      <c r="CY38" s="9"/>
      <c r="CZ38" s="9"/>
      <c r="DA38" s="9"/>
      <c r="DB38" s="9"/>
      <c r="DC38" s="9"/>
      <c r="DD38" s="9"/>
      <c r="DE38" s="9"/>
      <c r="DF38" s="9"/>
      <c r="DG38" s="9"/>
      <c r="DH38" s="9"/>
      <c r="DI38" s="9"/>
      <c r="DJ38" s="9"/>
      <c r="DK38" s="9"/>
      <c r="DL38" s="9"/>
      <c r="DM38" s="9"/>
      <c r="DN38" s="9"/>
      <c r="DO38" s="9"/>
      <c r="DP38" s="9"/>
      <c r="DQ38" s="9"/>
      <c r="DR38" s="9"/>
      <c r="DS38" s="9"/>
      <c r="DT38" s="9"/>
      <c r="DU38" s="9"/>
      <c r="DV38" s="9"/>
      <c r="DW38" s="9"/>
      <c r="DX38" s="9"/>
      <c r="DY38" s="9"/>
      <c r="DZ38" s="9"/>
      <c r="EA38" s="9"/>
      <c r="EB38" s="9"/>
      <c r="EC38" s="9"/>
      <c r="ED38" s="9"/>
      <c r="EE38" s="9"/>
      <c r="EF38" s="9"/>
      <c r="EG38" s="9"/>
      <c r="EH38" s="9"/>
      <c r="EI38" s="9"/>
      <c r="EJ38" s="9"/>
      <c r="EK38" s="9"/>
      <c r="EL38" s="9"/>
      <c r="EM38" s="9"/>
      <c r="EN38" s="9"/>
      <c r="EO38" s="9"/>
      <c r="EP38" s="9"/>
      <c r="EQ38" s="9"/>
      <c r="ER38" s="9"/>
      <c r="ES38" s="9"/>
      <c r="ET38" s="9"/>
      <c r="EU38" s="9"/>
      <c r="EV38" s="9"/>
      <c r="EW38" s="9"/>
      <c r="EX38" s="9"/>
      <c r="EY38" s="9"/>
      <c r="EZ38" s="9"/>
      <c r="FA38" s="9"/>
      <c r="FB38" s="9"/>
      <c r="FC38" s="9"/>
      <c r="FD38" s="9"/>
      <c r="FE38" s="9"/>
      <c r="FF38" s="9"/>
      <c r="FG38" s="9"/>
      <c r="FH38" s="9"/>
      <c r="FI38" s="9"/>
      <c r="FJ38" s="9"/>
      <c r="FK38" s="9"/>
      <c r="FL38" s="9"/>
      <c r="FM38" s="9"/>
      <c r="FN38" s="9"/>
      <c r="FO38" s="9"/>
      <c r="FP38" s="9"/>
      <c r="FQ38" s="9"/>
      <c r="FR38" s="9"/>
      <c r="FS38" s="9"/>
      <c r="FT38" s="9"/>
      <c r="FU38" s="9"/>
      <c r="FV38" s="9"/>
      <c r="FW38" s="9"/>
      <c r="FX38" s="9"/>
      <c r="FY38" s="9"/>
      <c r="FZ38" s="9"/>
      <c r="GA38" s="9"/>
      <c r="GB38" s="9"/>
      <c r="GC38" s="9"/>
      <c r="GD38" s="9"/>
      <c r="GE38" s="9"/>
      <c r="GF38" s="9"/>
      <c r="GG38" s="9"/>
      <c r="GH38" s="9"/>
      <c r="GI38" s="9"/>
      <c r="GJ38" s="9"/>
      <c r="GK38" s="9"/>
      <c r="GL38" s="9"/>
      <c r="GM38" s="9"/>
      <c r="GN38" s="9"/>
      <c r="GO38" s="9"/>
      <c r="GP38" s="9"/>
      <c r="GQ38" s="9"/>
      <c r="GR38" s="9"/>
      <c r="GS38" s="9"/>
      <c r="GT38" s="9"/>
      <c r="GU38" s="9"/>
      <c r="GV38" s="9"/>
      <c r="GW38" s="9"/>
      <c r="GX38" s="9"/>
      <c r="GY38" s="9"/>
      <c r="GZ38" s="9"/>
      <c r="HA38" s="9"/>
      <c r="HB38" s="9"/>
      <c r="HC38" s="9"/>
      <c r="HD38" s="9"/>
      <c r="HE38" s="9"/>
      <c r="HF38" s="9"/>
      <c r="HG38" s="9"/>
      <c r="HH38" s="9"/>
      <c r="HI38" s="9"/>
      <c r="HJ38" s="9"/>
      <c r="HK38" s="9"/>
      <c r="HL38" s="9"/>
      <c r="HM38" s="9"/>
      <c r="HN38" s="9"/>
      <c r="HO38" s="9"/>
      <c r="HP38" s="9"/>
      <c r="HQ38" s="9"/>
      <c r="HR38" s="9"/>
      <c r="HS38" s="9"/>
      <c r="HT38" s="9"/>
      <c r="HU38" s="9"/>
      <c r="HV38" s="9"/>
      <c r="HW38" s="9"/>
      <c r="HX38" s="9"/>
    </row>
    <row r="39" spans="1:232" ht="15.75" customHeight="1" thickBot="1">
      <c r="A39" s="1056" t="s">
        <v>17</v>
      </c>
      <c r="B39" s="1057">
        <f t="shared" ref="B39:I39" si="5">SUM(B34:B37)</f>
        <v>0</v>
      </c>
      <c r="C39" s="1057">
        <f t="shared" si="5"/>
        <v>0</v>
      </c>
      <c r="D39" s="1057">
        <f t="shared" si="5"/>
        <v>0</v>
      </c>
      <c r="E39" s="1057">
        <f t="shared" si="5"/>
        <v>0</v>
      </c>
      <c r="F39" s="1057">
        <f t="shared" si="5"/>
        <v>0</v>
      </c>
      <c r="G39" s="1057">
        <f t="shared" si="5"/>
        <v>0</v>
      </c>
      <c r="H39" s="1057">
        <f t="shared" si="5"/>
        <v>101260311.15000001</v>
      </c>
      <c r="I39" s="1057">
        <f t="shared" si="5"/>
        <v>99599579.530000001</v>
      </c>
      <c r="J39" s="1055"/>
      <c r="K39" s="753"/>
      <c r="L39" s="754"/>
      <c r="M39" s="610"/>
      <c r="N39" s="610"/>
      <c r="O39" s="942"/>
      <c r="P39" s="942"/>
      <c r="Q39" s="610"/>
      <c r="R39" s="610"/>
      <c r="S39" s="308"/>
      <c r="T39" s="695"/>
      <c r="U39" s="695"/>
      <c r="V39" s="695"/>
      <c r="W39" s="669"/>
      <c r="X39" s="669"/>
      <c r="Y39" s="669"/>
      <c r="Z39" s="669"/>
      <c r="AA39" s="669"/>
      <c r="AB39" s="669"/>
      <c r="AC39" s="669"/>
      <c r="AD39" s="669"/>
      <c r="AE39" s="669"/>
      <c r="AF39" s="669"/>
      <c r="AG39" s="669"/>
      <c r="AH39" s="669"/>
      <c r="AI39" s="669"/>
      <c r="AJ39" s="669"/>
      <c r="AK39" s="669"/>
      <c r="AL39" s="669"/>
      <c r="AM39" s="669"/>
      <c r="AN39" s="669"/>
      <c r="AO39" s="669"/>
      <c r="AP39" s="669"/>
      <c r="AQ39" s="669"/>
      <c r="AR39" s="669"/>
      <c r="AS39" s="669"/>
      <c r="AT39" s="669"/>
      <c r="AU39" s="669"/>
      <c r="AV39" s="669"/>
      <c r="AW39" s="669"/>
      <c r="AX39" s="669"/>
      <c r="AY39" s="669"/>
      <c r="AZ39" s="669"/>
      <c r="BA39" s="669"/>
      <c r="BB39" s="669"/>
      <c r="BC39" s="669"/>
      <c r="BD39" s="669"/>
      <c r="BE39" s="669"/>
      <c r="BF39" s="669"/>
      <c r="BG39" s="669"/>
      <c r="BH39" s="669"/>
      <c r="BI39" s="669"/>
      <c r="BJ39" s="669"/>
      <c r="BK39" s="669"/>
      <c r="BL39" s="669"/>
      <c r="BM39" s="669"/>
      <c r="BN39" s="669"/>
      <c r="BO39" s="669"/>
      <c r="BP39" s="669"/>
      <c r="BQ39" s="669"/>
      <c r="BR39" s="669"/>
      <c r="BS39" s="669"/>
      <c r="BT39" s="669"/>
      <c r="BU39" s="669"/>
      <c r="BV39" s="669"/>
      <c r="BW39" s="669"/>
      <c r="BX39" s="669"/>
      <c r="BY39" s="669"/>
      <c r="BZ39" s="669"/>
      <c r="CA39" s="669"/>
      <c r="CB39" s="669"/>
      <c r="CC39" s="669"/>
      <c r="CD39" s="669"/>
      <c r="CE39" s="669"/>
      <c r="CF39" s="669"/>
      <c r="CG39" s="669"/>
      <c r="CH39" s="669"/>
      <c r="CI39" s="669"/>
      <c r="CJ39" s="669"/>
      <c r="CK39" s="669"/>
      <c r="CL39" s="669"/>
      <c r="CM39" s="669"/>
      <c r="CN39" s="669"/>
      <c r="CO39" s="669"/>
      <c r="CP39" s="669"/>
      <c r="CQ39" s="669"/>
      <c r="CR39" s="669"/>
      <c r="CS39" s="669"/>
      <c r="CT39" s="669"/>
      <c r="CU39" s="669"/>
      <c r="CV39" s="669"/>
      <c r="CW39" s="9"/>
      <c r="CX39" s="9"/>
      <c r="CY39" s="9"/>
      <c r="CZ39" s="9"/>
      <c r="DA39" s="9"/>
      <c r="DB39" s="9"/>
      <c r="DC39" s="9"/>
      <c r="DD39" s="9"/>
      <c r="DE39" s="9"/>
      <c r="DF39" s="9"/>
      <c r="DG39" s="9"/>
      <c r="DH39" s="9"/>
      <c r="DI39" s="9"/>
      <c r="DJ39" s="9"/>
      <c r="DK39" s="9"/>
      <c r="DL39" s="9"/>
      <c r="DM39" s="9"/>
      <c r="DN39" s="9"/>
      <c r="DO39" s="9"/>
      <c r="DP39" s="9"/>
      <c r="DQ39" s="9"/>
      <c r="DR39" s="9"/>
      <c r="DS39" s="9"/>
      <c r="DT39" s="9"/>
      <c r="DU39" s="9"/>
      <c r="DV39" s="9"/>
      <c r="DW39" s="9"/>
      <c r="DX39" s="9"/>
      <c r="DY39" s="9"/>
      <c r="DZ39" s="9"/>
      <c r="EA39" s="9"/>
      <c r="EB39" s="9"/>
      <c r="EC39" s="9"/>
      <c r="ED39" s="9"/>
      <c r="EE39" s="9"/>
      <c r="EF39" s="9"/>
      <c r="EG39" s="9"/>
      <c r="EH39" s="9"/>
      <c r="EI39" s="9"/>
      <c r="EJ39" s="9"/>
      <c r="EK39" s="9"/>
      <c r="EL39" s="9"/>
      <c r="EM39" s="9"/>
      <c r="EN39" s="9"/>
      <c r="EO39" s="9"/>
      <c r="EP39" s="9"/>
      <c r="EQ39" s="9"/>
      <c r="ER39" s="9"/>
      <c r="ES39" s="9"/>
      <c r="ET39" s="9"/>
      <c r="EU39" s="9"/>
      <c r="EV39" s="9"/>
      <c r="EW39" s="9"/>
      <c r="EX39" s="9"/>
      <c r="EY39" s="9"/>
      <c r="EZ39" s="9"/>
      <c r="FA39" s="9"/>
      <c r="FB39" s="9"/>
      <c r="FC39" s="9"/>
      <c r="FD39" s="9"/>
      <c r="FE39" s="9"/>
      <c r="FF39" s="9"/>
      <c r="FG39" s="9"/>
      <c r="FH39" s="9"/>
      <c r="FI39" s="9"/>
      <c r="FJ39" s="9"/>
      <c r="FK39" s="9"/>
      <c r="FL39" s="9"/>
      <c r="FM39" s="9"/>
      <c r="FN39" s="9"/>
      <c r="FO39" s="9"/>
      <c r="FP39" s="9"/>
      <c r="FQ39" s="9"/>
      <c r="FR39" s="9"/>
      <c r="FS39" s="9"/>
      <c r="FT39" s="9"/>
      <c r="FU39" s="9"/>
      <c r="FV39" s="9"/>
      <c r="FW39" s="9"/>
      <c r="FX39" s="9"/>
      <c r="FY39" s="9"/>
      <c r="FZ39" s="9"/>
      <c r="GA39" s="9"/>
      <c r="GB39" s="9"/>
      <c r="GC39" s="9"/>
      <c r="GD39" s="9"/>
      <c r="GE39" s="9"/>
      <c r="GF39" s="9"/>
      <c r="GG39" s="9"/>
      <c r="GH39" s="9"/>
      <c r="GI39" s="9"/>
      <c r="GJ39" s="9"/>
      <c r="GK39" s="9"/>
      <c r="GL39" s="9"/>
      <c r="GM39" s="9"/>
      <c r="GN39" s="9"/>
      <c r="GO39" s="9"/>
      <c r="GP39" s="9"/>
      <c r="GQ39" s="9"/>
      <c r="GR39" s="9"/>
      <c r="GS39" s="9"/>
      <c r="GT39" s="9"/>
      <c r="GU39" s="9"/>
      <c r="GV39" s="9"/>
      <c r="GW39" s="9"/>
      <c r="GX39" s="9"/>
      <c r="GY39" s="9"/>
      <c r="GZ39" s="9"/>
      <c r="HA39" s="9"/>
      <c r="HB39" s="9"/>
      <c r="HC39" s="9"/>
      <c r="HD39" s="9"/>
      <c r="HE39" s="9"/>
      <c r="HF39" s="9"/>
      <c r="HG39" s="9"/>
      <c r="HH39" s="9"/>
      <c r="HI39" s="9"/>
      <c r="HJ39" s="9"/>
      <c r="HK39" s="9"/>
      <c r="HL39" s="9"/>
      <c r="HM39" s="9"/>
      <c r="HN39" s="9"/>
      <c r="HO39" s="9"/>
      <c r="HP39" s="9"/>
      <c r="HQ39" s="9"/>
      <c r="HR39" s="9"/>
      <c r="HS39" s="9"/>
      <c r="HT39" s="9"/>
      <c r="HU39" s="9"/>
      <c r="HV39" s="9"/>
      <c r="HW39" s="9"/>
      <c r="HX39" s="9"/>
    </row>
    <row r="40" spans="1:232" ht="14.1" customHeight="1" thickTop="1">
      <c r="A40" s="1058"/>
      <c r="B40" s="1059"/>
      <c r="C40" s="1059"/>
      <c r="D40" s="1059"/>
      <c r="E40" s="1059"/>
      <c r="F40" s="1059"/>
      <c r="G40" s="1059"/>
      <c r="H40" s="1059"/>
      <c r="I40" s="1059"/>
      <c r="J40" s="1055"/>
      <c r="K40" s="752"/>
      <c r="L40" s="754"/>
      <c r="M40" s="610"/>
      <c r="N40" s="610"/>
      <c r="O40" s="939"/>
      <c r="P40" s="939"/>
      <c r="Q40" s="610"/>
      <c r="R40" s="610"/>
      <c r="S40" s="669"/>
      <c r="W40" s="669"/>
      <c r="X40" s="669"/>
      <c r="Y40" s="669"/>
      <c r="Z40" s="669"/>
      <c r="AA40" s="669"/>
      <c r="AB40" s="669"/>
      <c r="AC40" s="669"/>
      <c r="AD40" s="669"/>
      <c r="AE40" s="669"/>
      <c r="AF40" s="669"/>
      <c r="AG40" s="669"/>
      <c r="AH40" s="669"/>
      <c r="AI40" s="669"/>
      <c r="AJ40" s="669"/>
      <c r="AK40" s="669"/>
      <c r="AL40" s="669"/>
      <c r="AM40" s="669"/>
      <c r="AN40" s="669"/>
      <c r="AO40" s="669"/>
      <c r="AP40" s="669"/>
      <c r="AQ40" s="669"/>
      <c r="AR40" s="669"/>
      <c r="AS40" s="669"/>
      <c r="AT40" s="669"/>
      <c r="AU40" s="669"/>
      <c r="AV40" s="669"/>
      <c r="AW40" s="669"/>
      <c r="AX40" s="669"/>
      <c r="AY40" s="669"/>
      <c r="AZ40" s="669"/>
      <c r="BA40" s="669"/>
      <c r="BB40" s="669"/>
      <c r="BC40" s="669"/>
      <c r="BD40" s="669"/>
      <c r="BE40" s="669"/>
      <c r="BF40" s="669"/>
      <c r="BG40" s="669"/>
      <c r="BH40" s="669"/>
      <c r="BI40" s="669"/>
      <c r="BJ40" s="669"/>
      <c r="BK40" s="669"/>
      <c r="BL40" s="669"/>
      <c r="BM40" s="669"/>
      <c r="BN40" s="669"/>
      <c r="BO40" s="669"/>
      <c r="BP40" s="669"/>
      <c r="BQ40" s="669"/>
      <c r="BR40" s="669"/>
      <c r="BS40" s="669"/>
      <c r="BT40" s="669"/>
      <c r="BU40" s="669"/>
      <c r="BV40" s="669"/>
      <c r="BW40" s="669"/>
      <c r="BX40" s="669"/>
      <c r="BY40" s="669"/>
      <c r="BZ40" s="669"/>
      <c r="CA40" s="669"/>
      <c r="CB40" s="669"/>
      <c r="CC40" s="669"/>
      <c r="CD40" s="669"/>
      <c r="CE40" s="669"/>
      <c r="CF40" s="669"/>
      <c r="CG40" s="669"/>
      <c r="CH40" s="669"/>
      <c r="CI40" s="669"/>
      <c r="CJ40" s="669"/>
      <c r="CK40" s="669"/>
      <c r="CL40" s="669"/>
      <c r="CM40" s="669"/>
      <c r="CN40" s="669"/>
      <c r="CO40" s="669"/>
      <c r="CP40" s="669"/>
      <c r="CQ40" s="669"/>
      <c r="CR40" s="669"/>
      <c r="CS40" s="669"/>
      <c r="CT40" s="669"/>
      <c r="CU40" s="669"/>
      <c r="CV40" s="669"/>
      <c r="CW40" s="9"/>
      <c r="CX40" s="9"/>
      <c r="CY40" s="9"/>
      <c r="CZ40" s="9"/>
      <c r="DA40" s="9"/>
      <c r="DB40" s="9"/>
      <c r="DC40" s="9"/>
      <c r="DD40" s="9"/>
      <c r="DE40" s="9"/>
      <c r="DF40" s="9"/>
      <c r="DG40" s="9"/>
      <c r="DH40" s="9"/>
      <c r="DI40" s="9"/>
      <c r="DJ40" s="9"/>
      <c r="DK40" s="9"/>
      <c r="DL40" s="9"/>
      <c r="DM40" s="9"/>
      <c r="DN40" s="9"/>
      <c r="DO40" s="9"/>
      <c r="DP40" s="9"/>
      <c r="DQ40" s="9"/>
      <c r="DR40" s="9"/>
      <c r="DS40" s="9"/>
      <c r="DT40" s="9"/>
      <c r="DU40" s="9"/>
      <c r="DV40" s="9"/>
      <c r="DW40" s="9"/>
      <c r="DX40" s="9"/>
      <c r="DY40" s="9"/>
      <c r="DZ40" s="9"/>
      <c r="EA40" s="9"/>
      <c r="EB40" s="9"/>
      <c r="EC40" s="9"/>
      <c r="ED40" s="9"/>
      <c r="EE40" s="9"/>
      <c r="EF40" s="9"/>
      <c r="EG40" s="9"/>
      <c r="EH40" s="9"/>
      <c r="EI40" s="9"/>
      <c r="EJ40" s="9"/>
      <c r="EK40" s="9"/>
      <c r="EL40" s="9"/>
      <c r="EM40" s="9"/>
      <c r="EN40" s="9"/>
      <c r="EO40" s="9"/>
      <c r="EP40" s="9"/>
      <c r="EQ40" s="9"/>
      <c r="ER40" s="9"/>
      <c r="ES40" s="9"/>
      <c r="ET40" s="9"/>
      <c r="EU40" s="9"/>
      <c r="EV40" s="9"/>
      <c r="EW40" s="9"/>
      <c r="EX40" s="9"/>
      <c r="EY40" s="9"/>
      <c r="EZ40" s="9"/>
      <c r="FA40" s="9"/>
      <c r="FB40" s="9"/>
      <c r="FC40" s="9"/>
      <c r="FD40" s="9"/>
      <c r="FE40" s="9"/>
      <c r="FF40" s="9"/>
      <c r="FG40" s="9"/>
      <c r="FH40" s="9"/>
      <c r="FI40" s="9"/>
      <c r="FJ40" s="9"/>
      <c r="FK40" s="9"/>
      <c r="FL40" s="9"/>
      <c r="FM40" s="9"/>
      <c r="FN40" s="9"/>
      <c r="FO40" s="9"/>
      <c r="FP40" s="9"/>
      <c r="FQ40" s="9"/>
      <c r="FR40" s="9"/>
      <c r="FS40" s="9"/>
      <c r="FT40" s="9"/>
      <c r="FU40" s="9"/>
      <c r="FV40" s="9"/>
      <c r="FW40" s="9"/>
      <c r="FX40" s="9"/>
      <c r="FY40" s="9"/>
      <c r="FZ40" s="9"/>
      <c r="GA40" s="9"/>
      <c r="GB40" s="9"/>
      <c r="GC40" s="9"/>
      <c r="GD40" s="9"/>
      <c r="GE40" s="9"/>
      <c r="GF40" s="9"/>
      <c r="GG40" s="9"/>
      <c r="GH40" s="9"/>
      <c r="GI40" s="9"/>
      <c r="GJ40" s="9"/>
      <c r="GK40" s="9"/>
      <c r="GL40" s="9"/>
      <c r="GM40" s="9"/>
      <c r="GN40" s="9"/>
      <c r="GO40" s="9"/>
      <c r="GP40" s="9"/>
      <c r="GQ40" s="9"/>
      <c r="GR40" s="9"/>
      <c r="GS40" s="9"/>
      <c r="GT40" s="9"/>
      <c r="GU40" s="9"/>
      <c r="GV40" s="9"/>
      <c r="GW40" s="9"/>
      <c r="GX40" s="9"/>
      <c r="GY40" s="9"/>
      <c r="GZ40" s="9"/>
      <c r="HA40" s="9"/>
      <c r="HB40" s="9"/>
      <c r="HC40" s="9"/>
      <c r="HD40" s="9"/>
      <c r="HE40" s="9"/>
      <c r="HF40" s="9"/>
      <c r="HG40" s="9"/>
      <c r="HH40" s="9"/>
      <c r="HI40" s="9"/>
      <c r="HJ40" s="9"/>
      <c r="HK40" s="9"/>
      <c r="HL40" s="9"/>
      <c r="HM40" s="9"/>
      <c r="HN40" s="9"/>
      <c r="HO40" s="9"/>
      <c r="HP40" s="9"/>
      <c r="HQ40" s="9"/>
      <c r="HR40" s="9"/>
      <c r="HS40" s="9"/>
      <c r="HT40" s="9"/>
      <c r="HU40" s="9"/>
      <c r="HV40" s="9"/>
      <c r="HW40" s="9"/>
      <c r="HX40" s="9"/>
    </row>
    <row r="41" spans="1:232" ht="15.75" customHeight="1">
      <c r="A41" s="1047" t="s">
        <v>18</v>
      </c>
      <c r="B41" s="1060">
        <f t="shared" ref="B41:I41" si="6">B39/B13*100</f>
        <v>0</v>
      </c>
      <c r="C41" s="1060">
        <f t="shared" si="6"/>
        <v>0</v>
      </c>
      <c r="D41" s="1060">
        <f t="shared" si="6"/>
        <v>0</v>
      </c>
      <c r="E41" s="1060">
        <f t="shared" si="6"/>
        <v>0</v>
      </c>
      <c r="F41" s="1060">
        <f t="shared" si="6"/>
        <v>0</v>
      </c>
      <c r="G41" s="1060">
        <f t="shared" si="6"/>
        <v>0</v>
      </c>
      <c r="H41" s="1060">
        <f t="shared" si="6"/>
        <v>0.45535819797605914</v>
      </c>
      <c r="I41" s="1060">
        <f t="shared" si="6"/>
        <v>0.38966561553010259</v>
      </c>
      <c r="J41" s="1061"/>
      <c r="K41" s="752"/>
      <c r="L41" s="754"/>
      <c r="M41" s="610"/>
      <c r="Q41" s="610"/>
      <c r="R41" s="610"/>
      <c r="S41" s="669"/>
      <c r="W41" s="669"/>
      <c r="X41" s="669"/>
      <c r="Y41" s="669"/>
      <c r="Z41" s="669"/>
      <c r="AA41" s="669"/>
      <c r="AB41" s="669"/>
      <c r="AC41" s="669"/>
      <c r="AD41" s="669"/>
      <c r="AE41" s="669"/>
      <c r="AF41" s="669"/>
      <c r="AG41" s="669"/>
      <c r="AH41" s="669"/>
      <c r="AI41" s="669"/>
      <c r="AJ41" s="669"/>
      <c r="AK41" s="669"/>
      <c r="AL41" s="669"/>
      <c r="AM41" s="669"/>
      <c r="AN41" s="669"/>
      <c r="AO41" s="669"/>
      <c r="AP41" s="669"/>
      <c r="AQ41" s="669"/>
      <c r="AR41" s="669"/>
      <c r="AS41" s="669"/>
      <c r="AT41" s="669"/>
      <c r="AU41" s="669"/>
      <c r="AV41" s="669"/>
      <c r="AW41" s="669"/>
      <c r="AX41" s="669"/>
      <c r="AY41" s="669"/>
      <c r="AZ41" s="669"/>
      <c r="BA41" s="669"/>
      <c r="BB41" s="669"/>
      <c r="BC41" s="669"/>
      <c r="BD41" s="669"/>
      <c r="BE41" s="669"/>
      <c r="BF41" s="669"/>
      <c r="BG41" s="669"/>
      <c r="BH41" s="669"/>
      <c r="BI41" s="669"/>
      <c r="BJ41" s="669"/>
      <c r="BK41" s="669"/>
      <c r="BL41" s="669"/>
      <c r="BM41" s="669"/>
      <c r="BN41" s="669"/>
      <c r="BO41" s="669"/>
      <c r="BP41" s="669"/>
      <c r="BQ41" s="669"/>
      <c r="BR41" s="669"/>
      <c r="BS41" s="669"/>
      <c r="BT41" s="669"/>
      <c r="BU41" s="669"/>
      <c r="BV41" s="669"/>
      <c r="BW41" s="669"/>
      <c r="BX41" s="669"/>
      <c r="BY41" s="669"/>
      <c r="BZ41" s="669"/>
      <c r="CA41" s="669"/>
      <c r="CB41" s="669"/>
      <c r="CC41" s="669"/>
      <c r="CD41" s="669"/>
      <c r="CE41" s="669"/>
      <c r="CF41" s="669"/>
      <c r="CG41" s="669"/>
      <c r="CH41" s="669"/>
      <c r="CI41" s="669"/>
      <c r="CJ41" s="669"/>
      <c r="CK41" s="669"/>
      <c r="CL41" s="669"/>
      <c r="CM41" s="669"/>
      <c r="CN41" s="669"/>
      <c r="CO41" s="669"/>
      <c r="CP41" s="669"/>
      <c r="CQ41" s="669"/>
      <c r="CR41" s="669"/>
      <c r="CS41" s="669"/>
      <c r="CT41" s="669"/>
      <c r="CU41" s="669"/>
      <c r="CV41" s="669"/>
      <c r="CW41" s="9"/>
      <c r="CX41" s="9"/>
      <c r="CY41" s="9"/>
      <c r="CZ41" s="9"/>
      <c r="DA41" s="9"/>
      <c r="DB41" s="9"/>
      <c r="DC41" s="9"/>
      <c r="DD41" s="9"/>
      <c r="DE41" s="9"/>
      <c r="DF41" s="9"/>
      <c r="DG41" s="9"/>
      <c r="DH41" s="9"/>
      <c r="DI41" s="9"/>
      <c r="DJ41" s="9"/>
      <c r="DK41" s="9"/>
      <c r="DL41" s="9"/>
      <c r="DM41" s="9"/>
      <c r="DN41" s="9"/>
      <c r="DO41" s="9"/>
      <c r="DP41" s="9"/>
      <c r="DQ41" s="9"/>
      <c r="DR41" s="9"/>
      <c r="DS41" s="9"/>
      <c r="DT41" s="9"/>
      <c r="DU41" s="9"/>
      <c r="DV41" s="9"/>
      <c r="DW41" s="9"/>
      <c r="DX41" s="9"/>
      <c r="DY41" s="9"/>
      <c r="DZ41" s="9"/>
      <c r="EA41" s="9"/>
      <c r="EB41" s="9"/>
      <c r="EC41" s="9"/>
      <c r="ED41" s="9"/>
      <c r="EE41" s="9"/>
      <c r="EF41" s="9"/>
      <c r="EG41" s="9"/>
      <c r="EH41" s="9"/>
      <c r="EI41" s="9"/>
      <c r="EJ41" s="9"/>
      <c r="EK41" s="9"/>
      <c r="EL41" s="9"/>
      <c r="EM41" s="9"/>
      <c r="EN41" s="9"/>
      <c r="EO41" s="9"/>
      <c r="EP41" s="9"/>
      <c r="EQ41" s="9"/>
      <c r="ER41" s="9"/>
      <c r="ES41" s="9"/>
      <c r="ET41" s="9"/>
      <c r="EU41" s="9"/>
      <c r="EV41" s="9"/>
      <c r="EW41" s="9"/>
      <c r="EX41" s="9"/>
      <c r="EY41" s="9"/>
      <c r="EZ41" s="9"/>
      <c r="FA41" s="9"/>
      <c r="FB41" s="9"/>
      <c r="FC41" s="9"/>
      <c r="FD41" s="9"/>
      <c r="FE41" s="9"/>
      <c r="FF41" s="9"/>
      <c r="FG41" s="9"/>
      <c r="FH41" s="9"/>
      <c r="FI41" s="9"/>
      <c r="FJ41" s="9"/>
      <c r="FK41" s="9"/>
      <c r="FL41" s="9"/>
      <c r="FM41" s="9"/>
      <c r="FN41" s="9"/>
      <c r="FO41" s="9"/>
      <c r="FP41" s="9"/>
      <c r="FQ41" s="9"/>
      <c r="FR41" s="9"/>
      <c r="FS41" s="9"/>
      <c r="FT41" s="9"/>
      <c r="FU41" s="9"/>
      <c r="FV41" s="9"/>
      <c r="FW41" s="9"/>
      <c r="FX41" s="9"/>
      <c r="FY41" s="9"/>
      <c r="FZ41" s="9"/>
      <c r="GA41" s="9"/>
      <c r="GB41" s="9"/>
      <c r="GC41" s="9"/>
      <c r="GD41" s="9"/>
      <c r="GE41" s="9"/>
      <c r="GF41" s="9"/>
      <c r="GG41" s="9"/>
      <c r="GH41" s="9"/>
      <c r="GI41" s="9"/>
      <c r="GJ41" s="9"/>
      <c r="GK41" s="9"/>
      <c r="GL41" s="9"/>
      <c r="GM41" s="9"/>
      <c r="GN41" s="9"/>
      <c r="GO41" s="9"/>
      <c r="GP41" s="9"/>
      <c r="GQ41" s="9"/>
      <c r="GR41" s="9"/>
      <c r="GS41" s="9"/>
      <c r="GT41" s="9"/>
      <c r="GU41" s="9"/>
      <c r="GV41" s="9"/>
      <c r="GW41" s="9"/>
      <c r="GX41" s="9"/>
      <c r="GY41" s="9"/>
      <c r="GZ41" s="9"/>
      <c r="HA41" s="9"/>
      <c r="HB41" s="9"/>
      <c r="HC41" s="9"/>
      <c r="HD41" s="9"/>
      <c r="HE41" s="9"/>
      <c r="HF41" s="9"/>
      <c r="HG41" s="9"/>
      <c r="HH41" s="9"/>
      <c r="HI41" s="9"/>
      <c r="HJ41" s="9"/>
      <c r="HK41" s="9"/>
      <c r="HL41" s="9"/>
      <c r="HM41" s="9"/>
      <c r="HN41" s="9"/>
      <c r="HO41" s="9"/>
      <c r="HP41" s="9"/>
      <c r="HQ41" s="9"/>
      <c r="HR41" s="9"/>
      <c r="HS41" s="9"/>
      <c r="HT41" s="9"/>
      <c r="HU41" s="9"/>
      <c r="HV41" s="9"/>
      <c r="HW41" s="9"/>
      <c r="HX41" s="9"/>
    </row>
    <row r="42" spans="1:232" ht="14.1" customHeight="1">
      <c r="A42" s="10"/>
      <c r="B42" s="9"/>
      <c r="C42" s="9"/>
      <c r="D42" s="9"/>
      <c r="E42" s="9"/>
      <c r="F42" s="9"/>
      <c r="G42" s="9"/>
      <c r="H42" s="9"/>
      <c r="I42" s="9"/>
      <c r="J42" s="9"/>
      <c r="K42" s="8"/>
      <c r="L42" s="754"/>
      <c r="M42" s="610"/>
      <c r="Q42" s="610"/>
      <c r="R42" s="610"/>
      <c r="S42" s="669"/>
      <c r="W42" s="669"/>
      <c r="X42" s="669"/>
      <c r="Y42" s="669"/>
      <c r="Z42" s="669"/>
      <c r="AA42" s="669"/>
      <c r="AB42" s="669"/>
      <c r="AC42" s="669"/>
      <c r="AD42" s="669"/>
      <c r="AE42" s="669"/>
      <c r="AF42" s="669"/>
      <c r="AG42" s="669"/>
      <c r="AH42" s="669"/>
      <c r="AI42" s="669"/>
      <c r="AJ42" s="669"/>
      <c r="AK42" s="669"/>
      <c r="AL42" s="669"/>
      <c r="AM42" s="669"/>
      <c r="AN42" s="669"/>
      <c r="AO42" s="669"/>
      <c r="AP42" s="669"/>
      <c r="AQ42" s="669"/>
      <c r="AR42" s="669"/>
      <c r="AS42" s="669"/>
      <c r="AT42" s="669"/>
      <c r="AU42" s="669"/>
      <c r="AV42" s="669"/>
      <c r="AW42" s="669"/>
      <c r="AX42" s="669"/>
      <c r="AY42" s="669"/>
      <c r="AZ42" s="669"/>
      <c r="BA42" s="669"/>
      <c r="BB42" s="669"/>
      <c r="BC42" s="669"/>
      <c r="BD42" s="669"/>
      <c r="BE42" s="669"/>
      <c r="BF42" s="669"/>
      <c r="BG42" s="669"/>
      <c r="BH42" s="669"/>
      <c r="BI42" s="669"/>
      <c r="BJ42" s="669"/>
      <c r="BK42" s="669"/>
      <c r="BL42" s="669"/>
      <c r="BM42" s="669"/>
      <c r="BN42" s="669"/>
      <c r="BO42" s="669"/>
      <c r="BP42" s="669"/>
      <c r="BQ42" s="669"/>
      <c r="BR42" s="669"/>
      <c r="BS42" s="669"/>
      <c r="BT42" s="669"/>
      <c r="BU42" s="669"/>
      <c r="BV42" s="669"/>
      <c r="BW42" s="669"/>
      <c r="BX42" s="669"/>
      <c r="BY42" s="669"/>
      <c r="BZ42" s="669"/>
      <c r="CA42" s="669"/>
      <c r="CB42" s="669"/>
      <c r="CC42" s="669"/>
      <c r="CD42" s="669"/>
      <c r="CE42" s="669"/>
      <c r="CF42" s="669"/>
      <c r="CG42" s="669"/>
      <c r="CH42" s="669"/>
      <c r="CI42" s="669"/>
      <c r="CJ42" s="669"/>
      <c r="CK42" s="669"/>
      <c r="CL42" s="669"/>
      <c r="CM42" s="669"/>
      <c r="CN42" s="669"/>
      <c r="CO42" s="669"/>
      <c r="CP42" s="669"/>
      <c r="CQ42" s="669"/>
      <c r="CR42" s="669"/>
      <c r="CS42" s="669"/>
      <c r="CT42" s="669"/>
      <c r="CU42" s="669"/>
      <c r="CV42" s="669"/>
      <c r="CW42" s="9"/>
      <c r="CX42" s="9"/>
      <c r="CY42" s="9"/>
      <c r="CZ42" s="9"/>
      <c r="DA42" s="9"/>
      <c r="DB42" s="9"/>
      <c r="DC42" s="9"/>
      <c r="DD42" s="9"/>
      <c r="DE42" s="9"/>
      <c r="DF42" s="9"/>
      <c r="DG42" s="9"/>
      <c r="DH42" s="9"/>
      <c r="DI42" s="9"/>
      <c r="DJ42" s="9"/>
      <c r="DK42" s="9"/>
      <c r="DL42" s="9"/>
      <c r="DM42" s="9"/>
      <c r="DN42" s="9"/>
      <c r="DO42" s="9"/>
      <c r="DP42" s="9"/>
      <c r="DQ42" s="9"/>
      <c r="DR42" s="9"/>
      <c r="DS42" s="9"/>
      <c r="DT42" s="9"/>
      <c r="DU42" s="9"/>
      <c r="DV42" s="9"/>
      <c r="DW42" s="9"/>
      <c r="DX42" s="9"/>
      <c r="DY42" s="9"/>
      <c r="DZ42" s="9"/>
      <c r="EA42" s="9"/>
      <c r="EB42" s="9"/>
      <c r="EC42" s="9"/>
      <c r="ED42" s="9"/>
      <c r="EE42" s="9"/>
      <c r="EF42" s="9"/>
      <c r="EG42" s="9"/>
      <c r="EH42" s="9"/>
      <c r="EI42" s="9"/>
      <c r="EJ42" s="9"/>
      <c r="EK42" s="9"/>
      <c r="EL42" s="9"/>
      <c r="EM42" s="9"/>
      <c r="EN42" s="9"/>
      <c r="EO42" s="9"/>
      <c r="EP42" s="9"/>
      <c r="EQ42" s="9"/>
      <c r="ER42" s="9"/>
      <c r="ES42" s="9"/>
      <c r="ET42" s="9"/>
      <c r="EU42" s="9"/>
      <c r="EV42" s="9"/>
      <c r="EW42" s="9"/>
      <c r="EX42" s="9"/>
      <c r="EY42" s="9"/>
      <c r="EZ42" s="9"/>
      <c r="FA42" s="9"/>
      <c r="FB42" s="9"/>
      <c r="FC42" s="9"/>
      <c r="FD42" s="9"/>
      <c r="FE42" s="9"/>
      <c r="FF42" s="9"/>
      <c r="FG42" s="9"/>
      <c r="FH42" s="9"/>
      <c r="FI42" s="9"/>
      <c r="FJ42" s="9"/>
      <c r="FK42" s="9"/>
      <c r="FL42" s="9"/>
      <c r="FM42" s="9"/>
      <c r="FN42" s="9"/>
      <c r="FO42" s="9"/>
      <c r="FP42" s="9"/>
      <c r="FQ42" s="9"/>
      <c r="FR42" s="9"/>
      <c r="FS42" s="9"/>
      <c r="FT42" s="9"/>
      <c r="FU42" s="9"/>
      <c r="FV42" s="9"/>
      <c r="FW42" s="9"/>
      <c r="FX42" s="9"/>
      <c r="FY42" s="9"/>
      <c r="FZ42" s="9"/>
      <c r="GA42" s="9"/>
      <c r="GB42" s="9"/>
      <c r="GC42" s="9"/>
      <c r="GD42" s="9"/>
      <c r="GE42" s="9"/>
      <c r="GF42" s="9"/>
      <c r="GG42" s="9"/>
      <c r="GH42" s="9"/>
      <c r="GI42" s="9"/>
      <c r="GJ42" s="9"/>
      <c r="GK42" s="9"/>
      <c r="GL42" s="9"/>
      <c r="GM42" s="9"/>
      <c r="GN42" s="9"/>
      <c r="GO42" s="9"/>
      <c r="GP42" s="9"/>
      <c r="GQ42" s="9"/>
      <c r="GR42" s="9"/>
      <c r="GS42" s="9"/>
      <c r="GT42" s="9"/>
      <c r="GU42" s="9"/>
      <c r="GV42" s="9"/>
      <c r="GW42" s="9"/>
      <c r="GX42" s="9"/>
      <c r="GY42" s="9"/>
      <c r="GZ42" s="9"/>
      <c r="HA42" s="9"/>
      <c r="HB42" s="9"/>
      <c r="HC42" s="9"/>
      <c r="HD42" s="9"/>
      <c r="HE42" s="9"/>
      <c r="HF42" s="9"/>
      <c r="HG42" s="9"/>
      <c r="HH42" s="9"/>
      <c r="HI42" s="9"/>
      <c r="HJ42" s="9"/>
      <c r="HK42" s="9"/>
      <c r="HL42" s="9"/>
      <c r="HM42" s="9"/>
      <c r="HN42" s="9"/>
      <c r="HO42" s="9"/>
      <c r="HP42" s="9"/>
      <c r="HQ42" s="9"/>
      <c r="HR42" s="9"/>
      <c r="HS42" s="9"/>
      <c r="HT42" s="9"/>
      <c r="HU42" s="9"/>
      <c r="HV42" s="9"/>
      <c r="HW42" s="9"/>
      <c r="HX42" s="9"/>
    </row>
    <row r="43" spans="1:232" ht="14.1" customHeight="1">
      <c r="A43" s="9" t="s">
        <v>19</v>
      </c>
      <c r="B43" s="9"/>
      <c r="C43" s="9"/>
      <c r="D43" s="9"/>
      <c r="E43" s="9"/>
      <c r="F43" s="9"/>
      <c r="G43" s="9"/>
      <c r="H43" s="9"/>
      <c r="I43" s="9"/>
      <c r="J43" s="9"/>
      <c r="K43" s="8"/>
      <c r="L43" s="754"/>
      <c r="M43" s="610"/>
      <c r="Q43" s="610"/>
      <c r="R43" s="610"/>
      <c r="S43" s="669"/>
      <c r="W43" s="669"/>
      <c r="X43" s="669"/>
      <c r="Y43" s="669"/>
      <c r="Z43" s="669"/>
      <c r="AA43" s="669"/>
      <c r="AB43" s="669"/>
      <c r="AC43" s="669"/>
      <c r="AD43" s="669"/>
      <c r="AE43" s="669"/>
      <c r="AF43" s="669"/>
      <c r="AG43" s="669"/>
      <c r="AH43" s="669"/>
      <c r="AI43" s="669"/>
      <c r="AJ43" s="669"/>
      <c r="AK43" s="669"/>
      <c r="AL43" s="669"/>
      <c r="AM43" s="669"/>
      <c r="AN43" s="669"/>
      <c r="AO43" s="669"/>
      <c r="AP43" s="669"/>
      <c r="AQ43" s="669"/>
      <c r="AR43" s="669"/>
      <c r="AS43" s="669"/>
      <c r="AT43" s="669"/>
      <c r="AU43" s="669"/>
      <c r="AV43" s="669"/>
      <c r="AW43" s="669"/>
      <c r="AX43" s="669"/>
      <c r="AY43" s="669"/>
      <c r="AZ43" s="669"/>
      <c r="BA43" s="669"/>
      <c r="BB43" s="669"/>
      <c r="BC43" s="669"/>
      <c r="BD43" s="669"/>
      <c r="BE43" s="669"/>
      <c r="BF43" s="669"/>
      <c r="BG43" s="669"/>
      <c r="BH43" s="669"/>
      <c r="BI43" s="669"/>
      <c r="BJ43" s="669"/>
      <c r="BK43" s="669"/>
      <c r="BL43" s="669"/>
      <c r="BM43" s="669"/>
      <c r="BN43" s="669"/>
      <c r="BO43" s="669"/>
      <c r="BP43" s="669"/>
      <c r="BQ43" s="669"/>
      <c r="BR43" s="669"/>
      <c r="BS43" s="669"/>
      <c r="BT43" s="669"/>
      <c r="BU43" s="669"/>
      <c r="BV43" s="669"/>
      <c r="BW43" s="669"/>
      <c r="BX43" s="669"/>
      <c r="BY43" s="669"/>
      <c r="BZ43" s="669"/>
      <c r="CA43" s="669"/>
      <c r="CB43" s="669"/>
      <c r="CC43" s="669"/>
      <c r="CD43" s="669"/>
      <c r="CE43" s="669"/>
      <c r="CF43" s="669"/>
      <c r="CG43" s="669"/>
      <c r="CH43" s="669"/>
      <c r="CI43" s="669"/>
      <c r="CJ43" s="669"/>
      <c r="CK43" s="669"/>
      <c r="CL43" s="669"/>
      <c r="CM43" s="669"/>
      <c r="CN43" s="669"/>
      <c r="CO43" s="669"/>
      <c r="CP43" s="669"/>
      <c r="CQ43" s="669"/>
      <c r="CR43" s="669"/>
      <c r="CS43" s="669"/>
      <c r="CT43" s="669"/>
      <c r="CU43" s="669"/>
      <c r="CV43" s="669"/>
      <c r="CW43" s="9"/>
      <c r="CX43" s="9"/>
      <c r="CY43" s="9"/>
      <c r="CZ43" s="9"/>
      <c r="DA43" s="9"/>
      <c r="DB43" s="9"/>
      <c r="DC43" s="9"/>
      <c r="DD43" s="9"/>
      <c r="DE43" s="9"/>
      <c r="DF43" s="9"/>
      <c r="DG43" s="9"/>
      <c r="DH43" s="9"/>
      <c r="DI43" s="9"/>
      <c r="DJ43" s="9"/>
      <c r="DK43" s="9"/>
      <c r="DL43" s="9"/>
      <c r="DM43" s="9"/>
      <c r="DN43" s="9"/>
      <c r="DO43" s="9"/>
      <c r="DP43" s="9"/>
      <c r="DQ43" s="9"/>
      <c r="DR43" s="9"/>
      <c r="DS43" s="9"/>
      <c r="DT43" s="9"/>
      <c r="DU43" s="9"/>
      <c r="DV43" s="9"/>
      <c r="DW43" s="9"/>
      <c r="DX43" s="9"/>
      <c r="DY43" s="9"/>
      <c r="DZ43" s="9"/>
      <c r="EA43" s="9"/>
      <c r="EB43" s="9"/>
      <c r="EC43" s="9"/>
      <c r="ED43" s="9"/>
      <c r="EE43" s="9"/>
      <c r="EF43" s="9"/>
      <c r="EG43" s="9"/>
      <c r="EH43" s="9"/>
      <c r="EI43" s="9"/>
      <c r="EJ43" s="9"/>
      <c r="EK43" s="9"/>
      <c r="EL43" s="9"/>
      <c r="EM43" s="9"/>
      <c r="EN43" s="9"/>
      <c r="EO43" s="9"/>
      <c r="EP43" s="9"/>
      <c r="EQ43" s="9"/>
      <c r="ER43" s="9"/>
      <c r="ES43" s="9"/>
      <c r="ET43" s="9"/>
      <c r="EU43" s="9"/>
      <c r="EV43" s="9"/>
      <c r="EW43" s="9"/>
      <c r="EX43" s="9"/>
      <c r="EY43" s="9"/>
      <c r="EZ43" s="9"/>
      <c r="FA43" s="9"/>
      <c r="FB43" s="9"/>
      <c r="FC43" s="9"/>
      <c r="FD43" s="9"/>
      <c r="FE43" s="9"/>
      <c r="FF43" s="9"/>
      <c r="FG43" s="9"/>
      <c r="FH43" s="9"/>
      <c r="FI43" s="9"/>
      <c r="FJ43" s="9"/>
      <c r="FK43" s="9"/>
      <c r="FL43" s="9"/>
      <c r="FM43" s="9"/>
      <c r="FN43" s="9"/>
      <c r="FO43" s="9"/>
      <c r="FP43" s="9"/>
      <c r="FQ43" s="9"/>
      <c r="FR43" s="9"/>
      <c r="FS43" s="9"/>
      <c r="FT43" s="9"/>
      <c r="FU43" s="9"/>
      <c r="FV43" s="9"/>
      <c r="FW43" s="9"/>
      <c r="FX43" s="9"/>
      <c r="FY43" s="9"/>
      <c r="FZ43" s="9"/>
      <c r="GA43" s="9"/>
      <c r="GB43" s="9"/>
      <c r="GC43" s="9"/>
      <c r="GD43" s="9"/>
      <c r="GE43" s="9"/>
      <c r="GF43" s="9"/>
      <c r="GG43" s="9"/>
      <c r="GH43" s="9"/>
      <c r="GI43" s="9"/>
      <c r="GJ43" s="9"/>
      <c r="GK43" s="9"/>
      <c r="GL43" s="9"/>
      <c r="GM43" s="9"/>
      <c r="GN43" s="9"/>
      <c r="GO43" s="9"/>
      <c r="GP43" s="9"/>
      <c r="GQ43" s="9"/>
      <c r="GR43" s="9"/>
      <c r="GS43" s="9"/>
      <c r="GT43" s="9"/>
      <c r="GU43" s="9"/>
      <c r="GV43" s="9"/>
      <c r="GW43" s="9"/>
      <c r="GX43" s="9"/>
      <c r="GY43" s="9"/>
      <c r="GZ43" s="9"/>
      <c r="HA43" s="9"/>
      <c r="HB43" s="9"/>
      <c r="HC43" s="9"/>
      <c r="HD43" s="9"/>
      <c r="HE43" s="9"/>
      <c r="HF43" s="9"/>
      <c r="HG43" s="9"/>
      <c r="HH43" s="9"/>
      <c r="HI43" s="9"/>
      <c r="HJ43" s="9"/>
      <c r="HK43" s="9"/>
      <c r="HL43" s="9"/>
      <c r="HM43" s="9"/>
      <c r="HN43" s="9"/>
      <c r="HO43" s="9"/>
      <c r="HP43" s="9"/>
      <c r="HQ43" s="9"/>
      <c r="HR43" s="9"/>
      <c r="HS43" s="9"/>
      <c r="HT43" s="9"/>
      <c r="HU43" s="9"/>
      <c r="HV43" s="9"/>
      <c r="HW43" s="9"/>
      <c r="HX43" s="9"/>
    </row>
    <row r="44" spans="1:232" ht="14.1" customHeight="1">
      <c r="A44" s="689" t="s">
        <v>981</v>
      </c>
      <c r="B44" s="9"/>
      <c r="C44" s="9"/>
      <c r="D44" s="9"/>
      <c r="E44" s="9"/>
      <c r="F44" s="9"/>
      <c r="G44" s="9"/>
      <c r="H44" s="9"/>
      <c r="I44" s="9"/>
      <c r="J44" s="9"/>
      <c r="K44" s="8"/>
      <c r="L44" s="754"/>
      <c r="M44" s="610"/>
      <c r="Q44" s="610"/>
      <c r="R44" s="610"/>
      <c r="S44" s="669"/>
      <c r="W44" s="669"/>
      <c r="X44" s="669"/>
      <c r="Y44" s="669"/>
      <c r="Z44" s="669"/>
      <c r="AA44" s="669"/>
      <c r="AB44" s="669"/>
      <c r="AC44" s="669"/>
      <c r="AD44" s="669"/>
      <c r="AE44" s="669"/>
      <c r="AF44" s="669"/>
      <c r="AG44" s="669"/>
      <c r="AH44" s="669"/>
      <c r="AI44" s="669"/>
      <c r="AJ44" s="669"/>
      <c r="AK44" s="669"/>
      <c r="AL44" s="669"/>
      <c r="AM44" s="669"/>
      <c r="AN44" s="669"/>
      <c r="AO44" s="669"/>
      <c r="AP44" s="669"/>
      <c r="AQ44" s="669"/>
      <c r="AR44" s="669"/>
      <c r="AS44" s="669"/>
      <c r="AT44" s="669"/>
      <c r="AU44" s="669"/>
      <c r="AV44" s="669"/>
      <c r="AW44" s="669"/>
      <c r="AX44" s="669"/>
      <c r="AY44" s="669"/>
      <c r="AZ44" s="669"/>
      <c r="BA44" s="669"/>
      <c r="BB44" s="669"/>
      <c r="BC44" s="669"/>
      <c r="BD44" s="669"/>
      <c r="BE44" s="669"/>
      <c r="BF44" s="669"/>
      <c r="BG44" s="669"/>
      <c r="BH44" s="669"/>
      <c r="BI44" s="669"/>
      <c r="BJ44" s="669"/>
      <c r="BK44" s="669"/>
      <c r="BL44" s="669"/>
      <c r="BM44" s="669"/>
      <c r="BN44" s="669"/>
      <c r="BO44" s="669"/>
      <c r="BP44" s="669"/>
      <c r="BQ44" s="669"/>
      <c r="BR44" s="669"/>
      <c r="BS44" s="669"/>
      <c r="BT44" s="669"/>
      <c r="BU44" s="669"/>
      <c r="BV44" s="669"/>
      <c r="BW44" s="669"/>
      <c r="BX44" s="669"/>
      <c r="BY44" s="669"/>
      <c r="BZ44" s="669"/>
      <c r="CA44" s="669"/>
      <c r="CB44" s="669"/>
      <c r="CC44" s="669"/>
      <c r="CD44" s="669"/>
      <c r="CE44" s="669"/>
      <c r="CF44" s="669"/>
      <c r="CG44" s="669"/>
      <c r="CH44" s="669"/>
      <c r="CI44" s="669"/>
      <c r="CJ44" s="669"/>
      <c r="CK44" s="669"/>
      <c r="CL44" s="669"/>
      <c r="CM44" s="669"/>
      <c r="CN44" s="669"/>
      <c r="CO44" s="669"/>
      <c r="CP44" s="669"/>
      <c r="CQ44" s="669"/>
      <c r="CR44" s="669"/>
      <c r="CS44" s="669"/>
      <c r="CT44" s="669"/>
      <c r="CU44" s="669"/>
      <c r="CV44" s="669"/>
      <c r="CW44" s="9"/>
      <c r="CX44" s="9"/>
      <c r="CY44" s="9"/>
      <c r="CZ44" s="9"/>
      <c r="DA44" s="9"/>
      <c r="DB44" s="9"/>
      <c r="DC44" s="9"/>
      <c r="DD44" s="9"/>
      <c r="DE44" s="9"/>
      <c r="DF44" s="9"/>
      <c r="DG44" s="9"/>
      <c r="DH44" s="9"/>
      <c r="DI44" s="9"/>
      <c r="DJ44" s="9"/>
      <c r="DK44" s="9"/>
      <c r="DL44" s="9"/>
      <c r="DM44" s="9"/>
      <c r="DN44" s="9"/>
      <c r="DO44" s="9"/>
      <c r="DP44" s="9"/>
      <c r="DQ44" s="9"/>
      <c r="DR44" s="9"/>
      <c r="DS44" s="9"/>
      <c r="DT44" s="9"/>
      <c r="DU44" s="9"/>
      <c r="DV44" s="9"/>
      <c r="DW44" s="9"/>
      <c r="DX44" s="9"/>
      <c r="DY44" s="9"/>
      <c r="DZ44" s="9"/>
      <c r="EA44" s="9"/>
      <c r="EB44" s="9"/>
      <c r="EC44" s="9"/>
      <c r="ED44" s="9"/>
      <c r="EE44" s="9"/>
      <c r="EF44" s="9"/>
      <c r="EG44" s="9"/>
      <c r="EH44" s="9"/>
      <c r="EI44" s="9"/>
      <c r="EJ44" s="9"/>
      <c r="EK44" s="9"/>
      <c r="EL44" s="9"/>
      <c r="EM44" s="9"/>
      <c r="EN44" s="9"/>
      <c r="EO44" s="9"/>
      <c r="EP44" s="9"/>
      <c r="EQ44" s="9"/>
      <c r="ER44" s="9"/>
      <c r="ES44" s="9"/>
      <c r="ET44" s="9"/>
      <c r="EU44" s="9"/>
      <c r="EV44" s="9"/>
      <c r="EW44" s="9"/>
      <c r="EX44" s="9"/>
      <c r="EY44" s="9"/>
      <c r="EZ44" s="9"/>
      <c r="FA44" s="9"/>
      <c r="FB44" s="9"/>
      <c r="FC44" s="9"/>
      <c r="FD44" s="9"/>
      <c r="FE44" s="9"/>
      <c r="FF44" s="9"/>
      <c r="FG44" s="9"/>
      <c r="FH44" s="9"/>
      <c r="FI44" s="9"/>
      <c r="FJ44" s="9"/>
      <c r="FK44" s="9"/>
      <c r="FL44" s="9"/>
      <c r="FM44" s="9"/>
      <c r="FN44" s="9"/>
      <c r="FO44" s="9"/>
      <c r="FP44" s="9"/>
      <c r="FQ44" s="9"/>
      <c r="FR44" s="9"/>
      <c r="FS44" s="9"/>
      <c r="FT44" s="9"/>
      <c r="FU44" s="9"/>
      <c r="FV44" s="9"/>
      <c r="FW44" s="9"/>
      <c r="FX44" s="9"/>
      <c r="FY44" s="9"/>
      <c r="FZ44" s="9"/>
      <c r="GA44" s="9"/>
      <c r="GB44" s="9"/>
      <c r="GC44" s="9"/>
      <c r="GD44" s="9"/>
      <c r="GE44" s="9"/>
      <c r="GF44" s="9"/>
      <c r="GG44" s="9"/>
      <c r="GH44" s="9"/>
      <c r="GI44" s="9"/>
      <c r="GJ44" s="9"/>
      <c r="GK44" s="9"/>
      <c r="GL44" s="9"/>
      <c r="GM44" s="9"/>
      <c r="GN44" s="9"/>
      <c r="GO44" s="9"/>
      <c r="GP44" s="9"/>
      <c r="GQ44" s="9"/>
      <c r="GR44" s="9"/>
      <c r="GS44" s="9"/>
      <c r="GT44" s="9"/>
      <c r="GU44" s="9"/>
      <c r="GV44" s="9"/>
      <c r="GW44" s="9"/>
      <c r="GX44" s="9"/>
      <c r="GY44" s="9"/>
      <c r="GZ44" s="9"/>
      <c r="HA44" s="9"/>
      <c r="HB44" s="9"/>
      <c r="HC44" s="9"/>
      <c r="HD44" s="9"/>
      <c r="HE44" s="9"/>
      <c r="HF44" s="9"/>
      <c r="HG44" s="9"/>
      <c r="HH44" s="9"/>
      <c r="HI44" s="9"/>
      <c r="HJ44" s="9"/>
      <c r="HK44" s="9"/>
      <c r="HL44" s="9"/>
      <c r="HM44" s="9"/>
      <c r="HN44" s="9"/>
      <c r="HO44" s="9"/>
      <c r="HP44" s="9"/>
      <c r="HQ44" s="9"/>
      <c r="HR44" s="9"/>
      <c r="HS44" s="9"/>
      <c r="HT44" s="9"/>
      <c r="HU44" s="9"/>
      <c r="HV44" s="9"/>
      <c r="HW44" s="9"/>
      <c r="HX44" s="9"/>
    </row>
    <row r="45" spans="1:232" ht="14.1" customHeight="1">
      <c r="A45" s="9" t="s">
        <v>982</v>
      </c>
      <c r="B45" s="9"/>
      <c r="C45" s="9"/>
      <c r="D45" s="9"/>
      <c r="E45" s="9"/>
      <c r="F45" s="9"/>
      <c r="G45" s="9"/>
      <c r="H45" s="9"/>
      <c r="I45" s="9"/>
      <c r="J45" s="9"/>
      <c r="K45" s="8"/>
      <c r="L45" s="754"/>
      <c r="M45" s="610"/>
      <c r="Q45" s="610"/>
      <c r="R45" s="610"/>
      <c r="S45" s="669"/>
      <c r="W45" s="669"/>
      <c r="X45" s="669"/>
      <c r="Y45" s="669"/>
      <c r="Z45" s="669"/>
      <c r="AA45" s="669"/>
      <c r="AB45" s="669"/>
      <c r="AC45" s="669"/>
      <c r="AD45" s="669"/>
      <c r="AE45" s="669"/>
      <c r="AF45" s="669"/>
      <c r="AG45" s="669"/>
      <c r="AH45" s="669"/>
      <c r="AI45" s="669"/>
      <c r="AJ45" s="669"/>
      <c r="AK45" s="669"/>
      <c r="AL45" s="669"/>
      <c r="AM45" s="669"/>
      <c r="AN45" s="669"/>
      <c r="AO45" s="669"/>
      <c r="AP45" s="669"/>
      <c r="AQ45" s="669"/>
      <c r="AR45" s="669"/>
      <c r="AS45" s="669"/>
      <c r="AT45" s="669"/>
      <c r="AU45" s="669"/>
      <c r="AV45" s="669"/>
      <c r="AW45" s="669"/>
      <c r="AX45" s="669"/>
      <c r="AY45" s="669"/>
      <c r="AZ45" s="669"/>
      <c r="BA45" s="669"/>
      <c r="BB45" s="669"/>
      <c r="BC45" s="669"/>
      <c r="BD45" s="669"/>
      <c r="BE45" s="669"/>
      <c r="BF45" s="669"/>
      <c r="BG45" s="669"/>
      <c r="BH45" s="669"/>
      <c r="BI45" s="669"/>
      <c r="BJ45" s="669"/>
      <c r="BK45" s="669"/>
      <c r="BL45" s="669"/>
      <c r="BM45" s="669"/>
      <c r="BN45" s="669"/>
      <c r="BO45" s="669"/>
      <c r="BP45" s="669"/>
      <c r="BQ45" s="669"/>
      <c r="BR45" s="669"/>
      <c r="BS45" s="669"/>
      <c r="BT45" s="669"/>
      <c r="BU45" s="669"/>
      <c r="BV45" s="669"/>
      <c r="BW45" s="669"/>
      <c r="BX45" s="669"/>
      <c r="BY45" s="669"/>
      <c r="BZ45" s="669"/>
      <c r="CA45" s="669"/>
      <c r="CB45" s="669"/>
      <c r="CC45" s="669"/>
      <c r="CD45" s="669"/>
      <c r="CE45" s="669"/>
      <c r="CF45" s="669"/>
      <c r="CG45" s="669"/>
      <c r="CH45" s="669"/>
      <c r="CI45" s="669"/>
      <c r="CJ45" s="669"/>
      <c r="CK45" s="669"/>
      <c r="CL45" s="669"/>
      <c r="CM45" s="669"/>
      <c r="CN45" s="669"/>
      <c r="CO45" s="669"/>
      <c r="CP45" s="669"/>
      <c r="CQ45" s="669"/>
      <c r="CR45" s="669"/>
      <c r="CS45" s="669"/>
      <c r="CT45" s="669"/>
      <c r="CU45" s="669"/>
      <c r="CV45" s="669"/>
      <c r="CW45" s="9"/>
      <c r="CX45" s="9"/>
      <c r="CY45" s="9"/>
      <c r="CZ45" s="9"/>
      <c r="DA45" s="9"/>
      <c r="DB45" s="9"/>
      <c r="DC45" s="9"/>
      <c r="DD45" s="9"/>
      <c r="DE45" s="9"/>
      <c r="DF45" s="9"/>
      <c r="DG45" s="9"/>
      <c r="DH45" s="9"/>
      <c r="DI45" s="9"/>
      <c r="DJ45" s="9"/>
      <c r="DK45" s="9"/>
      <c r="DL45" s="9"/>
      <c r="DM45" s="9"/>
      <c r="DN45" s="9"/>
      <c r="DO45" s="9"/>
      <c r="DP45" s="9"/>
      <c r="DQ45" s="9"/>
      <c r="DR45" s="9"/>
      <c r="DS45" s="9"/>
      <c r="DT45" s="9"/>
      <c r="DU45" s="9"/>
      <c r="DV45" s="9"/>
      <c r="DW45" s="9"/>
      <c r="DX45" s="9"/>
      <c r="DY45" s="9"/>
      <c r="DZ45" s="9"/>
      <c r="EA45" s="9"/>
      <c r="EB45" s="9"/>
      <c r="EC45" s="9"/>
      <c r="ED45" s="9"/>
      <c r="EE45" s="9"/>
      <c r="EF45" s="9"/>
      <c r="EG45" s="9"/>
      <c r="EH45" s="9"/>
      <c r="EI45" s="9"/>
      <c r="EJ45" s="9"/>
      <c r="EK45" s="9"/>
      <c r="EL45" s="9"/>
      <c r="EM45" s="9"/>
      <c r="EN45" s="9"/>
      <c r="EO45" s="9"/>
      <c r="EP45" s="9"/>
      <c r="EQ45" s="9"/>
      <c r="ER45" s="9"/>
      <c r="ES45" s="9"/>
      <c r="ET45" s="9"/>
      <c r="EU45" s="9"/>
      <c r="EV45" s="9"/>
      <c r="EW45" s="9"/>
      <c r="EX45" s="9"/>
      <c r="EY45" s="9"/>
      <c r="EZ45" s="9"/>
      <c r="FA45" s="9"/>
      <c r="FB45" s="9"/>
      <c r="FC45" s="9"/>
      <c r="FD45" s="9"/>
      <c r="FE45" s="9"/>
      <c r="FF45" s="9"/>
      <c r="FG45" s="9"/>
      <c r="FH45" s="9"/>
      <c r="FI45" s="9"/>
      <c r="FJ45" s="9"/>
      <c r="FK45" s="9"/>
      <c r="FL45" s="9"/>
      <c r="FM45" s="9"/>
      <c r="FN45" s="9"/>
      <c r="FO45" s="9"/>
      <c r="FP45" s="9"/>
      <c r="FQ45" s="9"/>
      <c r="FR45" s="9"/>
      <c r="FS45" s="9"/>
      <c r="FT45" s="9"/>
      <c r="FU45" s="9"/>
      <c r="FV45" s="9"/>
      <c r="FW45" s="9"/>
      <c r="FX45" s="9"/>
      <c r="FY45" s="9"/>
      <c r="FZ45" s="9"/>
      <c r="GA45" s="9"/>
      <c r="GB45" s="9"/>
      <c r="GC45" s="9"/>
      <c r="GD45" s="9"/>
      <c r="GE45" s="9"/>
      <c r="GF45" s="9"/>
      <c r="GG45" s="9"/>
      <c r="GH45" s="9"/>
      <c r="GI45" s="9"/>
      <c r="GJ45" s="9"/>
      <c r="GK45" s="9"/>
      <c r="GL45" s="9"/>
      <c r="GM45" s="9"/>
      <c r="GN45" s="9"/>
      <c r="GO45" s="9"/>
      <c r="GP45" s="9"/>
      <c r="GQ45" s="9"/>
      <c r="GR45" s="9"/>
      <c r="GS45" s="9"/>
      <c r="GT45" s="9"/>
      <c r="GU45" s="9"/>
      <c r="GV45" s="9"/>
      <c r="GW45" s="9"/>
      <c r="GX45" s="9"/>
      <c r="GY45" s="9"/>
      <c r="GZ45" s="9"/>
      <c r="HA45" s="9"/>
      <c r="HB45" s="9"/>
      <c r="HC45" s="9"/>
      <c r="HD45" s="9"/>
      <c r="HE45" s="9"/>
      <c r="HF45" s="9"/>
      <c r="HG45" s="9"/>
      <c r="HH45" s="9"/>
      <c r="HI45" s="9"/>
      <c r="HJ45" s="9"/>
      <c r="HK45" s="9"/>
      <c r="HL45" s="9"/>
      <c r="HM45" s="9"/>
      <c r="HN45" s="9"/>
      <c r="HO45" s="9"/>
      <c r="HP45" s="9"/>
      <c r="HQ45" s="9"/>
      <c r="HR45" s="9"/>
      <c r="HS45" s="9"/>
      <c r="HT45" s="9"/>
      <c r="HU45" s="9"/>
      <c r="HV45" s="9"/>
      <c r="HW45" s="9"/>
      <c r="HX45" s="9"/>
    </row>
    <row r="46" spans="1:232" ht="13.5" customHeight="1">
      <c r="A46" s="9" t="s">
        <v>1114</v>
      </c>
      <c r="B46" s="9"/>
      <c r="C46" s="9"/>
      <c r="D46" s="9"/>
      <c r="E46" s="9"/>
      <c r="F46" s="9"/>
      <c r="G46" s="9"/>
      <c r="H46" s="9"/>
      <c r="I46" s="9"/>
      <c r="J46" s="9"/>
      <c r="K46" s="8"/>
      <c r="L46" s="754"/>
      <c r="M46" s="610"/>
      <c r="Q46" s="610"/>
      <c r="R46" s="610"/>
      <c r="S46" s="669"/>
      <c r="T46" s="669"/>
      <c r="U46" s="669"/>
      <c r="V46" s="669"/>
      <c r="W46" s="669"/>
      <c r="X46" s="669"/>
      <c r="Y46" s="669"/>
      <c r="Z46" s="669"/>
      <c r="AA46" s="669"/>
      <c r="AB46" s="669"/>
      <c r="AC46" s="669"/>
      <c r="AD46" s="669"/>
      <c r="AE46" s="669"/>
      <c r="AF46" s="669"/>
      <c r="AG46" s="669"/>
      <c r="AH46" s="669"/>
      <c r="AI46" s="669"/>
      <c r="AJ46" s="669"/>
      <c r="AK46" s="669"/>
      <c r="AL46" s="669"/>
      <c r="AM46" s="669"/>
      <c r="AN46" s="669"/>
      <c r="AO46" s="669"/>
      <c r="AP46" s="669"/>
      <c r="AQ46" s="669"/>
      <c r="AR46" s="669"/>
      <c r="AS46" s="669"/>
      <c r="AT46" s="669"/>
      <c r="AU46" s="669"/>
      <c r="AV46" s="669"/>
      <c r="AW46" s="669"/>
      <c r="AX46" s="669"/>
      <c r="AY46" s="669"/>
      <c r="AZ46" s="669"/>
      <c r="BA46" s="669"/>
      <c r="BB46" s="669"/>
      <c r="BC46" s="669"/>
      <c r="BD46" s="669"/>
      <c r="BE46" s="669"/>
      <c r="BF46" s="669"/>
      <c r="BG46" s="669"/>
      <c r="BH46" s="669"/>
      <c r="BI46" s="669"/>
      <c r="BJ46" s="669"/>
      <c r="BK46" s="669"/>
      <c r="BL46" s="669"/>
      <c r="BM46" s="669"/>
      <c r="BN46" s="669"/>
      <c r="BO46" s="669"/>
      <c r="BP46" s="669"/>
      <c r="BQ46" s="669"/>
      <c r="BR46" s="669"/>
      <c r="BS46" s="669"/>
      <c r="BT46" s="669"/>
      <c r="BU46" s="669"/>
      <c r="BV46" s="669"/>
      <c r="BW46" s="669"/>
      <c r="BX46" s="669"/>
      <c r="BY46" s="669"/>
      <c r="BZ46" s="669"/>
      <c r="CA46" s="669"/>
      <c r="CB46" s="669"/>
      <c r="CC46" s="669"/>
      <c r="CD46" s="669"/>
      <c r="CE46" s="669"/>
      <c r="CF46" s="669"/>
      <c r="CG46" s="669"/>
      <c r="CH46" s="669"/>
      <c r="CI46" s="669"/>
      <c r="CJ46" s="669"/>
      <c r="CK46" s="669"/>
      <c r="CL46" s="669"/>
      <c r="CM46" s="669"/>
      <c r="CN46" s="669"/>
      <c r="CO46" s="669"/>
      <c r="CP46" s="669"/>
      <c r="CQ46" s="669"/>
      <c r="CR46" s="669"/>
      <c r="CS46" s="669"/>
      <c r="CT46" s="669"/>
      <c r="CU46" s="669"/>
      <c r="CV46" s="669"/>
      <c r="CW46" s="9"/>
      <c r="CX46" s="9"/>
      <c r="CY46" s="9"/>
      <c r="CZ46" s="9"/>
      <c r="DA46" s="9"/>
      <c r="DB46" s="9"/>
      <c r="DC46" s="9"/>
      <c r="DD46" s="9"/>
      <c r="DE46" s="9"/>
      <c r="DF46" s="9"/>
      <c r="DG46" s="9"/>
      <c r="DH46" s="9"/>
      <c r="DI46" s="9"/>
      <c r="DJ46" s="9"/>
      <c r="DK46" s="9"/>
      <c r="DL46" s="9"/>
      <c r="DM46" s="9"/>
      <c r="DN46" s="9"/>
      <c r="DO46" s="9"/>
      <c r="DP46" s="9"/>
      <c r="DQ46" s="9"/>
      <c r="DR46" s="9"/>
      <c r="DS46" s="9"/>
      <c r="DT46" s="9"/>
      <c r="DU46" s="9"/>
      <c r="DV46" s="9"/>
      <c r="DW46" s="9"/>
      <c r="DX46" s="9"/>
      <c r="DY46" s="9"/>
      <c r="DZ46" s="9"/>
      <c r="EA46" s="9"/>
      <c r="EB46" s="9"/>
      <c r="EC46" s="9"/>
      <c r="ED46" s="9"/>
      <c r="EE46" s="9"/>
      <c r="EF46" s="9"/>
      <c r="EG46" s="9"/>
      <c r="EH46" s="9"/>
      <c r="EI46" s="9"/>
      <c r="EJ46" s="9"/>
      <c r="EK46" s="9"/>
      <c r="EL46" s="9"/>
      <c r="EM46" s="9"/>
      <c r="EN46" s="9"/>
      <c r="EO46" s="9"/>
      <c r="EP46" s="9"/>
      <c r="EQ46" s="9"/>
      <c r="ER46" s="9"/>
      <c r="ES46" s="9"/>
      <c r="ET46" s="9"/>
      <c r="EU46" s="9"/>
      <c r="EV46" s="9"/>
      <c r="EW46" s="9"/>
      <c r="EX46" s="9"/>
      <c r="EY46" s="9"/>
      <c r="EZ46" s="9"/>
      <c r="FA46" s="9"/>
      <c r="FB46" s="9"/>
      <c r="FC46" s="9"/>
      <c r="FD46" s="9"/>
      <c r="FE46" s="9"/>
      <c r="FF46" s="9"/>
      <c r="FG46" s="9"/>
      <c r="FH46" s="9"/>
      <c r="FI46" s="9"/>
      <c r="FJ46" s="9"/>
      <c r="FK46" s="9"/>
      <c r="FL46" s="9"/>
      <c r="FM46" s="9"/>
      <c r="FN46" s="9"/>
      <c r="FO46" s="9"/>
      <c r="FP46" s="9"/>
      <c r="FQ46" s="9"/>
      <c r="FR46" s="9"/>
      <c r="FS46" s="9"/>
      <c r="FT46" s="9"/>
      <c r="FU46" s="9"/>
      <c r="FV46" s="9"/>
      <c r="FW46" s="9"/>
      <c r="FX46" s="9"/>
      <c r="FY46" s="9"/>
      <c r="FZ46" s="9"/>
      <c r="GA46" s="9"/>
      <c r="GB46" s="9"/>
      <c r="GC46" s="9"/>
      <c r="GD46" s="9"/>
      <c r="GE46" s="9"/>
      <c r="GF46" s="9"/>
      <c r="GG46" s="9"/>
      <c r="GH46" s="9"/>
      <c r="GI46" s="9"/>
      <c r="GJ46" s="9"/>
      <c r="GK46" s="9"/>
      <c r="GL46" s="9"/>
      <c r="GM46" s="9"/>
      <c r="GN46" s="9"/>
      <c r="GO46" s="9"/>
      <c r="GP46" s="9"/>
      <c r="GQ46" s="9"/>
      <c r="GR46" s="9"/>
      <c r="GS46" s="9"/>
      <c r="GT46" s="9"/>
      <c r="GU46" s="9"/>
      <c r="GV46" s="9"/>
      <c r="GW46" s="9"/>
      <c r="GX46" s="9"/>
      <c r="GY46" s="9"/>
      <c r="GZ46" s="9"/>
      <c r="HA46" s="9"/>
      <c r="HB46" s="9"/>
      <c r="HC46" s="9"/>
      <c r="HD46" s="9"/>
      <c r="HE46" s="9"/>
      <c r="HF46" s="9"/>
      <c r="HG46" s="9"/>
      <c r="HH46" s="9"/>
      <c r="HI46" s="9"/>
      <c r="HJ46" s="9"/>
      <c r="HK46" s="9"/>
      <c r="HL46" s="9"/>
      <c r="HM46" s="9"/>
      <c r="HN46" s="9"/>
      <c r="HO46" s="9"/>
      <c r="HP46" s="9"/>
      <c r="HQ46" s="9"/>
      <c r="HR46" s="9"/>
      <c r="HS46" s="9"/>
      <c r="HT46" s="9"/>
      <c r="HU46" s="9"/>
      <c r="HV46" s="9"/>
      <c r="HW46" s="9"/>
      <c r="HX46" s="9"/>
    </row>
    <row r="47" spans="1:232" ht="14.1" customHeight="1">
      <c r="A47" s="9"/>
      <c r="B47" s="761">
        <f t="shared" ref="B47:H47" si="7">223900/104629-1</f>
        <v>1.1399420810673906</v>
      </c>
      <c r="C47" s="761">
        <f t="shared" si="7"/>
        <v>1.1399420810673906</v>
      </c>
      <c r="D47" s="761">
        <f t="shared" si="7"/>
        <v>1.1399420810673906</v>
      </c>
      <c r="E47" s="761">
        <f t="shared" si="7"/>
        <v>1.1399420810673906</v>
      </c>
      <c r="F47" s="761">
        <f t="shared" si="7"/>
        <v>1.1399420810673906</v>
      </c>
      <c r="G47" s="761">
        <f t="shared" si="7"/>
        <v>1.1399420810673906</v>
      </c>
      <c r="H47" s="761">
        <f t="shared" si="7"/>
        <v>1.1399420810673906</v>
      </c>
      <c r="I47" s="9"/>
      <c r="J47" s="9"/>
      <c r="K47" s="23"/>
      <c r="L47" s="943"/>
      <c r="M47" s="610"/>
      <c r="Q47" s="610"/>
      <c r="R47" s="610"/>
      <c r="S47" s="669"/>
      <c r="T47" s="669"/>
      <c r="U47" s="669"/>
      <c r="V47" s="669"/>
      <c r="W47" s="669"/>
      <c r="X47" s="669"/>
      <c r="Y47" s="669"/>
      <c r="Z47" s="669"/>
      <c r="AA47" s="669"/>
      <c r="AB47" s="669"/>
      <c r="AC47" s="669"/>
      <c r="AD47" s="669"/>
      <c r="AE47" s="669"/>
      <c r="AF47" s="669"/>
      <c r="AG47" s="669"/>
      <c r="AH47" s="669"/>
      <c r="AI47" s="669"/>
      <c r="AJ47" s="669"/>
      <c r="AK47" s="669"/>
      <c r="AL47" s="669"/>
      <c r="AM47" s="669"/>
      <c r="AN47" s="669"/>
      <c r="AO47" s="669"/>
      <c r="AP47" s="669"/>
      <c r="AQ47" s="669"/>
      <c r="AR47" s="669"/>
      <c r="AS47" s="669"/>
      <c r="AT47" s="669"/>
      <c r="AU47" s="669"/>
      <c r="AV47" s="669"/>
      <c r="AW47" s="669"/>
      <c r="AX47" s="669"/>
      <c r="AY47" s="669"/>
      <c r="AZ47" s="669"/>
      <c r="BA47" s="669"/>
      <c r="BB47" s="669"/>
      <c r="BC47" s="669"/>
      <c r="BD47" s="669"/>
      <c r="BE47" s="669"/>
      <c r="BF47" s="669"/>
      <c r="BG47" s="669"/>
      <c r="BH47" s="669"/>
      <c r="BI47" s="669"/>
      <c r="BJ47" s="669"/>
      <c r="BK47" s="669"/>
      <c r="BL47" s="669"/>
      <c r="BM47" s="669"/>
      <c r="BN47" s="669"/>
      <c r="BO47" s="669"/>
      <c r="BP47" s="669"/>
      <c r="BQ47" s="669"/>
      <c r="BR47" s="669"/>
      <c r="BS47" s="669"/>
      <c r="BT47" s="669"/>
      <c r="BU47" s="669"/>
      <c r="BV47" s="669"/>
      <c r="BW47" s="669"/>
      <c r="BX47" s="669"/>
      <c r="BY47" s="669"/>
      <c r="BZ47" s="669"/>
      <c r="CA47" s="669"/>
      <c r="CB47" s="669"/>
      <c r="CC47" s="669"/>
      <c r="CD47" s="669"/>
      <c r="CE47" s="669"/>
      <c r="CF47" s="669"/>
      <c r="CG47" s="669"/>
      <c r="CH47" s="669"/>
      <c r="CI47" s="669"/>
      <c r="CJ47" s="669"/>
      <c r="CK47" s="669"/>
      <c r="CL47" s="669"/>
      <c r="CM47" s="669"/>
      <c r="CN47" s="669"/>
      <c r="CO47" s="669"/>
      <c r="CP47" s="669"/>
      <c r="CQ47" s="669"/>
      <c r="CR47" s="669"/>
      <c r="CS47" s="669"/>
      <c r="CT47" s="669"/>
      <c r="CU47" s="669"/>
      <c r="CV47" s="669"/>
      <c r="CW47" s="9"/>
      <c r="CX47" s="9"/>
      <c r="CY47" s="9"/>
      <c r="CZ47" s="9"/>
      <c r="DA47" s="9"/>
      <c r="DB47" s="9"/>
      <c r="DC47" s="9"/>
      <c r="DD47" s="9"/>
      <c r="DE47" s="9"/>
      <c r="DF47" s="9"/>
      <c r="DG47" s="9"/>
      <c r="DH47" s="9"/>
      <c r="DI47" s="9"/>
      <c r="DJ47" s="9"/>
      <c r="DK47" s="9"/>
      <c r="DL47" s="9"/>
      <c r="DM47" s="9"/>
      <c r="DN47" s="9"/>
      <c r="DO47" s="9"/>
      <c r="DP47" s="9"/>
      <c r="DQ47" s="9"/>
      <c r="DR47" s="9"/>
      <c r="DS47" s="9"/>
      <c r="DT47" s="9"/>
      <c r="DU47" s="9"/>
      <c r="DV47" s="9"/>
      <c r="DW47" s="9"/>
      <c r="DX47" s="9"/>
      <c r="DY47" s="9"/>
      <c r="DZ47" s="9"/>
      <c r="EA47" s="9"/>
      <c r="EB47" s="9"/>
      <c r="EC47" s="9"/>
      <c r="ED47" s="9"/>
      <c r="EE47" s="9"/>
      <c r="EF47" s="9"/>
      <c r="EG47" s="9"/>
      <c r="EH47" s="9"/>
      <c r="EI47" s="9"/>
      <c r="EJ47" s="9"/>
      <c r="EK47" s="9"/>
      <c r="EL47" s="9"/>
      <c r="EM47" s="9"/>
      <c r="EN47" s="9"/>
      <c r="EO47" s="9"/>
      <c r="EP47" s="9"/>
      <c r="EQ47" s="9"/>
      <c r="ER47" s="9"/>
      <c r="ES47" s="9"/>
      <c r="ET47" s="9"/>
      <c r="EU47" s="9"/>
      <c r="EV47" s="9"/>
      <c r="EW47" s="9"/>
      <c r="EX47" s="9"/>
      <c r="EY47" s="9"/>
      <c r="EZ47" s="9"/>
      <c r="FA47" s="9"/>
      <c r="FB47" s="9"/>
      <c r="FC47" s="9"/>
      <c r="FD47" s="9"/>
      <c r="FE47" s="9"/>
      <c r="FF47" s="9"/>
      <c r="FG47" s="9"/>
      <c r="FH47" s="9"/>
      <c r="FI47" s="9"/>
      <c r="FJ47" s="9"/>
      <c r="FK47" s="9"/>
      <c r="FL47" s="9"/>
      <c r="FM47" s="9"/>
      <c r="FN47" s="9"/>
      <c r="FO47" s="9"/>
      <c r="FP47" s="9"/>
      <c r="FQ47" s="9"/>
      <c r="FR47" s="9"/>
      <c r="FS47" s="9"/>
      <c r="FT47" s="9"/>
      <c r="FU47" s="9"/>
      <c r="FV47" s="9"/>
      <c r="FW47" s="9"/>
      <c r="FX47" s="9"/>
      <c r="FY47" s="9"/>
      <c r="FZ47" s="9"/>
      <c r="GA47" s="9"/>
      <c r="GB47" s="9"/>
      <c r="GC47" s="9"/>
      <c r="GD47" s="9"/>
      <c r="GE47" s="9"/>
      <c r="GF47" s="9"/>
      <c r="GG47" s="9"/>
      <c r="GH47" s="9"/>
      <c r="GI47" s="9"/>
      <c r="GJ47" s="9"/>
      <c r="GK47" s="9"/>
      <c r="GL47" s="9"/>
      <c r="GM47" s="9"/>
      <c r="GN47" s="9"/>
      <c r="GO47" s="9"/>
      <c r="GP47" s="9"/>
      <c r="GQ47" s="9"/>
      <c r="GR47" s="9"/>
      <c r="GS47" s="9"/>
      <c r="GT47" s="9"/>
      <c r="GU47" s="9"/>
      <c r="GV47" s="9"/>
      <c r="GW47" s="9"/>
      <c r="GX47" s="9"/>
      <c r="GY47" s="9"/>
      <c r="GZ47" s="9"/>
      <c r="HA47" s="9"/>
      <c r="HB47" s="9"/>
      <c r="HC47" s="9"/>
      <c r="HD47" s="9"/>
      <c r="HE47" s="9"/>
      <c r="HF47" s="9"/>
      <c r="HG47" s="9"/>
      <c r="HH47" s="9"/>
      <c r="HI47" s="9"/>
      <c r="HJ47" s="9"/>
      <c r="HK47" s="9"/>
      <c r="HL47" s="9"/>
      <c r="HM47" s="9"/>
      <c r="HN47" s="9"/>
      <c r="HO47" s="9"/>
      <c r="HP47" s="9"/>
      <c r="HQ47" s="9"/>
      <c r="HR47" s="9"/>
      <c r="HS47" s="9"/>
      <c r="HT47" s="9"/>
      <c r="HU47" s="9"/>
      <c r="HV47" s="9"/>
      <c r="HW47" s="9"/>
      <c r="HX47" s="9"/>
    </row>
    <row r="48" spans="1:232" ht="15">
      <c r="A48" s="688"/>
      <c r="K48" s="23"/>
      <c r="L48" s="943"/>
      <c r="M48" s="610"/>
      <c r="Q48" s="610"/>
      <c r="R48" s="610"/>
      <c r="S48" s="669"/>
      <c r="T48" s="669"/>
      <c r="U48" s="669"/>
      <c r="V48" s="669"/>
      <c r="W48" s="669"/>
      <c r="X48" s="669"/>
      <c r="Y48" s="669"/>
      <c r="Z48" s="669"/>
      <c r="AA48" s="669"/>
      <c r="AB48" s="669"/>
      <c r="AC48" s="669"/>
      <c r="AD48" s="669"/>
      <c r="AE48" s="669"/>
      <c r="AF48" s="669"/>
      <c r="AG48" s="669"/>
      <c r="AH48" s="669"/>
      <c r="AI48" s="669"/>
      <c r="AJ48" s="669"/>
      <c r="AK48" s="669"/>
      <c r="AL48" s="669"/>
      <c r="AM48" s="669"/>
      <c r="AN48" s="669"/>
      <c r="AO48" s="669"/>
      <c r="AP48" s="669"/>
      <c r="AQ48" s="669"/>
      <c r="AR48" s="669"/>
      <c r="AS48" s="669"/>
      <c r="AT48" s="669"/>
      <c r="AU48" s="669"/>
      <c r="AV48" s="669"/>
      <c r="AW48" s="669"/>
      <c r="AX48" s="669"/>
      <c r="AY48" s="669"/>
      <c r="AZ48" s="669"/>
      <c r="BA48" s="669"/>
      <c r="BB48" s="669"/>
      <c r="BC48" s="669"/>
      <c r="BD48" s="669"/>
      <c r="BE48" s="669"/>
      <c r="BF48" s="669"/>
      <c r="BG48" s="669"/>
      <c r="BH48" s="669"/>
      <c r="BI48" s="669"/>
      <c r="BJ48" s="669"/>
      <c r="BK48" s="669"/>
      <c r="BL48" s="669"/>
      <c r="BM48" s="669"/>
      <c r="BN48" s="669"/>
      <c r="BO48" s="669"/>
      <c r="BP48" s="669"/>
      <c r="BQ48" s="669"/>
      <c r="BR48" s="669"/>
      <c r="BS48" s="669"/>
      <c r="BT48" s="669"/>
      <c r="BU48" s="669"/>
      <c r="BV48" s="669"/>
      <c r="BW48" s="669"/>
      <c r="BX48" s="669"/>
      <c r="BY48" s="669"/>
      <c r="BZ48" s="669"/>
      <c r="CA48" s="669"/>
      <c r="CB48" s="669"/>
      <c r="CC48" s="669"/>
      <c r="CD48" s="669"/>
      <c r="CE48" s="669"/>
      <c r="CF48" s="669"/>
      <c r="CG48" s="669"/>
      <c r="CH48" s="669"/>
      <c r="CI48" s="669"/>
      <c r="CJ48" s="669"/>
      <c r="CK48" s="669"/>
      <c r="CL48" s="669"/>
      <c r="CM48" s="669"/>
      <c r="CN48" s="669"/>
      <c r="CO48" s="669"/>
      <c r="CP48" s="669"/>
      <c r="CQ48" s="669"/>
      <c r="CR48" s="669"/>
      <c r="CS48" s="669"/>
      <c r="CT48" s="669"/>
      <c r="CU48" s="669"/>
      <c r="CV48" s="669"/>
      <c r="CW48" s="9"/>
      <c r="CX48" s="9"/>
      <c r="CY48" s="9"/>
      <c r="CZ48" s="9"/>
      <c r="DA48" s="9"/>
      <c r="DB48" s="9"/>
      <c r="DC48" s="9"/>
      <c r="DD48" s="9"/>
      <c r="DE48" s="9"/>
      <c r="DF48" s="9"/>
      <c r="DG48" s="9"/>
      <c r="DH48" s="9"/>
      <c r="DI48" s="9"/>
      <c r="DJ48" s="9"/>
      <c r="DK48" s="9"/>
      <c r="DL48" s="9"/>
      <c r="DM48" s="9"/>
      <c r="DN48" s="9"/>
      <c r="DO48" s="9"/>
      <c r="DP48" s="9"/>
      <c r="DQ48" s="9"/>
      <c r="DR48" s="9"/>
      <c r="DS48" s="9"/>
      <c r="DT48" s="9"/>
      <c r="DU48" s="9"/>
      <c r="DV48" s="9"/>
      <c r="DW48" s="9"/>
      <c r="DX48" s="9"/>
      <c r="DY48" s="9"/>
      <c r="DZ48" s="9"/>
      <c r="EA48" s="9"/>
      <c r="EB48" s="9"/>
      <c r="EC48" s="9"/>
      <c r="ED48" s="9"/>
      <c r="EE48" s="9"/>
      <c r="EF48" s="9"/>
      <c r="EG48" s="9"/>
      <c r="EH48" s="9"/>
      <c r="EI48" s="9"/>
      <c r="EJ48" s="9"/>
      <c r="EK48" s="9"/>
      <c r="EL48" s="9"/>
      <c r="EM48" s="9"/>
      <c r="EN48" s="9"/>
      <c r="EO48" s="9"/>
      <c r="EP48" s="9"/>
      <c r="EQ48" s="9"/>
      <c r="ER48" s="9"/>
      <c r="ES48" s="9"/>
      <c r="ET48" s="9"/>
      <c r="EU48" s="9"/>
      <c r="EV48" s="9"/>
      <c r="EW48" s="9"/>
      <c r="EX48" s="9"/>
      <c r="EY48" s="9"/>
      <c r="EZ48" s="9"/>
      <c r="FA48" s="9"/>
      <c r="FB48" s="9"/>
      <c r="FC48" s="9"/>
      <c r="FD48" s="9"/>
      <c r="FE48" s="9"/>
      <c r="FF48" s="9"/>
      <c r="FG48" s="9"/>
      <c r="FH48" s="9"/>
      <c r="FI48" s="9"/>
      <c r="FJ48" s="9"/>
      <c r="FK48" s="9"/>
      <c r="FL48" s="9"/>
      <c r="FM48" s="9"/>
      <c r="FN48" s="9"/>
      <c r="FO48" s="9"/>
      <c r="FP48" s="9"/>
      <c r="FQ48" s="9"/>
      <c r="FR48" s="9"/>
      <c r="FS48" s="9"/>
      <c r="FT48" s="9"/>
      <c r="FU48" s="9"/>
      <c r="FV48" s="9"/>
      <c r="FW48" s="9"/>
      <c r="FX48" s="9"/>
      <c r="FY48" s="9"/>
      <c r="FZ48" s="9"/>
      <c r="GA48" s="9"/>
      <c r="GB48" s="9"/>
      <c r="GC48" s="9"/>
      <c r="GD48" s="9"/>
      <c r="GE48" s="9"/>
      <c r="GF48" s="9"/>
      <c r="GG48" s="9"/>
      <c r="GH48" s="9"/>
      <c r="GI48" s="9"/>
      <c r="GJ48" s="9"/>
      <c r="GK48" s="9"/>
      <c r="GL48" s="9"/>
      <c r="GM48" s="9"/>
      <c r="GN48" s="9"/>
      <c r="GO48" s="9"/>
      <c r="GP48" s="9"/>
      <c r="GQ48" s="9"/>
      <c r="GR48" s="9"/>
      <c r="GS48" s="9"/>
      <c r="GT48" s="9"/>
      <c r="GU48" s="9"/>
      <c r="GV48" s="9"/>
      <c r="GW48" s="9"/>
      <c r="GX48" s="9"/>
      <c r="GY48" s="9"/>
      <c r="GZ48" s="9"/>
      <c r="HA48" s="9"/>
      <c r="HB48" s="9"/>
      <c r="HC48" s="9"/>
      <c r="HD48" s="9"/>
      <c r="HE48" s="9"/>
      <c r="HF48" s="9"/>
      <c r="HG48" s="9"/>
      <c r="HH48" s="9"/>
      <c r="HI48" s="9"/>
      <c r="HJ48" s="9"/>
      <c r="HK48" s="9"/>
      <c r="HL48" s="9"/>
      <c r="HM48" s="9"/>
      <c r="HN48" s="9"/>
      <c r="HO48" s="9"/>
      <c r="HP48" s="9"/>
      <c r="HQ48" s="9"/>
      <c r="HR48" s="9"/>
      <c r="HS48" s="9"/>
      <c r="HT48" s="9"/>
      <c r="HU48" s="9"/>
      <c r="HV48" s="9"/>
      <c r="HW48" s="9"/>
      <c r="HX48" s="9"/>
    </row>
    <row r="49" spans="1:232">
      <c r="A49" s="657"/>
      <c r="K49" s="23"/>
      <c r="L49" s="943"/>
      <c r="M49" s="610"/>
      <c r="Q49" s="610"/>
      <c r="R49" s="610"/>
      <c r="S49" s="669"/>
      <c r="T49" s="669"/>
      <c r="U49" s="669"/>
      <c r="V49" s="669"/>
      <c r="W49" s="669"/>
      <c r="X49" s="669"/>
      <c r="Y49" s="669"/>
      <c r="Z49" s="669"/>
      <c r="AA49" s="669"/>
      <c r="AB49" s="669"/>
      <c r="AC49" s="669"/>
      <c r="AD49" s="669"/>
      <c r="AE49" s="669"/>
      <c r="AF49" s="669"/>
      <c r="AG49" s="669"/>
      <c r="AH49" s="669"/>
      <c r="AI49" s="669"/>
      <c r="AJ49" s="669"/>
      <c r="AK49" s="669"/>
      <c r="AL49" s="669"/>
      <c r="AM49" s="669"/>
      <c r="AN49" s="669"/>
      <c r="AO49" s="669"/>
      <c r="AP49" s="669"/>
      <c r="AQ49" s="669"/>
      <c r="AR49" s="669"/>
      <c r="AS49" s="669"/>
      <c r="AT49" s="669"/>
      <c r="AU49" s="669"/>
      <c r="AV49" s="669"/>
      <c r="AW49" s="669"/>
      <c r="AX49" s="669"/>
      <c r="AY49" s="669"/>
      <c r="AZ49" s="669"/>
      <c r="BA49" s="669"/>
      <c r="BB49" s="669"/>
      <c r="BC49" s="669"/>
      <c r="BD49" s="669"/>
      <c r="BE49" s="669"/>
      <c r="BF49" s="669"/>
      <c r="BG49" s="669"/>
      <c r="BH49" s="669"/>
      <c r="BI49" s="669"/>
      <c r="BJ49" s="669"/>
      <c r="BK49" s="669"/>
      <c r="BL49" s="669"/>
      <c r="BM49" s="669"/>
      <c r="BN49" s="669"/>
      <c r="BO49" s="669"/>
      <c r="BP49" s="669"/>
      <c r="BQ49" s="669"/>
      <c r="BR49" s="669"/>
      <c r="BS49" s="669"/>
      <c r="BT49" s="669"/>
      <c r="BU49" s="669"/>
      <c r="BV49" s="669"/>
      <c r="BW49" s="669"/>
      <c r="BX49" s="669"/>
      <c r="BY49" s="669"/>
      <c r="BZ49" s="669"/>
      <c r="CA49" s="669"/>
      <c r="CB49" s="669"/>
      <c r="CC49" s="669"/>
      <c r="CD49" s="669"/>
      <c r="CE49" s="669"/>
      <c r="CF49" s="669"/>
      <c r="CG49" s="669"/>
      <c r="CH49" s="669"/>
      <c r="CI49" s="669"/>
      <c r="CJ49" s="669"/>
      <c r="CK49" s="669"/>
      <c r="CL49" s="669"/>
      <c r="CM49" s="669"/>
      <c r="CN49" s="669"/>
      <c r="CO49" s="669"/>
      <c r="CP49" s="669"/>
      <c r="CQ49" s="669"/>
      <c r="CR49" s="669"/>
      <c r="CS49" s="669"/>
      <c r="CT49" s="669"/>
      <c r="CU49" s="669"/>
      <c r="CV49" s="669"/>
      <c r="CW49" s="9"/>
      <c r="CX49" s="9"/>
      <c r="CY49" s="9"/>
      <c r="CZ49" s="9"/>
      <c r="DA49" s="9"/>
      <c r="DB49" s="9"/>
      <c r="DC49" s="9"/>
      <c r="DD49" s="9"/>
      <c r="DE49" s="9"/>
      <c r="DF49" s="9"/>
      <c r="DG49" s="9"/>
      <c r="DH49" s="9"/>
      <c r="DI49" s="9"/>
      <c r="DJ49" s="9"/>
      <c r="DK49" s="9"/>
      <c r="DL49" s="9"/>
      <c r="DM49" s="9"/>
      <c r="DN49" s="9"/>
      <c r="DO49" s="9"/>
      <c r="DP49" s="9"/>
      <c r="DQ49" s="9"/>
      <c r="DR49" s="9"/>
      <c r="DS49" s="9"/>
      <c r="DT49" s="9"/>
      <c r="DU49" s="9"/>
      <c r="DV49" s="9"/>
      <c r="DW49" s="9"/>
      <c r="DX49" s="9"/>
      <c r="DY49" s="9"/>
      <c r="DZ49" s="9"/>
      <c r="EA49" s="9"/>
      <c r="EB49" s="9"/>
      <c r="EC49" s="9"/>
      <c r="ED49" s="9"/>
      <c r="EE49" s="9"/>
      <c r="EF49" s="9"/>
      <c r="EG49" s="9"/>
      <c r="EH49" s="9"/>
      <c r="EI49" s="9"/>
      <c r="EJ49" s="9"/>
      <c r="EK49" s="9"/>
      <c r="EL49" s="9"/>
      <c r="EM49" s="9"/>
      <c r="EN49" s="9"/>
      <c r="EO49" s="9"/>
      <c r="EP49" s="9"/>
      <c r="EQ49" s="9"/>
      <c r="ER49" s="9"/>
      <c r="ES49" s="9"/>
      <c r="ET49" s="9"/>
      <c r="EU49" s="9"/>
      <c r="EV49" s="9"/>
      <c r="EW49" s="9"/>
      <c r="EX49" s="9"/>
      <c r="EY49" s="9"/>
      <c r="EZ49" s="9"/>
      <c r="FA49" s="9"/>
      <c r="FB49" s="9"/>
      <c r="FC49" s="9"/>
      <c r="FD49" s="9"/>
      <c r="FE49" s="9"/>
      <c r="FF49" s="9"/>
      <c r="FG49" s="9"/>
      <c r="FH49" s="9"/>
      <c r="FI49" s="9"/>
      <c r="FJ49" s="9"/>
      <c r="FK49" s="9"/>
      <c r="FL49" s="9"/>
      <c r="FM49" s="9"/>
      <c r="FN49" s="9"/>
      <c r="FO49" s="9"/>
      <c r="FP49" s="9"/>
      <c r="FQ49" s="9"/>
      <c r="FR49" s="9"/>
      <c r="FS49" s="9"/>
      <c r="FT49" s="9"/>
      <c r="FU49" s="9"/>
      <c r="FV49" s="9"/>
      <c r="FW49" s="9"/>
      <c r="FX49" s="9"/>
      <c r="FY49" s="9"/>
      <c r="FZ49" s="9"/>
      <c r="GA49" s="9"/>
      <c r="GB49" s="9"/>
      <c r="GC49" s="9"/>
      <c r="GD49" s="9"/>
      <c r="GE49" s="9"/>
      <c r="GF49" s="9"/>
      <c r="GG49" s="9"/>
      <c r="GH49" s="9"/>
      <c r="GI49" s="9"/>
      <c r="GJ49" s="9"/>
      <c r="GK49" s="9"/>
      <c r="GL49" s="9"/>
      <c r="GM49" s="9"/>
      <c r="GN49" s="9"/>
      <c r="GO49" s="9"/>
      <c r="GP49" s="9"/>
      <c r="GQ49" s="9"/>
      <c r="GR49" s="9"/>
      <c r="GS49" s="9"/>
      <c r="GT49" s="9"/>
      <c r="GU49" s="9"/>
      <c r="GV49" s="9"/>
      <c r="GW49" s="9"/>
      <c r="GX49" s="9"/>
      <c r="GY49" s="9"/>
      <c r="GZ49" s="9"/>
      <c r="HA49" s="9"/>
      <c r="HB49" s="9"/>
      <c r="HC49" s="9"/>
      <c r="HD49" s="9"/>
      <c r="HE49" s="9"/>
      <c r="HF49" s="9"/>
      <c r="HG49" s="9"/>
      <c r="HH49" s="9"/>
      <c r="HI49" s="9"/>
      <c r="HJ49" s="9"/>
      <c r="HK49" s="9"/>
      <c r="HL49" s="9"/>
      <c r="HM49" s="9"/>
      <c r="HN49" s="9"/>
      <c r="HO49" s="9"/>
      <c r="HP49" s="9"/>
      <c r="HQ49" s="9"/>
      <c r="HR49" s="9"/>
      <c r="HS49" s="9"/>
      <c r="HT49" s="9"/>
      <c r="HU49" s="9"/>
      <c r="HV49" s="9"/>
      <c r="HW49" s="9"/>
      <c r="HX49" s="9"/>
    </row>
    <row r="50" spans="1:232">
      <c r="A50" s="9"/>
      <c r="K50" s="23"/>
      <c r="L50" s="943"/>
      <c r="M50" s="610"/>
      <c r="N50" s="610"/>
      <c r="O50" s="942"/>
      <c r="P50" s="942"/>
      <c r="Q50" s="610"/>
      <c r="R50" s="610"/>
      <c r="S50" s="669"/>
      <c r="T50" s="669"/>
      <c r="U50" s="669"/>
      <c r="V50" s="669"/>
      <c r="W50" s="669"/>
      <c r="X50" s="669"/>
      <c r="Y50" s="669"/>
      <c r="Z50" s="669"/>
      <c r="AA50" s="669"/>
      <c r="AB50" s="669"/>
      <c r="AC50" s="669"/>
      <c r="AD50" s="669"/>
      <c r="AE50" s="669"/>
      <c r="AF50" s="669"/>
      <c r="AG50" s="669"/>
      <c r="AH50" s="669"/>
      <c r="AI50" s="669"/>
      <c r="AJ50" s="669"/>
      <c r="AK50" s="669"/>
      <c r="AL50" s="669"/>
      <c r="AM50" s="669"/>
      <c r="AN50" s="669"/>
      <c r="AO50" s="669"/>
      <c r="AP50" s="669"/>
      <c r="AQ50" s="669"/>
      <c r="AR50" s="669"/>
      <c r="AS50" s="669"/>
      <c r="AT50" s="669"/>
      <c r="AU50" s="669"/>
      <c r="AV50" s="669"/>
      <c r="AW50" s="669"/>
      <c r="AX50" s="669"/>
      <c r="AY50" s="669"/>
      <c r="AZ50" s="669"/>
      <c r="BA50" s="669"/>
      <c r="BB50" s="669"/>
      <c r="BC50" s="669"/>
      <c r="BD50" s="669"/>
      <c r="BE50" s="669"/>
      <c r="BF50" s="669"/>
      <c r="BG50" s="669"/>
      <c r="BH50" s="669"/>
      <c r="BI50" s="669"/>
      <c r="BJ50" s="669"/>
      <c r="BK50" s="669"/>
      <c r="BL50" s="669"/>
      <c r="BM50" s="669"/>
      <c r="BN50" s="669"/>
      <c r="BO50" s="669"/>
      <c r="BP50" s="669"/>
      <c r="BQ50" s="669"/>
      <c r="BR50" s="669"/>
      <c r="BS50" s="669"/>
      <c r="BT50" s="669"/>
      <c r="BU50" s="669"/>
      <c r="BV50" s="669"/>
      <c r="BW50" s="669"/>
      <c r="BX50" s="669"/>
      <c r="BY50" s="669"/>
      <c r="BZ50" s="669"/>
      <c r="CA50" s="669"/>
      <c r="CB50" s="669"/>
      <c r="CC50" s="669"/>
      <c r="CD50" s="669"/>
      <c r="CE50" s="669"/>
      <c r="CF50" s="669"/>
      <c r="CG50" s="669"/>
      <c r="CH50" s="669"/>
      <c r="CI50" s="669"/>
      <c r="CJ50" s="669"/>
      <c r="CK50" s="669"/>
      <c r="CL50" s="669"/>
      <c r="CM50" s="669"/>
      <c r="CN50" s="669"/>
      <c r="CO50" s="669"/>
      <c r="CP50" s="669"/>
      <c r="CQ50" s="669"/>
      <c r="CR50" s="669"/>
      <c r="CS50" s="669"/>
      <c r="CT50" s="669"/>
      <c r="CU50" s="669"/>
      <c r="CV50" s="669"/>
      <c r="CW50" s="9"/>
      <c r="CX50" s="9"/>
      <c r="CY50" s="9"/>
      <c r="CZ50" s="9"/>
      <c r="DA50" s="9"/>
      <c r="DB50" s="9"/>
      <c r="DC50" s="9"/>
      <c r="DD50" s="9"/>
      <c r="DE50" s="9"/>
      <c r="DF50" s="9"/>
      <c r="DG50" s="9"/>
      <c r="DH50" s="9"/>
      <c r="DI50" s="9"/>
      <c r="DJ50" s="9"/>
      <c r="DK50" s="9"/>
      <c r="DL50" s="9"/>
      <c r="DM50" s="9"/>
      <c r="DN50" s="9"/>
      <c r="DO50" s="9"/>
      <c r="DP50" s="9"/>
      <c r="DQ50" s="9"/>
      <c r="DR50" s="9"/>
      <c r="DS50" s="9"/>
      <c r="DT50" s="9"/>
      <c r="DU50" s="9"/>
      <c r="DV50" s="9"/>
      <c r="DW50" s="9"/>
      <c r="DX50" s="9"/>
      <c r="DY50" s="9"/>
      <c r="DZ50" s="9"/>
      <c r="EA50" s="9"/>
      <c r="EB50" s="9"/>
      <c r="EC50" s="9"/>
      <c r="ED50" s="9"/>
      <c r="EE50" s="9"/>
      <c r="EF50" s="9"/>
      <c r="EG50" s="9"/>
      <c r="EH50" s="9"/>
      <c r="EI50" s="9"/>
      <c r="EJ50" s="9"/>
      <c r="EK50" s="9"/>
      <c r="EL50" s="9"/>
      <c r="EM50" s="9"/>
      <c r="EN50" s="9"/>
      <c r="EO50" s="9"/>
      <c r="EP50" s="9"/>
      <c r="EQ50" s="9"/>
      <c r="ER50" s="9"/>
      <c r="ES50" s="9"/>
      <c r="ET50" s="9"/>
      <c r="EU50" s="9"/>
      <c r="EV50" s="9"/>
      <c r="EW50" s="9"/>
      <c r="EX50" s="9"/>
      <c r="EY50" s="9"/>
      <c r="EZ50" s="9"/>
      <c r="FA50" s="9"/>
      <c r="FB50" s="9"/>
      <c r="FC50" s="9"/>
      <c r="FD50" s="9"/>
      <c r="FE50" s="9"/>
      <c r="FF50" s="9"/>
      <c r="FG50" s="9"/>
      <c r="FH50" s="9"/>
      <c r="FI50" s="9"/>
      <c r="FJ50" s="9"/>
      <c r="FK50" s="9"/>
      <c r="FL50" s="9"/>
      <c r="FM50" s="9"/>
      <c r="FN50" s="9"/>
      <c r="FO50" s="9"/>
      <c r="FP50" s="9"/>
      <c r="FQ50" s="9"/>
      <c r="FR50" s="9"/>
      <c r="FS50" s="9"/>
      <c r="FT50" s="9"/>
      <c r="FU50" s="9"/>
      <c r="FV50" s="9"/>
      <c r="FW50" s="9"/>
      <c r="FX50" s="9"/>
      <c r="FY50" s="9"/>
      <c r="FZ50" s="9"/>
      <c r="GA50" s="9"/>
      <c r="GB50" s="9"/>
      <c r="GC50" s="9"/>
      <c r="GD50" s="9"/>
      <c r="GE50" s="9"/>
      <c r="GF50" s="9"/>
      <c r="GG50" s="9"/>
      <c r="GH50" s="9"/>
      <c r="GI50" s="9"/>
      <c r="GJ50" s="9"/>
      <c r="GK50" s="9"/>
      <c r="GL50" s="9"/>
      <c r="GM50" s="9"/>
      <c r="GN50" s="9"/>
      <c r="GO50" s="9"/>
      <c r="GP50" s="9"/>
      <c r="GQ50" s="9"/>
      <c r="GR50" s="9"/>
      <c r="GS50" s="9"/>
      <c r="GT50" s="9"/>
      <c r="GU50" s="9"/>
      <c r="GV50" s="9"/>
      <c r="GW50" s="9"/>
      <c r="GX50" s="9"/>
      <c r="GY50" s="9"/>
      <c r="GZ50" s="9"/>
      <c r="HA50" s="9"/>
      <c r="HB50" s="9"/>
      <c r="HC50" s="9"/>
      <c r="HD50" s="9"/>
      <c r="HE50" s="9"/>
      <c r="HF50" s="9"/>
      <c r="HG50" s="9"/>
      <c r="HH50" s="9"/>
      <c r="HI50" s="9"/>
      <c r="HJ50" s="9"/>
      <c r="HK50" s="9"/>
      <c r="HL50" s="9"/>
      <c r="HM50" s="9"/>
      <c r="HN50" s="9"/>
      <c r="HO50" s="9"/>
      <c r="HP50" s="9"/>
      <c r="HQ50" s="9"/>
      <c r="HR50" s="9"/>
      <c r="HS50" s="9"/>
      <c r="HT50" s="9"/>
      <c r="HU50" s="9"/>
      <c r="HV50" s="9"/>
      <c r="HW50" s="9"/>
      <c r="HX50" s="9"/>
    </row>
    <row r="51" spans="1:232" s="1068" customFormat="1" ht="12.75" customHeight="1">
      <c r="A51" s="1120" t="s">
        <v>1162</v>
      </c>
      <c r="B51" s="1072"/>
      <c r="C51" s="1072"/>
      <c r="D51" s="1072"/>
      <c r="E51" s="1073"/>
    </row>
    <row r="52" spans="1:232" ht="14.25">
      <c r="A52" s="689"/>
      <c r="B52" s="690"/>
      <c r="C52" s="690"/>
      <c r="D52" s="690"/>
      <c r="E52" s="690"/>
      <c r="F52" s="690"/>
      <c r="G52" s="690"/>
      <c r="H52" s="690"/>
      <c r="I52" s="690"/>
      <c r="J52" s="690"/>
      <c r="K52" s="690"/>
      <c r="L52" s="944"/>
      <c r="M52" s="944"/>
      <c r="N52" s="944"/>
      <c r="O52" s="944"/>
      <c r="P52" s="610"/>
      <c r="Q52" s="610"/>
      <c r="R52" s="610"/>
      <c r="S52" s="669"/>
      <c r="T52" s="669"/>
      <c r="U52" s="669"/>
      <c r="V52" s="669"/>
      <c r="W52" s="669"/>
      <c r="X52" s="669"/>
      <c r="Y52" s="669"/>
      <c r="Z52" s="669"/>
      <c r="AA52" s="669"/>
      <c r="AB52" s="669"/>
      <c r="AC52" s="669"/>
      <c r="AD52" s="669"/>
      <c r="AE52" s="669"/>
      <c r="AF52" s="669"/>
      <c r="AG52" s="669"/>
      <c r="AH52" s="669"/>
      <c r="AI52" s="669"/>
      <c r="AJ52" s="669"/>
      <c r="AK52" s="669"/>
      <c r="AL52" s="669"/>
      <c r="AM52" s="669"/>
      <c r="AN52" s="669"/>
      <c r="AO52" s="669"/>
      <c r="AP52" s="669"/>
      <c r="AQ52" s="669"/>
      <c r="AR52" s="669"/>
      <c r="AS52" s="669"/>
      <c r="AT52" s="669"/>
      <c r="AU52" s="669"/>
      <c r="AV52" s="669"/>
      <c r="AW52" s="669"/>
      <c r="AX52" s="669"/>
      <c r="AY52" s="669"/>
      <c r="AZ52" s="669"/>
      <c r="BA52" s="669"/>
      <c r="BB52" s="669"/>
      <c r="BC52" s="669"/>
      <c r="BD52" s="669"/>
      <c r="BE52" s="669"/>
      <c r="BF52" s="669"/>
      <c r="BG52" s="669"/>
      <c r="BH52" s="669"/>
      <c r="BI52" s="669"/>
      <c r="BJ52" s="669"/>
      <c r="BK52" s="669"/>
      <c r="BL52" s="669"/>
      <c r="BM52" s="669"/>
      <c r="BN52" s="669"/>
      <c r="BO52" s="669"/>
      <c r="BP52" s="669"/>
      <c r="BQ52" s="669"/>
      <c r="BR52" s="669"/>
      <c r="BS52" s="669"/>
      <c r="BT52" s="669"/>
      <c r="BU52" s="669"/>
      <c r="BV52" s="669"/>
      <c r="BW52" s="669"/>
      <c r="BX52" s="669"/>
      <c r="BY52" s="669"/>
      <c r="BZ52" s="669"/>
      <c r="CA52" s="669"/>
      <c r="CB52" s="669"/>
      <c r="CC52" s="669"/>
      <c r="CD52" s="669"/>
      <c r="CE52" s="669"/>
      <c r="CF52" s="669"/>
      <c r="CG52" s="669"/>
      <c r="CH52" s="669"/>
      <c r="CI52" s="669"/>
      <c r="CJ52" s="669"/>
      <c r="CK52" s="669"/>
      <c r="CL52" s="669"/>
      <c r="CM52" s="669"/>
      <c r="CN52" s="669"/>
      <c r="CO52" s="669"/>
      <c r="CP52" s="669"/>
      <c r="CQ52" s="669"/>
      <c r="CR52" s="669"/>
      <c r="CS52" s="669"/>
      <c r="CT52" s="669"/>
      <c r="CU52" s="669"/>
      <c r="CV52" s="669"/>
      <c r="CW52" s="9"/>
      <c r="CX52" s="9"/>
      <c r="CY52" s="9"/>
      <c r="CZ52" s="9"/>
      <c r="DA52" s="9"/>
      <c r="DB52" s="9"/>
      <c r="DC52" s="9"/>
      <c r="DD52" s="9"/>
      <c r="DE52" s="9"/>
      <c r="DF52" s="9"/>
      <c r="DG52" s="9"/>
      <c r="DH52" s="9"/>
      <c r="DI52" s="9"/>
      <c r="DJ52" s="9"/>
      <c r="DK52" s="9"/>
      <c r="DL52" s="9"/>
      <c r="DM52" s="9"/>
      <c r="DN52" s="9"/>
      <c r="DO52" s="9"/>
      <c r="DP52" s="9"/>
      <c r="DQ52" s="9"/>
      <c r="DR52" s="9"/>
      <c r="DS52" s="9"/>
      <c r="DT52" s="9"/>
      <c r="DU52" s="9"/>
      <c r="DV52" s="9"/>
      <c r="DW52" s="9"/>
      <c r="DX52" s="9"/>
      <c r="DY52" s="9"/>
      <c r="DZ52" s="9"/>
      <c r="EA52" s="9"/>
      <c r="EB52" s="9"/>
      <c r="EC52" s="9"/>
      <c r="ED52" s="9"/>
      <c r="EE52" s="9"/>
      <c r="EF52" s="9"/>
      <c r="EG52" s="9"/>
      <c r="EH52" s="9"/>
      <c r="EI52" s="9"/>
      <c r="EJ52" s="9"/>
      <c r="EK52" s="9"/>
      <c r="EL52" s="9"/>
      <c r="EM52" s="9"/>
      <c r="EN52" s="9"/>
      <c r="EO52" s="9"/>
      <c r="EP52" s="9"/>
      <c r="EQ52" s="9"/>
      <c r="ER52" s="9"/>
      <c r="ES52" s="9"/>
      <c r="ET52" s="9"/>
      <c r="EU52" s="9"/>
      <c r="EV52" s="9"/>
      <c r="EW52" s="9"/>
      <c r="EX52" s="9"/>
      <c r="EY52" s="9"/>
      <c r="EZ52" s="9"/>
      <c r="FA52" s="9"/>
      <c r="FB52" s="9"/>
      <c r="FC52" s="9"/>
      <c r="FD52" s="9"/>
      <c r="FE52" s="9"/>
      <c r="FF52" s="9"/>
      <c r="FG52" s="9"/>
      <c r="FH52" s="9"/>
      <c r="FI52" s="9"/>
      <c r="FJ52" s="9"/>
      <c r="FK52" s="9"/>
      <c r="FL52" s="9"/>
      <c r="FM52" s="9"/>
      <c r="FN52" s="9"/>
      <c r="FO52" s="9"/>
      <c r="FP52" s="9"/>
      <c r="FQ52" s="9"/>
      <c r="FR52" s="9"/>
      <c r="FS52" s="9"/>
      <c r="FT52" s="9"/>
      <c r="FU52" s="9"/>
      <c r="FV52" s="9"/>
      <c r="FW52" s="9"/>
      <c r="FX52" s="9"/>
      <c r="FY52" s="9"/>
      <c r="FZ52" s="9"/>
      <c r="GA52" s="9"/>
      <c r="GB52" s="9"/>
      <c r="GC52" s="9"/>
      <c r="GD52" s="9"/>
      <c r="GE52" s="9"/>
      <c r="GF52" s="9"/>
      <c r="GG52" s="9"/>
      <c r="GH52" s="9"/>
      <c r="GI52" s="9"/>
      <c r="GJ52" s="9"/>
      <c r="GK52" s="9"/>
      <c r="GL52" s="9"/>
      <c r="GM52" s="9"/>
      <c r="GN52" s="9"/>
      <c r="GO52" s="9"/>
      <c r="GP52" s="9"/>
      <c r="GQ52" s="9"/>
      <c r="GR52" s="9"/>
      <c r="GS52" s="9"/>
      <c r="GT52" s="9"/>
      <c r="GU52" s="9"/>
      <c r="GV52" s="9"/>
      <c r="GW52" s="9"/>
      <c r="GX52" s="9"/>
      <c r="GY52" s="9"/>
      <c r="GZ52" s="9"/>
      <c r="HA52" s="9"/>
      <c r="HB52" s="9"/>
      <c r="HC52" s="9"/>
      <c r="HD52" s="9"/>
      <c r="HE52" s="9"/>
      <c r="HF52" s="9"/>
      <c r="HG52" s="9"/>
      <c r="HH52" s="9"/>
      <c r="HI52" s="9"/>
      <c r="HJ52" s="9"/>
      <c r="HK52" s="9"/>
      <c r="HL52" s="9"/>
      <c r="HM52" s="9"/>
      <c r="HN52" s="9"/>
      <c r="HO52" s="9"/>
      <c r="HP52" s="9"/>
      <c r="HQ52" s="9"/>
      <c r="HR52" s="9"/>
      <c r="HS52" s="9"/>
      <c r="HT52" s="9"/>
      <c r="HU52" s="9"/>
      <c r="HV52" s="9"/>
      <c r="HW52" s="9"/>
      <c r="HX52" s="9"/>
    </row>
    <row r="53" spans="1:232" ht="15.75">
      <c r="A53" s="24"/>
      <c r="B53" s="7"/>
      <c r="C53" s="7"/>
      <c r="D53" s="7"/>
      <c r="E53" s="7"/>
      <c r="F53" s="7"/>
      <c r="G53" s="7"/>
      <c r="H53" s="7"/>
      <c r="I53" s="7"/>
      <c r="J53" s="7"/>
      <c r="K53" s="7"/>
      <c r="L53" s="796"/>
      <c r="M53" s="796"/>
      <c r="N53" s="796"/>
      <c r="O53" s="796"/>
      <c r="P53" s="796"/>
      <c r="Q53" s="796"/>
      <c r="R53" s="796"/>
      <c r="S53" s="669"/>
      <c r="T53" s="669"/>
      <c r="U53" s="669"/>
      <c r="V53" s="669"/>
      <c r="W53" s="669"/>
      <c r="X53" s="669"/>
      <c r="Y53" s="669"/>
      <c r="Z53" s="669"/>
      <c r="AA53" s="669"/>
      <c r="AB53" s="669"/>
      <c r="AC53" s="669"/>
      <c r="AD53" s="669"/>
      <c r="AE53" s="669"/>
      <c r="AF53" s="669"/>
      <c r="AG53" s="669"/>
      <c r="AH53" s="669"/>
      <c r="AI53" s="669"/>
      <c r="AJ53" s="669"/>
      <c r="AK53" s="669"/>
      <c r="AL53" s="669"/>
      <c r="AM53" s="669"/>
      <c r="AN53" s="669"/>
      <c r="AO53" s="669"/>
      <c r="AP53" s="669"/>
      <c r="AQ53" s="669"/>
      <c r="AR53" s="669"/>
      <c r="AS53" s="669"/>
      <c r="AT53" s="669"/>
      <c r="AU53" s="669"/>
      <c r="AV53" s="669"/>
      <c r="AW53" s="669"/>
      <c r="AX53" s="669"/>
      <c r="AY53" s="669"/>
      <c r="AZ53" s="669"/>
      <c r="BA53" s="669"/>
      <c r="BB53" s="669"/>
      <c r="BC53" s="669"/>
      <c r="BD53" s="669"/>
      <c r="BE53" s="669"/>
      <c r="BF53" s="669"/>
      <c r="BG53" s="669"/>
      <c r="BH53" s="669"/>
      <c r="BI53" s="669"/>
      <c r="BJ53" s="669"/>
      <c r="BK53" s="669"/>
      <c r="BL53" s="669"/>
      <c r="BM53" s="669"/>
      <c r="BN53" s="669"/>
      <c r="BO53" s="669"/>
      <c r="BP53" s="669"/>
      <c r="BQ53" s="669"/>
      <c r="BR53" s="669"/>
      <c r="BS53" s="669"/>
      <c r="BT53" s="669"/>
      <c r="BU53" s="669"/>
      <c r="BV53" s="669"/>
      <c r="BW53" s="669"/>
      <c r="BX53" s="669"/>
      <c r="BY53" s="669"/>
      <c r="BZ53" s="669"/>
      <c r="CA53" s="669"/>
      <c r="CB53" s="669"/>
      <c r="CC53" s="669"/>
      <c r="CD53" s="669"/>
      <c r="CE53" s="669"/>
      <c r="CF53" s="669"/>
      <c r="CG53" s="669"/>
      <c r="CH53" s="669"/>
      <c r="CI53" s="669"/>
      <c r="CJ53" s="669"/>
      <c r="CK53" s="669"/>
      <c r="CL53" s="669"/>
      <c r="CM53" s="669"/>
      <c r="CN53" s="669"/>
      <c r="CO53" s="669"/>
      <c r="CP53" s="669"/>
      <c r="CQ53" s="669"/>
      <c r="CR53" s="669"/>
      <c r="CS53" s="669"/>
      <c r="CT53" s="669"/>
      <c r="CU53" s="669"/>
      <c r="CV53" s="669"/>
      <c r="CW53" s="9"/>
      <c r="CX53" s="9"/>
      <c r="CY53" s="9"/>
      <c r="CZ53" s="9"/>
      <c r="DA53" s="9"/>
      <c r="DB53" s="9"/>
      <c r="DC53" s="9"/>
      <c r="DD53" s="9"/>
      <c r="DE53" s="9"/>
      <c r="DF53" s="9"/>
      <c r="DG53" s="9"/>
      <c r="DH53" s="9"/>
      <c r="DI53" s="9"/>
      <c r="DJ53" s="9"/>
      <c r="DK53" s="9"/>
      <c r="DL53" s="9"/>
      <c r="DM53" s="9"/>
      <c r="DN53" s="9"/>
      <c r="DO53" s="9"/>
      <c r="DP53" s="9"/>
      <c r="DQ53" s="9"/>
      <c r="DR53" s="9"/>
      <c r="DS53" s="9"/>
      <c r="DT53" s="9"/>
      <c r="DU53" s="9"/>
      <c r="DV53" s="9"/>
      <c r="DW53" s="9"/>
      <c r="DX53" s="9"/>
      <c r="DY53" s="9"/>
      <c r="DZ53" s="9"/>
      <c r="EA53" s="9"/>
      <c r="EB53" s="9"/>
      <c r="EC53" s="9"/>
      <c r="ED53" s="9"/>
      <c r="EE53" s="9"/>
      <c r="EF53" s="9"/>
      <c r="EG53" s="9"/>
      <c r="EH53" s="9"/>
      <c r="EI53" s="9"/>
      <c r="EJ53" s="9"/>
      <c r="EK53" s="9"/>
      <c r="EL53" s="9"/>
      <c r="EM53" s="9"/>
      <c r="EN53" s="9"/>
      <c r="EO53" s="9"/>
      <c r="EP53" s="9"/>
      <c r="EQ53" s="9"/>
      <c r="ER53" s="9"/>
      <c r="ES53" s="9"/>
      <c r="ET53" s="9"/>
      <c r="EU53" s="9"/>
      <c r="EV53" s="9"/>
      <c r="EW53" s="9"/>
      <c r="EX53" s="9"/>
      <c r="EY53" s="9"/>
      <c r="EZ53" s="9"/>
      <c r="FA53" s="9"/>
      <c r="FB53" s="9"/>
      <c r="FC53" s="9"/>
      <c r="FD53" s="9"/>
      <c r="FE53" s="9"/>
      <c r="FF53" s="9"/>
      <c r="FG53" s="9"/>
      <c r="FH53" s="9"/>
      <c r="FI53" s="9"/>
      <c r="FJ53" s="9"/>
      <c r="FK53" s="9"/>
      <c r="FL53" s="9"/>
      <c r="FM53" s="9"/>
      <c r="FN53" s="9"/>
      <c r="FO53" s="9"/>
      <c r="FP53" s="9"/>
      <c r="FQ53" s="9"/>
      <c r="FR53" s="9"/>
      <c r="FS53" s="9"/>
      <c r="FT53" s="9"/>
      <c r="FU53" s="9"/>
      <c r="FV53" s="9"/>
      <c r="FW53" s="9"/>
      <c r="FX53" s="9"/>
      <c r="FY53" s="9"/>
      <c r="FZ53" s="9"/>
      <c r="GA53" s="9"/>
      <c r="GB53" s="9"/>
      <c r="GC53" s="9"/>
      <c r="GD53" s="9"/>
      <c r="GE53" s="9"/>
      <c r="GF53" s="9"/>
      <c r="GG53" s="9"/>
      <c r="GH53" s="9"/>
      <c r="GI53" s="9"/>
      <c r="GJ53" s="9"/>
      <c r="GK53" s="9"/>
      <c r="GL53" s="9"/>
      <c r="GM53" s="9"/>
      <c r="GN53" s="9"/>
      <c r="GO53" s="9"/>
      <c r="GP53" s="9"/>
      <c r="GQ53" s="9"/>
      <c r="GR53" s="9"/>
      <c r="GS53" s="9"/>
      <c r="GT53" s="9"/>
      <c r="GU53" s="9"/>
      <c r="GV53" s="9"/>
      <c r="GW53" s="9"/>
      <c r="GX53" s="9"/>
      <c r="GY53" s="9"/>
      <c r="GZ53" s="9"/>
      <c r="HA53" s="9"/>
      <c r="HB53" s="9"/>
      <c r="HC53" s="9"/>
      <c r="HD53" s="9"/>
      <c r="HE53" s="9"/>
      <c r="HF53" s="9"/>
      <c r="HG53" s="9"/>
      <c r="HH53" s="9"/>
      <c r="HI53" s="9"/>
      <c r="HJ53" s="9"/>
      <c r="HK53" s="9"/>
      <c r="HL53" s="9"/>
      <c r="HM53" s="9"/>
      <c r="HN53" s="9"/>
      <c r="HO53" s="9"/>
      <c r="HP53" s="9"/>
      <c r="HQ53" s="9"/>
      <c r="HR53" s="9"/>
      <c r="HS53" s="9"/>
      <c r="HT53" s="9"/>
      <c r="HU53" s="9"/>
      <c r="HV53" s="9"/>
      <c r="HW53" s="9"/>
      <c r="HX53" s="9"/>
    </row>
    <row r="54" spans="1:232" ht="14.1" customHeight="1">
      <c r="B54" s="9"/>
      <c r="C54" s="9"/>
      <c r="D54" s="9"/>
      <c r="E54" s="9"/>
      <c r="F54" s="9"/>
      <c r="G54" s="9"/>
      <c r="H54" s="9"/>
      <c r="I54" s="9"/>
      <c r="J54" s="9"/>
      <c r="K54" s="23"/>
      <c r="L54" s="943"/>
      <c r="M54" s="610"/>
      <c r="N54" s="610"/>
      <c r="O54" s="610"/>
      <c r="P54" s="610"/>
      <c r="Q54" s="610"/>
      <c r="R54" s="610"/>
      <c r="S54" s="669"/>
      <c r="T54" s="669"/>
      <c r="U54" s="669"/>
      <c r="V54" s="669"/>
      <c r="W54" s="669"/>
      <c r="X54" s="669"/>
      <c r="Y54" s="669"/>
      <c r="Z54" s="669"/>
      <c r="AA54" s="669"/>
      <c r="AB54" s="669"/>
      <c r="AC54" s="669"/>
      <c r="AD54" s="669"/>
      <c r="AE54" s="669"/>
      <c r="AF54" s="669"/>
      <c r="AG54" s="669"/>
      <c r="AH54" s="669"/>
      <c r="AI54" s="669"/>
      <c r="AJ54" s="669"/>
      <c r="AK54" s="669"/>
      <c r="AL54" s="669"/>
      <c r="AM54" s="669"/>
      <c r="AN54" s="669"/>
      <c r="AO54" s="669"/>
      <c r="AP54" s="669"/>
      <c r="AQ54" s="669"/>
      <c r="AR54" s="669"/>
      <c r="AS54" s="669"/>
      <c r="AT54" s="669"/>
      <c r="AU54" s="669"/>
      <c r="AV54" s="669"/>
      <c r="AW54" s="669"/>
      <c r="AX54" s="669"/>
      <c r="AY54" s="669"/>
      <c r="AZ54" s="669"/>
      <c r="BA54" s="669"/>
      <c r="BB54" s="669"/>
      <c r="BC54" s="669"/>
      <c r="BD54" s="669"/>
      <c r="BE54" s="669"/>
      <c r="BF54" s="669"/>
      <c r="BG54" s="669"/>
      <c r="BH54" s="669"/>
      <c r="BI54" s="669"/>
      <c r="BJ54" s="669"/>
      <c r="BK54" s="669"/>
      <c r="BL54" s="669"/>
      <c r="BM54" s="669"/>
      <c r="BN54" s="669"/>
      <c r="BO54" s="669"/>
      <c r="BP54" s="669"/>
      <c r="BQ54" s="669"/>
      <c r="BR54" s="669"/>
      <c r="BS54" s="669"/>
      <c r="BT54" s="669"/>
      <c r="BU54" s="669"/>
      <c r="BV54" s="669"/>
      <c r="BW54" s="669"/>
      <c r="BX54" s="669"/>
      <c r="BY54" s="669"/>
      <c r="BZ54" s="669"/>
      <c r="CA54" s="669"/>
      <c r="CB54" s="669"/>
      <c r="CC54" s="669"/>
      <c r="CD54" s="669"/>
      <c r="CE54" s="669"/>
      <c r="CF54" s="669"/>
      <c r="CG54" s="669"/>
      <c r="CH54" s="669"/>
      <c r="CI54" s="669"/>
      <c r="CJ54" s="669"/>
      <c r="CK54" s="669"/>
      <c r="CL54" s="669"/>
      <c r="CM54" s="669"/>
      <c r="CN54" s="669"/>
      <c r="CO54" s="669"/>
      <c r="CP54" s="669"/>
      <c r="CQ54" s="669"/>
      <c r="CR54" s="669"/>
      <c r="CS54" s="669"/>
      <c r="CT54" s="669"/>
      <c r="CU54" s="669"/>
      <c r="CV54" s="669"/>
      <c r="CW54" s="9"/>
      <c r="CX54" s="9"/>
      <c r="CY54" s="9"/>
      <c r="CZ54" s="9"/>
      <c r="DA54" s="9"/>
      <c r="DB54" s="9"/>
      <c r="DC54" s="9"/>
      <c r="DD54" s="9"/>
      <c r="DE54" s="9"/>
      <c r="DF54" s="9"/>
      <c r="DG54" s="9"/>
      <c r="DH54" s="9"/>
      <c r="DI54" s="9"/>
      <c r="DJ54" s="9"/>
      <c r="DK54" s="9"/>
      <c r="DL54" s="9"/>
      <c r="DM54" s="9"/>
      <c r="DN54" s="9"/>
      <c r="DO54" s="9"/>
      <c r="DP54" s="9"/>
      <c r="DQ54" s="9"/>
      <c r="DR54" s="9"/>
      <c r="DS54" s="9"/>
      <c r="DT54" s="9"/>
      <c r="DU54" s="9"/>
      <c r="DV54" s="9"/>
      <c r="DW54" s="9"/>
      <c r="DX54" s="9"/>
      <c r="DY54" s="9"/>
      <c r="DZ54" s="9"/>
      <c r="EA54" s="9"/>
      <c r="EB54" s="9"/>
      <c r="EC54" s="9"/>
      <c r="ED54" s="9"/>
      <c r="EE54" s="9"/>
      <c r="EF54" s="9"/>
      <c r="EG54" s="9"/>
      <c r="EH54" s="9"/>
      <c r="EI54" s="9"/>
      <c r="EJ54" s="9"/>
      <c r="EK54" s="9"/>
      <c r="EL54" s="9"/>
      <c r="EM54" s="9"/>
      <c r="EN54" s="9"/>
      <c r="EO54" s="9"/>
      <c r="EP54" s="9"/>
      <c r="EQ54" s="9"/>
      <c r="ER54" s="9"/>
      <c r="ES54" s="9"/>
      <c r="ET54" s="9"/>
      <c r="EU54" s="9"/>
      <c r="EV54" s="9"/>
      <c r="EW54" s="9"/>
      <c r="EX54" s="9"/>
      <c r="EY54" s="9"/>
      <c r="EZ54" s="9"/>
      <c r="FA54" s="9"/>
      <c r="FB54" s="9"/>
      <c r="FC54" s="9"/>
      <c r="FD54" s="9"/>
      <c r="FE54" s="9"/>
      <c r="FF54" s="9"/>
      <c r="FG54" s="9"/>
      <c r="FH54" s="9"/>
      <c r="FI54" s="9"/>
      <c r="FJ54" s="9"/>
      <c r="FK54" s="9"/>
      <c r="FL54" s="9"/>
      <c r="FM54" s="9"/>
      <c r="FN54" s="9"/>
      <c r="FO54" s="9"/>
      <c r="FP54" s="9"/>
      <c r="FQ54" s="9"/>
      <c r="FR54" s="9"/>
      <c r="FS54" s="9"/>
      <c r="FT54" s="9"/>
      <c r="FU54" s="9"/>
      <c r="FV54" s="9"/>
      <c r="FW54" s="9"/>
      <c r="FX54" s="9"/>
      <c r="FY54" s="9"/>
      <c r="FZ54" s="9"/>
      <c r="GA54" s="9"/>
      <c r="GB54" s="9"/>
      <c r="GC54" s="9"/>
      <c r="GD54" s="9"/>
      <c r="GE54" s="9"/>
      <c r="GF54" s="9"/>
      <c r="GG54" s="9"/>
      <c r="GH54" s="9"/>
      <c r="GI54" s="9"/>
      <c r="GJ54" s="9"/>
      <c r="GK54" s="9"/>
      <c r="GL54" s="9"/>
      <c r="GM54" s="9"/>
      <c r="GN54" s="9"/>
      <c r="GO54" s="9"/>
      <c r="GP54" s="9"/>
      <c r="GQ54" s="9"/>
      <c r="GR54" s="9"/>
      <c r="GS54" s="9"/>
      <c r="GT54" s="9"/>
      <c r="GU54" s="9"/>
      <c r="GV54" s="9"/>
      <c r="GW54" s="9"/>
      <c r="GX54" s="9"/>
      <c r="GY54" s="9"/>
      <c r="GZ54" s="9"/>
      <c r="HA54" s="9"/>
      <c r="HB54" s="9"/>
      <c r="HC54" s="9"/>
      <c r="HD54" s="9"/>
      <c r="HE54" s="9"/>
      <c r="HF54" s="9"/>
      <c r="HG54" s="9"/>
      <c r="HH54" s="9"/>
      <c r="HI54" s="9"/>
      <c r="HJ54" s="9"/>
      <c r="HK54" s="9"/>
      <c r="HL54" s="9"/>
      <c r="HM54" s="9"/>
      <c r="HN54" s="9"/>
      <c r="HO54" s="9"/>
      <c r="HP54" s="9"/>
      <c r="HQ54" s="9"/>
      <c r="HR54" s="9"/>
      <c r="HS54" s="9"/>
      <c r="HT54" s="9"/>
      <c r="HU54" s="9"/>
      <c r="HV54" s="9"/>
      <c r="HW54" s="9"/>
      <c r="HX54" s="9"/>
    </row>
    <row r="55" spans="1:232" ht="14.1" customHeight="1">
      <c r="A55" s="9"/>
      <c r="B55" s="9"/>
      <c r="C55" s="9"/>
      <c r="D55" s="9"/>
      <c r="E55" s="9"/>
      <c r="F55" s="9"/>
      <c r="G55" s="9"/>
      <c r="H55" s="9"/>
      <c r="I55" s="9"/>
      <c r="J55" s="9"/>
      <c r="K55" s="23"/>
      <c r="L55" s="943"/>
      <c r="M55" s="610"/>
      <c r="N55" s="610"/>
      <c r="O55" s="610"/>
      <c r="P55" s="610"/>
      <c r="Q55" s="610"/>
      <c r="R55" s="610"/>
      <c r="S55" s="669"/>
      <c r="T55" s="669"/>
      <c r="U55" s="669"/>
      <c r="V55" s="669"/>
      <c r="W55" s="669"/>
      <c r="X55" s="669"/>
      <c r="Y55" s="669"/>
      <c r="Z55" s="669"/>
      <c r="AA55" s="669"/>
      <c r="AB55" s="669"/>
      <c r="AC55" s="669"/>
      <c r="AD55" s="669"/>
      <c r="AE55" s="669"/>
      <c r="AF55" s="669"/>
      <c r="AG55" s="669"/>
      <c r="AH55" s="669"/>
      <c r="AI55" s="669"/>
      <c r="AJ55" s="669"/>
      <c r="AK55" s="669"/>
      <c r="AL55" s="669"/>
      <c r="AM55" s="669"/>
      <c r="AN55" s="669"/>
      <c r="AO55" s="669"/>
      <c r="AP55" s="669"/>
      <c r="AQ55" s="669"/>
      <c r="AR55" s="669"/>
      <c r="AS55" s="669"/>
      <c r="AT55" s="669"/>
      <c r="AU55" s="669"/>
      <c r="AV55" s="669"/>
      <c r="AW55" s="669"/>
      <c r="AX55" s="669"/>
      <c r="AY55" s="669"/>
      <c r="AZ55" s="669"/>
      <c r="BA55" s="669"/>
      <c r="BB55" s="669"/>
      <c r="BC55" s="669"/>
      <c r="BD55" s="669"/>
      <c r="BE55" s="669"/>
      <c r="BF55" s="669"/>
      <c r="BG55" s="669"/>
      <c r="BH55" s="669"/>
      <c r="BI55" s="669"/>
      <c r="BJ55" s="669"/>
      <c r="BK55" s="669"/>
      <c r="BL55" s="669"/>
      <c r="BM55" s="669"/>
      <c r="BN55" s="669"/>
      <c r="BO55" s="669"/>
      <c r="BP55" s="669"/>
      <c r="BQ55" s="669"/>
      <c r="BR55" s="669"/>
      <c r="BS55" s="669"/>
      <c r="BT55" s="669"/>
      <c r="BU55" s="669"/>
      <c r="BV55" s="669"/>
      <c r="BW55" s="669"/>
      <c r="BX55" s="669"/>
      <c r="BY55" s="669"/>
      <c r="BZ55" s="669"/>
      <c r="CA55" s="669"/>
      <c r="CB55" s="669"/>
      <c r="CC55" s="669"/>
      <c r="CD55" s="669"/>
      <c r="CE55" s="669"/>
      <c r="CF55" s="669"/>
      <c r="CG55" s="669"/>
      <c r="CH55" s="669"/>
      <c r="CI55" s="669"/>
      <c r="CJ55" s="669"/>
      <c r="CK55" s="669"/>
      <c r="CL55" s="669"/>
      <c r="CM55" s="669"/>
      <c r="CN55" s="669"/>
      <c r="CO55" s="669"/>
      <c r="CP55" s="669"/>
      <c r="CQ55" s="669"/>
      <c r="CR55" s="669"/>
      <c r="CS55" s="669"/>
      <c r="CT55" s="669"/>
      <c r="CU55" s="669"/>
      <c r="CV55" s="669"/>
      <c r="CW55" s="9"/>
      <c r="CX55" s="9"/>
      <c r="CY55" s="9"/>
      <c r="CZ55" s="9"/>
      <c r="DA55" s="9"/>
      <c r="DB55" s="9"/>
      <c r="DC55" s="9"/>
      <c r="DD55" s="9"/>
      <c r="DE55" s="9"/>
      <c r="DF55" s="9"/>
      <c r="DG55" s="9"/>
      <c r="DH55" s="9"/>
      <c r="DI55" s="9"/>
      <c r="DJ55" s="9"/>
      <c r="DK55" s="9"/>
      <c r="DL55" s="9"/>
      <c r="DM55" s="9"/>
      <c r="DN55" s="9"/>
      <c r="DO55" s="9"/>
      <c r="DP55" s="9"/>
      <c r="DQ55" s="9"/>
      <c r="DR55" s="9"/>
      <c r="DS55" s="9"/>
      <c r="DT55" s="9"/>
      <c r="DU55" s="9"/>
      <c r="DV55" s="9"/>
      <c r="DW55" s="9"/>
      <c r="DX55" s="9"/>
      <c r="DY55" s="9"/>
      <c r="DZ55" s="9"/>
      <c r="EA55" s="9"/>
      <c r="EB55" s="9"/>
      <c r="EC55" s="9"/>
      <c r="ED55" s="9"/>
      <c r="EE55" s="9"/>
      <c r="EF55" s="9"/>
      <c r="EG55" s="9"/>
      <c r="EH55" s="9"/>
      <c r="EI55" s="9"/>
      <c r="EJ55" s="9"/>
      <c r="EK55" s="9"/>
      <c r="EL55" s="9"/>
      <c r="EM55" s="9"/>
      <c r="EN55" s="9"/>
      <c r="EO55" s="9"/>
      <c r="EP55" s="9"/>
      <c r="EQ55" s="9"/>
      <c r="ER55" s="9"/>
      <c r="ES55" s="9"/>
      <c r="ET55" s="9"/>
      <c r="EU55" s="9"/>
      <c r="EV55" s="9"/>
      <c r="EW55" s="9"/>
      <c r="EX55" s="9"/>
      <c r="EY55" s="9"/>
      <c r="EZ55" s="9"/>
      <c r="FA55" s="9"/>
      <c r="FB55" s="9"/>
      <c r="FC55" s="9"/>
      <c r="FD55" s="9"/>
      <c r="FE55" s="9"/>
      <c r="FF55" s="9"/>
      <c r="FG55" s="9"/>
      <c r="FH55" s="9"/>
      <c r="FI55" s="9"/>
      <c r="FJ55" s="9"/>
      <c r="FK55" s="9"/>
      <c r="FL55" s="9"/>
      <c r="FM55" s="9"/>
      <c r="FN55" s="9"/>
      <c r="FO55" s="9"/>
      <c r="FP55" s="9"/>
      <c r="FQ55" s="9"/>
      <c r="FR55" s="9"/>
      <c r="FS55" s="9"/>
      <c r="FT55" s="9"/>
      <c r="FU55" s="9"/>
      <c r="FV55" s="9"/>
      <c r="FW55" s="9"/>
      <c r="FX55" s="9"/>
      <c r="FY55" s="9"/>
      <c r="FZ55" s="9"/>
      <c r="GA55" s="9"/>
      <c r="GB55" s="9"/>
      <c r="GC55" s="9"/>
      <c r="GD55" s="9"/>
      <c r="GE55" s="9"/>
      <c r="GF55" s="9"/>
      <c r="GG55" s="9"/>
      <c r="GH55" s="9"/>
      <c r="GI55" s="9"/>
      <c r="GJ55" s="9"/>
      <c r="GK55" s="9"/>
      <c r="GL55" s="9"/>
      <c r="GM55" s="9"/>
      <c r="GN55" s="9"/>
      <c r="GO55" s="9"/>
      <c r="GP55" s="9"/>
      <c r="GQ55" s="9"/>
      <c r="GR55" s="9"/>
      <c r="GS55" s="9"/>
      <c r="GT55" s="9"/>
      <c r="GU55" s="9"/>
      <c r="GV55" s="9"/>
      <c r="GW55" s="9"/>
      <c r="GX55" s="9"/>
      <c r="GY55" s="9"/>
      <c r="GZ55" s="9"/>
      <c r="HA55" s="9"/>
      <c r="HB55" s="9"/>
      <c r="HC55" s="9"/>
      <c r="HD55" s="9"/>
      <c r="HE55" s="9"/>
      <c r="HF55" s="9"/>
      <c r="HG55" s="9"/>
      <c r="HH55" s="9"/>
      <c r="HI55" s="9"/>
      <c r="HJ55" s="9"/>
      <c r="HK55" s="9"/>
      <c r="HL55" s="9"/>
      <c r="HM55" s="9"/>
      <c r="HN55" s="9"/>
      <c r="HO55" s="9"/>
      <c r="HP55" s="9"/>
      <c r="HQ55" s="9"/>
      <c r="HR55" s="9"/>
      <c r="HS55" s="9"/>
      <c r="HT55" s="9"/>
      <c r="HU55" s="9"/>
      <c r="HV55" s="9"/>
      <c r="HW55" s="9"/>
      <c r="HX55" s="9"/>
    </row>
    <row r="56" spans="1:232" ht="14.1" customHeight="1">
      <c r="A56" s="9"/>
      <c r="B56" s="9"/>
      <c r="C56" s="9"/>
      <c r="D56" s="9"/>
      <c r="E56" s="9"/>
      <c r="F56" s="9"/>
      <c r="G56" s="9"/>
      <c r="H56" s="9"/>
      <c r="I56" s="9"/>
      <c r="J56" s="9"/>
      <c r="K56" s="23"/>
      <c r="L56" s="943"/>
      <c r="M56" s="610"/>
      <c r="N56" s="610"/>
      <c r="O56" s="610"/>
      <c r="P56" s="610"/>
      <c r="Q56" s="610"/>
      <c r="R56" s="610"/>
      <c r="S56" s="669"/>
      <c r="T56" s="669"/>
      <c r="U56" s="669"/>
      <c r="V56" s="669"/>
      <c r="W56" s="669"/>
      <c r="X56" s="669"/>
      <c r="Y56" s="669"/>
      <c r="Z56" s="669"/>
      <c r="AA56" s="669"/>
      <c r="AB56" s="669"/>
      <c r="AC56" s="669"/>
      <c r="AD56" s="669"/>
      <c r="AE56" s="669"/>
      <c r="AF56" s="669"/>
      <c r="AG56" s="669"/>
      <c r="AH56" s="669"/>
      <c r="AI56" s="669"/>
      <c r="AJ56" s="669"/>
      <c r="AK56" s="669"/>
      <c r="AL56" s="669"/>
      <c r="AM56" s="669"/>
      <c r="AN56" s="669"/>
      <c r="AO56" s="669"/>
      <c r="AP56" s="669"/>
      <c r="AQ56" s="669"/>
      <c r="AR56" s="669"/>
      <c r="AS56" s="669"/>
      <c r="AT56" s="669"/>
      <c r="AU56" s="669"/>
      <c r="AV56" s="669"/>
      <c r="AW56" s="669"/>
      <c r="AX56" s="669"/>
      <c r="AY56" s="669"/>
      <c r="AZ56" s="669"/>
      <c r="BA56" s="669"/>
      <c r="BB56" s="669"/>
      <c r="BC56" s="669"/>
      <c r="BD56" s="669"/>
      <c r="BE56" s="669"/>
      <c r="BF56" s="669"/>
      <c r="BG56" s="669"/>
      <c r="BH56" s="669"/>
      <c r="BI56" s="669"/>
      <c r="BJ56" s="669"/>
      <c r="BK56" s="669"/>
      <c r="BL56" s="669"/>
      <c r="BM56" s="669"/>
      <c r="BN56" s="669"/>
      <c r="BO56" s="669"/>
      <c r="BP56" s="669"/>
      <c r="BQ56" s="669"/>
      <c r="BR56" s="669"/>
      <c r="BS56" s="669"/>
      <c r="BT56" s="669"/>
      <c r="BU56" s="669"/>
      <c r="BV56" s="669"/>
      <c r="BW56" s="669"/>
      <c r="BX56" s="669"/>
      <c r="BY56" s="669"/>
      <c r="BZ56" s="669"/>
      <c r="CA56" s="669"/>
      <c r="CB56" s="669"/>
      <c r="CC56" s="669"/>
      <c r="CD56" s="669"/>
      <c r="CE56" s="669"/>
      <c r="CF56" s="669"/>
      <c r="CG56" s="669"/>
      <c r="CH56" s="669"/>
      <c r="CI56" s="669"/>
      <c r="CJ56" s="669"/>
      <c r="CK56" s="669"/>
      <c r="CL56" s="669"/>
      <c r="CM56" s="669"/>
      <c r="CN56" s="669"/>
      <c r="CO56" s="669"/>
      <c r="CP56" s="669"/>
      <c r="CQ56" s="669"/>
      <c r="CR56" s="669"/>
      <c r="CS56" s="669"/>
      <c r="CT56" s="669"/>
      <c r="CU56" s="669"/>
      <c r="CV56" s="669"/>
      <c r="CW56" s="9"/>
      <c r="CX56" s="9"/>
      <c r="CY56" s="9"/>
      <c r="CZ56" s="9"/>
      <c r="DA56" s="9"/>
      <c r="DB56" s="9"/>
      <c r="DC56" s="9"/>
      <c r="DD56" s="9"/>
      <c r="DE56" s="9"/>
      <c r="DF56" s="9"/>
      <c r="DG56" s="9"/>
      <c r="DH56" s="9"/>
      <c r="DI56" s="9"/>
      <c r="DJ56" s="9"/>
      <c r="DK56" s="9"/>
      <c r="DL56" s="9"/>
      <c r="DM56" s="9"/>
      <c r="DN56" s="9"/>
      <c r="DO56" s="9"/>
      <c r="DP56" s="9"/>
      <c r="DQ56" s="9"/>
      <c r="DR56" s="9"/>
      <c r="DS56" s="9"/>
      <c r="DT56" s="9"/>
      <c r="DU56" s="9"/>
      <c r="DV56" s="9"/>
      <c r="DW56" s="9"/>
      <c r="DX56" s="9"/>
      <c r="DY56" s="9"/>
      <c r="DZ56" s="9"/>
      <c r="EA56" s="9"/>
      <c r="EB56" s="9"/>
      <c r="EC56" s="9"/>
      <c r="ED56" s="9"/>
      <c r="EE56" s="9"/>
      <c r="EF56" s="9"/>
      <c r="EG56" s="9"/>
      <c r="EH56" s="9"/>
      <c r="EI56" s="9"/>
      <c r="EJ56" s="9"/>
      <c r="EK56" s="9"/>
      <c r="EL56" s="9"/>
      <c r="EM56" s="9"/>
      <c r="EN56" s="9"/>
      <c r="EO56" s="9"/>
      <c r="EP56" s="9"/>
      <c r="EQ56" s="9"/>
      <c r="ER56" s="9"/>
      <c r="ES56" s="9"/>
      <c r="ET56" s="9"/>
      <c r="EU56" s="9"/>
      <c r="EV56" s="9"/>
      <c r="EW56" s="9"/>
      <c r="EX56" s="9"/>
      <c r="EY56" s="9"/>
      <c r="EZ56" s="9"/>
      <c r="FA56" s="9"/>
      <c r="FB56" s="9"/>
      <c r="FC56" s="9"/>
      <c r="FD56" s="9"/>
      <c r="FE56" s="9"/>
      <c r="FF56" s="9"/>
      <c r="FG56" s="9"/>
      <c r="FH56" s="9"/>
      <c r="FI56" s="9"/>
      <c r="FJ56" s="9"/>
      <c r="FK56" s="9"/>
      <c r="FL56" s="9"/>
      <c r="FM56" s="9"/>
      <c r="FN56" s="9"/>
      <c r="FO56" s="9"/>
      <c r="FP56" s="9"/>
      <c r="FQ56" s="9"/>
      <c r="FR56" s="9"/>
      <c r="FS56" s="9"/>
      <c r="FT56" s="9"/>
      <c r="FU56" s="9"/>
      <c r="FV56" s="9"/>
      <c r="FW56" s="9"/>
      <c r="FX56" s="9"/>
      <c r="FY56" s="9"/>
      <c r="FZ56" s="9"/>
      <c r="GA56" s="9"/>
      <c r="GB56" s="9"/>
      <c r="GC56" s="9"/>
      <c r="GD56" s="9"/>
      <c r="GE56" s="9"/>
      <c r="GF56" s="9"/>
      <c r="GG56" s="9"/>
      <c r="GH56" s="9"/>
      <c r="GI56" s="9"/>
      <c r="GJ56" s="9"/>
      <c r="GK56" s="9"/>
      <c r="GL56" s="9"/>
      <c r="GM56" s="9"/>
      <c r="GN56" s="9"/>
      <c r="GO56" s="9"/>
      <c r="GP56" s="9"/>
      <c r="GQ56" s="9"/>
      <c r="GR56" s="9"/>
      <c r="GS56" s="9"/>
      <c r="GT56" s="9"/>
      <c r="GU56" s="9"/>
      <c r="GV56" s="9"/>
      <c r="GW56" s="9"/>
      <c r="GX56" s="9"/>
      <c r="GY56" s="9"/>
      <c r="GZ56" s="9"/>
      <c r="HA56" s="9"/>
      <c r="HB56" s="9"/>
      <c r="HC56" s="9"/>
      <c r="HD56" s="9"/>
      <c r="HE56" s="9"/>
      <c r="HF56" s="9"/>
      <c r="HG56" s="9"/>
      <c r="HH56" s="9"/>
      <c r="HI56" s="9"/>
      <c r="HJ56" s="9"/>
      <c r="HK56" s="9"/>
      <c r="HL56" s="9"/>
      <c r="HM56" s="9"/>
      <c r="HN56" s="9"/>
      <c r="HO56" s="9"/>
      <c r="HP56" s="9"/>
      <c r="HQ56" s="9"/>
      <c r="HR56" s="9"/>
      <c r="HS56" s="9"/>
      <c r="HT56" s="9"/>
      <c r="HU56" s="9"/>
      <c r="HV56" s="9"/>
      <c r="HW56" s="9"/>
      <c r="HX56" s="9"/>
    </row>
    <row r="57" spans="1:232" ht="14.1" customHeight="1">
      <c r="A57" s="9"/>
      <c r="B57" s="9"/>
      <c r="C57" s="9"/>
      <c r="D57" s="9"/>
      <c r="E57" s="9"/>
      <c r="F57" s="9"/>
      <c r="G57" s="9"/>
      <c r="H57" s="9"/>
      <c r="I57" s="9"/>
      <c r="J57" s="9"/>
      <c r="K57" s="23"/>
      <c r="L57" s="943"/>
      <c r="M57" s="610"/>
      <c r="N57" s="610"/>
      <c r="O57" s="610"/>
      <c r="P57" s="610"/>
      <c r="Q57" s="610"/>
      <c r="R57" s="610"/>
      <c r="S57" s="669"/>
      <c r="T57" s="669"/>
      <c r="U57" s="669"/>
      <c r="V57" s="669"/>
      <c r="W57" s="669"/>
      <c r="X57" s="669"/>
      <c r="Y57" s="669"/>
      <c r="Z57" s="669"/>
      <c r="AA57" s="669"/>
      <c r="AB57" s="669"/>
      <c r="AC57" s="669"/>
      <c r="AD57" s="669"/>
      <c r="AE57" s="669"/>
      <c r="AF57" s="669"/>
      <c r="AG57" s="669"/>
      <c r="AH57" s="669"/>
      <c r="AI57" s="669"/>
      <c r="AJ57" s="669"/>
      <c r="AK57" s="669"/>
      <c r="AL57" s="669"/>
      <c r="AM57" s="669"/>
      <c r="AN57" s="669"/>
      <c r="AO57" s="669"/>
      <c r="AP57" s="669"/>
      <c r="AQ57" s="669"/>
      <c r="AR57" s="669"/>
      <c r="AS57" s="669"/>
      <c r="AT57" s="669"/>
      <c r="AU57" s="669"/>
      <c r="AV57" s="669"/>
      <c r="AW57" s="669"/>
      <c r="AX57" s="669"/>
      <c r="AY57" s="669"/>
      <c r="AZ57" s="669"/>
      <c r="BA57" s="669"/>
      <c r="BB57" s="669"/>
      <c r="BC57" s="669"/>
      <c r="BD57" s="669"/>
      <c r="BE57" s="669"/>
      <c r="BF57" s="669"/>
      <c r="BG57" s="669"/>
      <c r="BH57" s="669"/>
      <c r="BI57" s="669"/>
      <c r="BJ57" s="669"/>
      <c r="BK57" s="669"/>
      <c r="BL57" s="669"/>
      <c r="BM57" s="669"/>
      <c r="BN57" s="669"/>
      <c r="BO57" s="669"/>
      <c r="BP57" s="669"/>
      <c r="BQ57" s="669"/>
      <c r="BR57" s="669"/>
      <c r="BS57" s="669"/>
      <c r="BT57" s="669"/>
      <c r="BU57" s="669"/>
      <c r="BV57" s="669"/>
      <c r="BW57" s="669"/>
      <c r="BX57" s="669"/>
      <c r="BY57" s="669"/>
      <c r="BZ57" s="669"/>
      <c r="CA57" s="669"/>
      <c r="CB57" s="669"/>
      <c r="CC57" s="669"/>
      <c r="CD57" s="669"/>
      <c r="CE57" s="669"/>
      <c r="CF57" s="669"/>
      <c r="CG57" s="669"/>
      <c r="CH57" s="669"/>
      <c r="CI57" s="669"/>
      <c r="CJ57" s="669"/>
      <c r="CK57" s="669"/>
      <c r="CL57" s="669"/>
      <c r="CM57" s="669"/>
      <c r="CN57" s="669"/>
      <c r="CO57" s="669"/>
      <c r="CP57" s="669"/>
      <c r="CQ57" s="669"/>
      <c r="CR57" s="669"/>
      <c r="CS57" s="669"/>
      <c r="CT57" s="669"/>
      <c r="CU57" s="669"/>
      <c r="CV57" s="669"/>
      <c r="CW57" s="9"/>
      <c r="CX57" s="9"/>
      <c r="CY57" s="9"/>
      <c r="CZ57" s="9"/>
      <c r="DA57" s="9"/>
      <c r="DB57" s="9"/>
      <c r="DC57" s="9"/>
      <c r="DD57" s="9"/>
      <c r="DE57" s="9"/>
      <c r="DF57" s="9"/>
      <c r="DG57" s="9"/>
      <c r="DH57" s="9"/>
      <c r="DI57" s="9"/>
      <c r="DJ57" s="9"/>
      <c r="DK57" s="9"/>
      <c r="DL57" s="9"/>
      <c r="DM57" s="9"/>
      <c r="DN57" s="9"/>
      <c r="DO57" s="9"/>
      <c r="DP57" s="9"/>
      <c r="DQ57" s="9"/>
      <c r="DR57" s="9"/>
      <c r="DS57" s="9"/>
      <c r="DT57" s="9"/>
      <c r="DU57" s="9"/>
      <c r="DV57" s="9"/>
      <c r="DW57" s="9"/>
      <c r="DX57" s="9"/>
      <c r="DY57" s="9"/>
      <c r="DZ57" s="9"/>
      <c r="EA57" s="9"/>
      <c r="EB57" s="9"/>
      <c r="EC57" s="9"/>
      <c r="ED57" s="9"/>
      <c r="EE57" s="9"/>
      <c r="EF57" s="9"/>
      <c r="EG57" s="9"/>
      <c r="EH57" s="9"/>
      <c r="EI57" s="9"/>
      <c r="EJ57" s="9"/>
      <c r="EK57" s="9"/>
      <c r="EL57" s="9"/>
      <c r="EM57" s="9"/>
      <c r="EN57" s="9"/>
      <c r="EO57" s="9"/>
      <c r="EP57" s="9"/>
      <c r="EQ57" s="9"/>
      <c r="ER57" s="9"/>
      <c r="ES57" s="9"/>
      <c r="ET57" s="9"/>
      <c r="EU57" s="9"/>
      <c r="EV57" s="9"/>
      <c r="EW57" s="9"/>
      <c r="EX57" s="9"/>
      <c r="EY57" s="9"/>
      <c r="EZ57" s="9"/>
      <c r="FA57" s="9"/>
      <c r="FB57" s="9"/>
      <c r="FC57" s="9"/>
      <c r="FD57" s="9"/>
      <c r="FE57" s="9"/>
      <c r="FF57" s="9"/>
      <c r="FG57" s="9"/>
      <c r="FH57" s="9"/>
      <c r="FI57" s="9"/>
      <c r="FJ57" s="9"/>
      <c r="FK57" s="9"/>
      <c r="FL57" s="9"/>
      <c r="FM57" s="9"/>
      <c r="FN57" s="9"/>
      <c r="FO57" s="9"/>
      <c r="FP57" s="9"/>
      <c r="FQ57" s="9"/>
      <c r="FR57" s="9"/>
      <c r="FS57" s="9"/>
      <c r="FT57" s="9"/>
      <c r="FU57" s="9"/>
      <c r="FV57" s="9"/>
      <c r="FW57" s="9"/>
      <c r="FX57" s="9"/>
      <c r="FY57" s="9"/>
      <c r="FZ57" s="9"/>
      <c r="GA57" s="9"/>
      <c r="GB57" s="9"/>
      <c r="GC57" s="9"/>
      <c r="GD57" s="9"/>
      <c r="GE57" s="9"/>
      <c r="GF57" s="9"/>
      <c r="GG57" s="9"/>
      <c r="GH57" s="9"/>
      <c r="GI57" s="9"/>
      <c r="GJ57" s="9"/>
      <c r="GK57" s="9"/>
      <c r="GL57" s="9"/>
      <c r="GM57" s="9"/>
      <c r="GN57" s="9"/>
      <c r="GO57" s="9"/>
      <c r="GP57" s="9"/>
      <c r="GQ57" s="9"/>
      <c r="GR57" s="9"/>
      <c r="GS57" s="9"/>
      <c r="GT57" s="9"/>
      <c r="GU57" s="9"/>
      <c r="GV57" s="9"/>
      <c r="GW57" s="9"/>
      <c r="GX57" s="9"/>
      <c r="GY57" s="9"/>
      <c r="GZ57" s="9"/>
      <c r="HA57" s="9"/>
      <c r="HB57" s="9"/>
      <c r="HC57" s="9"/>
      <c r="HD57" s="9"/>
      <c r="HE57" s="9"/>
      <c r="HF57" s="9"/>
      <c r="HG57" s="9"/>
      <c r="HH57" s="9"/>
      <c r="HI57" s="9"/>
      <c r="HJ57" s="9"/>
      <c r="HK57" s="9"/>
      <c r="HL57" s="9"/>
      <c r="HM57" s="9"/>
      <c r="HN57" s="9"/>
      <c r="HO57" s="9"/>
      <c r="HP57" s="9"/>
      <c r="HQ57" s="9"/>
      <c r="HR57" s="9"/>
      <c r="HS57" s="9"/>
      <c r="HT57" s="9"/>
      <c r="HU57" s="9"/>
      <c r="HV57" s="9"/>
      <c r="HW57" s="9"/>
      <c r="HX57" s="9"/>
    </row>
    <row r="58" spans="1:232" ht="14.1" customHeight="1">
      <c r="A58" s="9"/>
      <c r="B58" s="9"/>
      <c r="C58" s="9"/>
      <c r="D58" s="9"/>
      <c r="E58" s="9"/>
      <c r="F58" s="9"/>
      <c r="G58" s="9"/>
      <c r="H58" s="9"/>
      <c r="I58" s="9"/>
      <c r="J58" s="9"/>
      <c r="K58" s="23"/>
      <c r="L58" s="943"/>
      <c r="M58" s="610"/>
      <c r="N58" s="610"/>
      <c r="O58" s="610"/>
      <c r="P58" s="610"/>
      <c r="Q58" s="610"/>
      <c r="R58" s="610"/>
      <c r="S58" s="669"/>
      <c r="T58" s="669"/>
      <c r="U58" s="669"/>
      <c r="V58" s="669"/>
      <c r="W58" s="669"/>
      <c r="X58" s="669"/>
      <c r="Y58" s="669"/>
      <c r="Z58" s="669"/>
      <c r="AA58" s="669"/>
      <c r="AB58" s="669"/>
      <c r="AC58" s="669"/>
      <c r="AD58" s="669"/>
      <c r="AE58" s="669"/>
      <c r="AF58" s="669"/>
      <c r="AG58" s="669"/>
      <c r="AH58" s="669"/>
      <c r="AI58" s="669"/>
      <c r="AJ58" s="669"/>
      <c r="AK58" s="669"/>
      <c r="AL58" s="669"/>
      <c r="AM58" s="669"/>
      <c r="AN58" s="669"/>
      <c r="AO58" s="669"/>
      <c r="AP58" s="669"/>
      <c r="AQ58" s="669"/>
      <c r="AR58" s="669"/>
      <c r="AS58" s="669"/>
      <c r="AT58" s="669"/>
      <c r="AU58" s="669"/>
      <c r="AV58" s="669"/>
      <c r="AW58" s="669"/>
      <c r="AX58" s="669"/>
      <c r="AY58" s="669"/>
      <c r="AZ58" s="669"/>
      <c r="BA58" s="669"/>
      <c r="BB58" s="669"/>
      <c r="BC58" s="669"/>
      <c r="BD58" s="669"/>
      <c r="BE58" s="669"/>
      <c r="BF58" s="669"/>
      <c r="BG58" s="669"/>
      <c r="BH58" s="669"/>
      <c r="BI58" s="669"/>
      <c r="BJ58" s="669"/>
      <c r="BK58" s="669"/>
      <c r="BL58" s="669"/>
      <c r="BM58" s="669"/>
      <c r="BN58" s="669"/>
      <c r="BO58" s="669"/>
      <c r="BP58" s="669"/>
      <c r="BQ58" s="669"/>
      <c r="BR58" s="669"/>
      <c r="BS58" s="669"/>
      <c r="BT58" s="669"/>
      <c r="BU58" s="669"/>
      <c r="BV58" s="669"/>
      <c r="BW58" s="669"/>
      <c r="BX58" s="669"/>
      <c r="BY58" s="669"/>
      <c r="BZ58" s="669"/>
      <c r="CA58" s="669"/>
      <c r="CB58" s="669"/>
      <c r="CC58" s="669"/>
      <c r="CD58" s="669"/>
      <c r="CE58" s="669"/>
      <c r="CF58" s="669"/>
      <c r="CG58" s="669"/>
      <c r="CH58" s="669"/>
      <c r="CI58" s="669"/>
      <c r="CJ58" s="669"/>
      <c r="CK58" s="669"/>
      <c r="CL58" s="669"/>
      <c r="CM58" s="669"/>
      <c r="CN58" s="669"/>
      <c r="CO58" s="669"/>
      <c r="CP58" s="669"/>
      <c r="CQ58" s="669"/>
      <c r="CR58" s="669"/>
      <c r="CS58" s="669"/>
      <c r="CT58" s="669"/>
      <c r="CU58" s="669"/>
      <c r="CV58" s="669"/>
      <c r="CW58" s="9"/>
      <c r="CX58" s="9"/>
      <c r="CY58" s="9"/>
      <c r="CZ58" s="9"/>
      <c r="DA58" s="9"/>
      <c r="DB58" s="9"/>
      <c r="DC58" s="9"/>
      <c r="DD58" s="9"/>
      <c r="DE58" s="9"/>
      <c r="DF58" s="9"/>
      <c r="DG58" s="9"/>
      <c r="DH58" s="9"/>
      <c r="DI58" s="9"/>
      <c r="DJ58" s="9"/>
      <c r="DK58" s="9"/>
      <c r="DL58" s="9"/>
      <c r="DM58" s="9"/>
      <c r="DN58" s="9"/>
      <c r="DO58" s="9"/>
      <c r="DP58" s="9"/>
      <c r="DQ58" s="9"/>
      <c r="DR58" s="9"/>
      <c r="DS58" s="9"/>
      <c r="DT58" s="9"/>
      <c r="DU58" s="9"/>
      <c r="DV58" s="9"/>
      <c r="DW58" s="9"/>
      <c r="DX58" s="9"/>
      <c r="DY58" s="9"/>
      <c r="DZ58" s="9"/>
      <c r="EA58" s="9"/>
      <c r="EB58" s="9"/>
      <c r="EC58" s="9"/>
      <c r="ED58" s="9"/>
      <c r="EE58" s="9"/>
      <c r="EF58" s="9"/>
      <c r="EG58" s="9"/>
      <c r="EH58" s="9"/>
      <c r="EI58" s="9"/>
      <c r="EJ58" s="9"/>
      <c r="EK58" s="9"/>
      <c r="EL58" s="9"/>
      <c r="EM58" s="9"/>
      <c r="EN58" s="9"/>
      <c r="EO58" s="9"/>
      <c r="EP58" s="9"/>
      <c r="EQ58" s="9"/>
      <c r="ER58" s="9"/>
      <c r="ES58" s="9"/>
      <c r="ET58" s="9"/>
      <c r="EU58" s="9"/>
      <c r="EV58" s="9"/>
      <c r="EW58" s="9"/>
      <c r="EX58" s="9"/>
      <c r="EY58" s="9"/>
      <c r="EZ58" s="9"/>
      <c r="FA58" s="9"/>
      <c r="FB58" s="9"/>
      <c r="FC58" s="9"/>
      <c r="FD58" s="9"/>
      <c r="FE58" s="9"/>
      <c r="FF58" s="9"/>
      <c r="FG58" s="9"/>
      <c r="FH58" s="9"/>
      <c r="FI58" s="9"/>
      <c r="FJ58" s="9"/>
      <c r="FK58" s="9"/>
      <c r="FL58" s="9"/>
      <c r="FM58" s="9"/>
      <c r="FN58" s="9"/>
      <c r="FO58" s="9"/>
      <c r="FP58" s="9"/>
      <c r="FQ58" s="9"/>
      <c r="FR58" s="9"/>
      <c r="FS58" s="9"/>
      <c r="FT58" s="9"/>
      <c r="FU58" s="9"/>
      <c r="FV58" s="9"/>
      <c r="FW58" s="9"/>
      <c r="FX58" s="9"/>
      <c r="FY58" s="9"/>
      <c r="FZ58" s="9"/>
      <c r="GA58" s="9"/>
      <c r="GB58" s="9"/>
      <c r="GC58" s="9"/>
      <c r="GD58" s="9"/>
      <c r="GE58" s="9"/>
      <c r="GF58" s="9"/>
      <c r="GG58" s="9"/>
      <c r="GH58" s="9"/>
      <c r="GI58" s="9"/>
      <c r="GJ58" s="9"/>
      <c r="GK58" s="9"/>
      <c r="GL58" s="9"/>
      <c r="GM58" s="9"/>
      <c r="GN58" s="9"/>
      <c r="GO58" s="9"/>
      <c r="GP58" s="9"/>
      <c r="GQ58" s="9"/>
      <c r="GR58" s="9"/>
      <c r="GS58" s="9"/>
      <c r="GT58" s="9"/>
      <c r="GU58" s="9"/>
      <c r="GV58" s="9"/>
      <c r="GW58" s="9"/>
      <c r="GX58" s="9"/>
      <c r="GY58" s="9"/>
      <c r="GZ58" s="9"/>
      <c r="HA58" s="9"/>
      <c r="HB58" s="9"/>
      <c r="HC58" s="9"/>
      <c r="HD58" s="9"/>
      <c r="HE58" s="9"/>
      <c r="HF58" s="9"/>
      <c r="HG58" s="9"/>
      <c r="HH58" s="9"/>
      <c r="HI58" s="9"/>
      <c r="HJ58" s="9"/>
      <c r="HK58" s="9"/>
      <c r="HL58" s="9"/>
      <c r="HM58" s="9"/>
      <c r="HN58" s="9"/>
      <c r="HO58" s="9"/>
      <c r="HP58" s="9"/>
      <c r="HQ58" s="9"/>
      <c r="HR58" s="9"/>
      <c r="HS58" s="9"/>
      <c r="HT58" s="9"/>
      <c r="HU58" s="9"/>
      <c r="HV58" s="9"/>
      <c r="HW58" s="9"/>
      <c r="HX58" s="9"/>
    </row>
    <row r="59" spans="1:232" ht="14.1" customHeight="1">
      <c r="A59" s="9"/>
      <c r="B59" s="9"/>
      <c r="C59" s="9"/>
      <c r="D59" s="9"/>
      <c r="E59" s="9"/>
      <c r="F59" s="9"/>
      <c r="G59" s="9"/>
      <c r="H59" s="9"/>
      <c r="I59" s="9"/>
      <c r="J59" s="9"/>
      <c r="K59" s="23"/>
      <c r="L59" s="943"/>
      <c r="M59" s="610"/>
      <c r="N59" s="610"/>
      <c r="O59" s="610"/>
      <c r="P59" s="610"/>
      <c r="Q59" s="610"/>
      <c r="R59" s="610"/>
      <c r="S59" s="669"/>
      <c r="T59" s="669"/>
      <c r="U59" s="669"/>
      <c r="V59" s="669"/>
      <c r="W59" s="669"/>
      <c r="X59" s="669"/>
      <c r="Y59" s="669"/>
      <c r="Z59" s="669"/>
      <c r="AA59" s="669"/>
      <c r="AB59" s="669"/>
      <c r="AC59" s="669"/>
      <c r="AD59" s="669"/>
      <c r="AE59" s="669"/>
      <c r="AF59" s="669"/>
      <c r="AG59" s="669"/>
      <c r="AH59" s="669"/>
      <c r="AI59" s="669"/>
      <c r="AJ59" s="669"/>
      <c r="AK59" s="669"/>
      <c r="AL59" s="669"/>
      <c r="AM59" s="669"/>
      <c r="AN59" s="669"/>
      <c r="AO59" s="669"/>
      <c r="AP59" s="669"/>
      <c r="AQ59" s="669"/>
      <c r="AR59" s="669"/>
      <c r="AS59" s="669"/>
      <c r="AT59" s="669"/>
      <c r="AU59" s="669"/>
      <c r="AV59" s="669"/>
      <c r="AW59" s="669"/>
      <c r="AX59" s="669"/>
      <c r="AY59" s="669"/>
      <c r="AZ59" s="669"/>
      <c r="BA59" s="669"/>
      <c r="BB59" s="669"/>
      <c r="BC59" s="669"/>
      <c r="BD59" s="669"/>
      <c r="BE59" s="669"/>
      <c r="BF59" s="669"/>
      <c r="BG59" s="669"/>
      <c r="BH59" s="669"/>
      <c r="BI59" s="669"/>
      <c r="BJ59" s="669"/>
      <c r="BK59" s="669"/>
      <c r="BL59" s="669"/>
      <c r="BM59" s="669"/>
      <c r="BN59" s="669"/>
      <c r="BO59" s="669"/>
      <c r="BP59" s="669"/>
      <c r="BQ59" s="669"/>
      <c r="BR59" s="669"/>
      <c r="BS59" s="669"/>
      <c r="BT59" s="669"/>
      <c r="BU59" s="669"/>
      <c r="BV59" s="669"/>
      <c r="BW59" s="669"/>
      <c r="BX59" s="669"/>
      <c r="BY59" s="669"/>
      <c r="BZ59" s="669"/>
      <c r="CA59" s="669"/>
      <c r="CB59" s="669"/>
      <c r="CC59" s="669"/>
      <c r="CD59" s="669"/>
      <c r="CE59" s="669"/>
      <c r="CF59" s="669"/>
      <c r="CG59" s="669"/>
      <c r="CH59" s="669"/>
      <c r="CI59" s="669"/>
      <c r="CJ59" s="669"/>
      <c r="CK59" s="669"/>
      <c r="CL59" s="669"/>
      <c r="CM59" s="669"/>
      <c r="CN59" s="669"/>
      <c r="CO59" s="669"/>
      <c r="CP59" s="669"/>
      <c r="CQ59" s="669"/>
      <c r="CR59" s="669"/>
      <c r="CS59" s="669"/>
      <c r="CT59" s="669"/>
      <c r="CU59" s="669"/>
      <c r="CV59" s="669"/>
      <c r="CW59" s="9"/>
      <c r="CX59" s="9"/>
      <c r="CY59" s="9"/>
      <c r="CZ59" s="9"/>
      <c r="DA59" s="9"/>
      <c r="DB59" s="9"/>
      <c r="DC59" s="9"/>
      <c r="DD59" s="9"/>
      <c r="DE59" s="9"/>
      <c r="DF59" s="9"/>
      <c r="DG59" s="9"/>
      <c r="DH59" s="9"/>
      <c r="DI59" s="9"/>
      <c r="DJ59" s="9"/>
      <c r="DK59" s="9"/>
      <c r="DL59" s="9"/>
      <c r="DM59" s="9"/>
      <c r="DN59" s="9"/>
      <c r="DO59" s="9"/>
      <c r="DP59" s="9"/>
      <c r="DQ59" s="9"/>
      <c r="DR59" s="9"/>
      <c r="DS59" s="9"/>
      <c r="DT59" s="9"/>
      <c r="DU59" s="9"/>
      <c r="DV59" s="9"/>
      <c r="DW59" s="9"/>
      <c r="DX59" s="9"/>
      <c r="DY59" s="9"/>
      <c r="DZ59" s="9"/>
      <c r="EA59" s="9"/>
      <c r="EB59" s="9"/>
      <c r="EC59" s="9"/>
      <c r="ED59" s="9"/>
      <c r="EE59" s="9"/>
      <c r="EF59" s="9"/>
      <c r="EG59" s="9"/>
      <c r="EH59" s="9"/>
      <c r="EI59" s="9"/>
      <c r="EJ59" s="9"/>
      <c r="EK59" s="9"/>
      <c r="EL59" s="9"/>
      <c r="EM59" s="9"/>
      <c r="EN59" s="9"/>
      <c r="EO59" s="9"/>
      <c r="EP59" s="9"/>
      <c r="EQ59" s="9"/>
      <c r="ER59" s="9"/>
      <c r="ES59" s="9"/>
      <c r="ET59" s="9"/>
      <c r="EU59" s="9"/>
      <c r="EV59" s="9"/>
      <c r="EW59" s="9"/>
      <c r="EX59" s="9"/>
      <c r="EY59" s="9"/>
      <c r="EZ59" s="9"/>
      <c r="FA59" s="9"/>
      <c r="FB59" s="9"/>
      <c r="FC59" s="9"/>
      <c r="FD59" s="9"/>
      <c r="FE59" s="9"/>
      <c r="FF59" s="9"/>
      <c r="FG59" s="9"/>
      <c r="FH59" s="9"/>
      <c r="FI59" s="9"/>
      <c r="FJ59" s="9"/>
      <c r="FK59" s="9"/>
      <c r="FL59" s="9"/>
      <c r="FM59" s="9"/>
      <c r="FN59" s="9"/>
      <c r="FO59" s="9"/>
      <c r="FP59" s="9"/>
      <c r="FQ59" s="9"/>
      <c r="FR59" s="9"/>
      <c r="FS59" s="9"/>
      <c r="FT59" s="9"/>
      <c r="FU59" s="9"/>
      <c r="FV59" s="9"/>
      <c r="FW59" s="9"/>
      <c r="FX59" s="9"/>
      <c r="FY59" s="9"/>
      <c r="FZ59" s="9"/>
      <c r="GA59" s="9"/>
      <c r="GB59" s="9"/>
      <c r="GC59" s="9"/>
      <c r="GD59" s="9"/>
      <c r="GE59" s="9"/>
      <c r="GF59" s="9"/>
      <c r="GG59" s="9"/>
      <c r="GH59" s="9"/>
      <c r="GI59" s="9"/>
      <c r="GJ59" s="9"/>
      <c r="GK59" s="9"/>
      <c r="GL59" s="9"/>
      <c r="GM59" s="9"/>
      <c r="GN59" s="9"/>
      <c r="GO59" s="9"/>
      <c r="GP59" s="9"/>
      <c r="GQ59" s="9"/>
      <c r="GR59" s="9"/>
      <c r="GS59" s="9"/>
      <c r="GT59" s="9"/>
      <c r="GU59" s="9"/>
      <c r="GV59" s="9"/>
      <c r="GW59" s="9"/>
      <c r="GX59" s="9"/>
      <c r="GY59" s="9"/>
      <c r="GZ59" s="9"/>
      <c r="HA59" s="9"/>
      <c r="HB59" s="9"/>
      <c r="HC59" s="9"/>
      <c r="HD59" s="9"/>
      <c r="HE59" s="9"/>
      <c r="HF59" s="9"/>
      <c r="HG59" s="9"/>
      <c r="HH59" s="9"/>
      <c r="HI59" s="9"/>
      <c r="HJ59" s="9"/>
      <c r="HK59" s="9"/>
      <c r="HL59" s="9"/>
      <c r="HM59" s="9"/>
      <c r="HN59" s="9"/>
      <c r="HO59" s="9"/>
      <c r="HP59" s="9"/>
      <c r="HQ59" s="9"/>
      <c r="HR59" s="9"/>
      <c r="HS59" s="9"/>
      <c r="HT59" s="9"/>
      <c r="HU59" s="9"/>
      <c r="HV59" s="9"/>
      <c r="HW59" s="9"/>
      <c r="HX59" s="9"/>
    </row>
    <row r="60" spans="1:232" ht="14.1" customHeight="1">
      <c r="A60" s="9"/>
      <c r="B60" s="9"/>
      <c r="C60" s="9"/>
      <c r="D60" s="9"/>
      <c r="E60" s="9"/>
      <c r="F60" s="9"/>
      <c r="G60" s="9"/>
      <c r="H60" s="9"/>
      <c r="I60" s="9"/>
      <c r="J60" s="9"/>
      <c r="K60" s="23"/>
      <c r="L60" s="943"/>
      <c r="M60" s="610"/>
      <c r="N60" s="610"/>
      <c r="O60" s="610"/>
      <c r="P60" s="610"/>
      <c r="Q60" s="610"/>
      <c r="R60" s="610"/>
      <c r="S60" s="669"/>
      <c r="T60" s="669"/>
      <c r="U60" s="669"/>
      <c r="V60" s="669"/>
      <c r="W60" s="669"/>
      <c r="X60" s="669"/>
      <c r="Y60" s="669"/>
      <c r="Z60" s="669"/>
      <c r="AA60" s="669"/>
      <c r="AB60" s="669"/>
      <c r="AC60" s="669"/>
      <c r="AD60" s="669"/>
      <c r="AE60" s="669"/>
      <c r="AF60" s="669"/>
      <c r="AG60" s="669"/>
      <c r="AH60" s="669"/>
      <c r="AI60" s="669"/>
      <c r="AJ60" s="669"/>
      <c r="AK60" s="669"/>
      <c r="AL60" s="669"/>
      <c r="AM60" s="669"/>
      <c r="AN60" s="669"/>
      <c r="AO60" s="669"/>
      <c r="AP60" s="669"/>
      <c r="AQ60" s="669"/>
      <c r="AR60" s="669"/>
      <c r="AS60" s="669"/>
      <c r="AT60" s="669"/>
      <c r="AU60" s="669"/>
      <c r="AV60" s="669"/>
      <c r="AW60" s="669"/>
      <c r="AX60" s="669"/>
      <c r="AY60" s="669"/>
      <c r="AZ60" s="669"/>
      <c r="BA60" s="669"/>
      <c r="BB60" s="669"/>
      <c r="BC60" s="669"/>
      <c r="BD60" s="669"/>
      <c r="BE60" s="669"/>
      <c r="BF60" s="669"/>
      <c r="BG60" s="669"/>
      <c r="BH60" s="669"/>
      <c r="BI60" s="669"/>
      <c r="BJ60" s="669"/>
      <c r="BK60" s="669"/>
      <c r="BL60" s="669"/>
      <c r="BM60" s="669"/>
      <c r="BN60" s="669"/>
      <c r="BO60" s="669"/>
      <c r="BP60" s="669"/>
      <c r="BQ60" s="669"/>
      <c r="BR60" s="669"/>
      <c r="BS60" s="669"/>
      <c r="BT60" s="669"/>
      <c r="BU60" s="669"/>
      <c r="BV60" s="669"/>
      <c r="BW60" s="669"/>
      <c r="BX60" s="669"/>
      <c r="BY60" s="669"/>
      <c r="BZ60" s="669"/>
      <c r="CA60" s="669"/>
      <c r="CB60" s="669"/>
      <c r="CC60" s="669"/>
      <c r="CD60" s="669"/>
      <c r="CE60" s="669"/>
      <c r="CF60" s="669"/>
      <c r="CG60" s="669"/>
      <c r="CH60" s="669"/>
      <c r="CI60" s="669"/>
      <c r="CJ60" s="669"/>
      <c r="CK60" s="669"/>
      <c r="CL60" s="669"/>
      <c r="CM60" s="669"/>
      <c r="CN60" s="669"/>
      <c r="CO60" s="669"/>
      <c r="CP60" s="669"/>
      <c r="CQ60" s="669"/>
      <c r="CR60" s="669"/>
      <c r="CS60" s="669"/>
      <c r="CT60" s="669"/>
      <c r="CU60" s="669"/>
      <c r="CV60" s="669"/>
      <c r="CW60" s="9"/>
      <c r="CX60" s="9"/>
      <c r="CY60" s="9"/>
      <c r="CZ60" s="9"/>
      <c r="DA60" s="9"/>
      <c r="DB60" s="9"/>
      <c r="DC60" s="9"/>
      <c r="DD60" s="9"/>
      <c r="DE60" s="9"/>
      <c r="DF60" s="9"/>
      <c r="DG60" s="9"/>
      <c r="DH60" s="9"/>
      <c r="DI60" s="9"/>
      <c r="DJ60" s="9"/>
      <c r="DK60" s="9"/>
      <c r="DL60" s="9"/>
      <c r="DM60" s="9"/>
      <c r="DN60" s="9"/>
      <c r="DO60" s="9"/>
      <c r="DP60" s="9"/>
      <c r="DQ60" s="9"/>
      <c r="DR60" s="9"/>
      <c r="DS60" s="9"/>
      <c r="DT60" s="9"/>
      <c r="DU60" s="9"/>
      <c r="DV60" s="9"/>
      <c r="DW60" s="9"/>
      <c r="DX60" s="9"/>
      <c r="DY60" s="9"/>
      <c r="DZ60" s="9"/>
      <c r="EA60" s="9"/>
      <c r="EB60" s="9"/>
      <c r="EC60" s="9"/>
      <c r="ED60" s="9"/>
      <c r="EE60" s="9"/>
      <c r="EF60" s="9"/>
      <c r="EG60" s="9"/>
      <c r="EH60" s="9"/>
      <c r="EI60" s="9"/>
      <c r="EJ60" s="9"/>
      <c r="EK60" s="9"/>
      <c r="EL60" s="9"/>
      <c r="EM60" s="9"/>
      <c r="EN60" s="9"/>
      <c r="EO60" s="9"/>
      <c r="EP60" s="9"/>
      <c r="EQ60" s="9"/>
      <c r="ER60" s="9"/>
      <c r="ES60" s="9"/>
      <c r="ET60" s="9"/>
      <c r="EU60" s="9"/>
      <c r="EV60" s="9"/>
      <c r="EW60" s="9"/>
      <c r="EX60" s="9"/>
      <c r="EY60" s="9"/>
      <c r="EZ60" s="9"/>
      <c r="FA60" s="9"/>
      <c r="FB60" s="9"/>
      <c r="FC60" s="9"/>
      <c r="FD60" s="9"/>
      <c r="FE60" s="9"/>
      <c r="FF60" s="9"/>
      <c r="FG60" s="9"/>
      <c r="FH60" s="9"/>
      <c r="FI60" s="9"/>
      <c r="FJ60" s="9"/>
      <c r="FK60" s="9"/>
      <c r="FL60" s="9"/>
      <c r="FM60" s="9"/>
      <c r="FN60" s="9"/>
      <c r="FO60" s="9"/>
      <c r="FP60" s="9"/>
      <c r="FQ60" s="9"/>
      <c r="FR60" s="9"/>
      <c r="FS60" s="9"/>
      <c r="FT60" s="9"/>
      <c r="FU60" s="9"/>
      <c r="FV60" s="9"/>
      <c r="FW60" s="9"/>
      <c r="FX60" s="9"/>
      <c r="FY60" s="9"/>
      <c r="FZ60" s="9"/>
      <c r="GA60" s="9"/>
      <c r="GB60" s="9"/>
      <c r="GC60" s="9"/>
      <c r="GD60" s="9"/>
      <c r="GE60" s="9"/>
      <c r="GF60" s="9"/>
      <c r="GG60" s="9"/>
      <c r="GH60" s="9"/>
      <c r="GI60" s="9"/>
      <c r="GJ60" s="9"/>
      <c r="GK60" s="9"/>
      <c r="GL60" s="9"/>
      <c r="GM60" s="9"/>
      <c r="GN60" s="9"/>
      <c r="GO60" s="9"/>
      <c r="GP60" s="9"/>
      <c r="GQ60" s="9"/>
      <c r="GR60" s="9"/>
      <c r="GS60" s="9"/>
      <c r="GT60" s="9"/>
      <c r="GU60" s="9"/>
      <c r="GV60" s="9"/>
      <c r="GW60" s="9"/>
      <c r="GX60" s="9"/>
      <c r="GY60" s="9"/>
      <c r="GZ60" s="9"/>
      <c r="HA60" s="9"/>
      <c r="HB60" s="9"/>
      <c r="HC60" s="9"/>
      <c r="HD60" s="9"/>
      <c r="HE60" s="9"/>
      <c r="HF60" s="9"/>
      <c r="HG60" s="9"/>
      <c r="HH60" s="9"/>
      <c r="HI60" s="9"/>
      <c r="HJ60" s="9"/>
      <c r="HK60" s="9"/>
      <c r="HL60" s="9"/>
      <c r="HM60" s="9"/>
      <c r="HN60" s="9"/>
      <c r="HO60" s="9"/>
      <c r="HP60" s="9"/>
      <c r="HQ60" s="9"/>
      <c r="HR60" s="9"/>
      <c r="HS60" s="9"/>
      <c r="HT60" s="9"/>
      <c r="HU60" s="9"/>
      <c r="HV60" s="9"/>
      <c r="HW60" s="9"/>
      <c r="HX60" s="9"/>
    </row>
    <row r="61" spans="1:232" ht="14.1" customHeight="1">
      <c r="A61" s="9"/>
      <c r="B61" s="25"/>
      <c r="C61" s="25"/>
      <c r="D61" s="25"/>
      <c r="E61" s="25"/>
      <c r="F61" s="25"/>
      <c r="G61" s="25"/>
      <c r="H61" s="25"/>
      <c r="I61" s="25"/>
      <c r="J61" s="25"/>
      <c r="K61" s="23"/>
      <c r="L61" s="943"/>
      <c r="M61" s="610"/>
      <c r="N61" s="610"/>
      <c r="O61" s="610"/>
      <c r="P61" s="610"/>
      <c r="Q61" s="610"/>
      <c r="R61" s="610"/>
      <c r="S61" s="669"/>
      <c r="T61" s="669"/>
      <c r="U61" s="669"/>
      <c r="V61" s="669"/>
      <c r="W61" s="669"/>
      <c r="X61" s="669"/>
      <c r="Y61" s="669"/>
      <c r="Z61" s="669"/>
      <c r="AA61" s="669"/>
      <c r="AB61" s="669"/>
      <c r="AC61" s="669"/>
      <c r="AD61" s="669"/>
      <c r="AE61" s="669"/>
      <c r="AF61" s="669"/>
      <c r="AG61" s="669"/>
      <c r="AH61" s="669"/>
      <c r="AI61" s="669"/>
      <c r="AJ61" s="669"/>
      <c r="AK61" s="669"/>
      <c r="AL61" s="669"/>
      <c r="AM61" s="669"/>
      <c r="AN61" s="669"/>
      <c r="AO61" s="669"/>
      <c r="AP61" s="669"/>
      <c r="AQ61" s="669"/>
      <c r="AR61" s="669"/>
      <c r="AS61" s="669"/>
      <c r="AT61" s="669"/>
      <c r="AU61" s="669"/>
      <c r="AV61" s="669"/>
      <c r="AW61" s="669"/>
      <c r="AX61" s="669"/>
      <c r="AY61" s="669"/>
      <c r="AZ61" s="669"/>
      <c r="BA61" s="669"/>
      <c r="BB61" s="669"/>
      <c r="BC61" s="669"/>
      <c r="BD61" s="669"/>
      <c r="BE61" s="669"/>
      <c r="BF61" s="669"/>
      <c r="BG61" s="669"/>
      <c r="BH61" s="669"/>
      <c r="BI61" s="669"/>
      <c r="BJ61" s="669"/>
      <c r="BK61" s="669"/>
      <c r="BL61" s="669"/>
      <c r="BM61" s="669"/>
      <c r="BN61" s="669"/>
      <c r="BO61" s="669"/>
      <c r="BP61" s="669"/>
      <c r="BQ61" s="669"/>
      <c r="BR61" s="669"/>
      <c r="BS61" s="669"/>
      <c r="BT61" s="669"/>
      <c r="BU61" s="669"/>
      <c r="BV61" s="669"/>
      <c r="BW61" s="669"/>
      <c r="BX61" s="669"/>
      <c r="BY61" s="669"/>
      <c r="BZ61" s="669"/>
      <c r="CA61" s="669"/>
      <c r="CB61" s="669"/>
      <c r="CC61" s="669"/>
      <c r="CD61" s="669"/>
      <c r="CE61" s="669"/>
      <c r="CF61" s="669"/>
      <c r="CG61" s="669"/>
      <c r="CH61" s="669"/>
      <c r="CI61" s="669"/>
      <c r="CJ61" s="669"/>
      <c r="CK61" s="669"/>
      <c r="CL61" s="669"/>
      <c r="CM61" s="669"/>
      <c r="CN61" s="669"/>
      <c r="CO61" s="669"/>
      <c r="CP61" s="669"/>
      <c r="CQ61" s="669"/>
      <c r="CR61" s="669"/>
      <c r="CS61" s="669"/>
      <c r="CT61" s="669"/>
      <c r="CU61" s="669"/>
      <c r="CV61" s="669"/>
      <c r="CW61" s="9"/>
      <c r="CX61" s="9"/>
      <c r="CY61" s="9"/>
      <c r="CZ61" s="9"/>
      <c r="DA61" s="9"/>
      <c r="DB61" s="9"/>
      <c r="DC61" s="9"/>
      <c r="DD61" s="9"/>
      <c r="DE61" s="9"/>
      <c r="DF61" s="9"/>
      <c r="DG61" s="9"/>
      <c r="DH61" s="9"/>
      <c r="DI61" s="9"/>
      <c r="DJ61" s="9"/>
      <c r="DK61" s="9"/>
      <c r="DL61" s="9"/>
      <c r="DM61" s="9"/>
      <c r="DN61" s="9"/>
      <c r="DO61" s="9"/>
      <c r="DP61" s="9"/>
      <c r="DQ61" s="9"/>
      <c r="DR61" s="9"/>
      <c r="DS61" s="9"/>
      <c r="DT61" s="9"/>
      <c r="DU61" s="9"/>
      <c r="DV61" s="9"/>
      <c r="DW61" s="9"/>
      <c r="DX61" s="9"/>
      <c r="DY61" s="9"/>
      <c r="DZ61" s="9"/>
      <c r="EA61" s="9"/>
      <c r="EB61" s="9"/>
      <c r="EC61" s="9"/>
      <c r="ED61" s="9"/>
      <c r="EE61" s="9"/>
      <c r="EF61" s="9"/>
      <c r="EG61" s="9"/>
      <c r="EH61" s="9"/>
      <c r="EI61" s="9"/>
      <c r="EJ61" s="9"/>
      <c r="EK61" s="9"/>
      <c r="EL61" s="9"/>
      <c r="EM61" s="9"/>
      <c r="EN61" s="9"/>
      <c r="EO61" s="9"/>
      <c r="EP61" s="9"/>
      <c r="EQ61" s="9"/>
      <c r="ER61" s="9"/>
      <c r="ES61" s="9"/>
      <c r="ET61" s="9"/>
      <c r="EU61" s="9"/>
      <c r="EV61" s="9"/>
      <c r="EW61" s="9"/>
      <c r="EX61" s="9"/>
      <c r="EY61" s="9"/>
      <c r="EZ61" s="9"/>
      <c r="FA61" s="9"/>
      <c r="FB61" s="9"/>
      <c r="FC61" s="9"/>
      <c r="FD61" s="9"/>
      <c r="FE61" s="9"/>
      <c r="FF61" s="9"/>
      <c r="FG61" s="9"/>
      <c r="FH61" s="9"/>
      <c r="FI61" s="9"/>
      <c r="FJ61" s="9"/>
      <c r="FK61" s="9"/>
      <c r="FL61" s="9"/>
      <c r="FM61" s="9"/>
      <c r="FN61" s="9"/>
      <c r="FO61" s="9"/>
      <c r="FP61" s="9"/>
      <c r="FQ61" s="9"/>
      <c r="FR61" s="9"/>
      <c r="FS61" s="9"/>
      <c r="FT61" s="9"/>
      <c r="FU61" s="9"/>
      <c r="FV61" s="9"/>
      <c r="FW61" s="9"/>
      <c r="FX61" s="9"/>
      <c r="FY61" s="9"/>
      <c r="FZ61" s="9"/>
      <c r="GA61" s="9"/>
      <c r="GB61" s="9"/>
      <c r="GC61" s="9"/>
      <c r="GD61" s="9"/>
      <c r="GE61" s="9"/>
      <c r="GF61" s="9"/>
      <c r="GG61" s="9"/>
      <c r="GH61" s="9"/>
      <c r="GI61" s="9"/>
      <c r="GJ61" s="9"/>
      <c r="GK61" s="9"/>
      <c r="GL61" s="9"/>
      <c r="GM61" s="9"/>
      <c r="GN61" s="9"/>
      <c r="GO61" s="9"/>
      <c r="GP61" s="9"/>
      <c r="GQ61" s="9"/>
      <c r="GR61" s="9"/>
      <c r="GS61" s="9"/>
      <c r="GT61" s="9"/>
      <c r="GU61" s="9"/>
      <c r="GV61" s="9"/>
      <c r="GW61" s="9"/>
      <c r="GX61" s="9"/>
      <c r="GY61" s="9"/>
      <c r="GZ61" s="9"/>
      <c r="HA61" s="9"/>
      <c r="HB61" s="9"/>
      <c r="HC61" s="9"/>
      <c r="HD61" s="9"/>
      <c r="HE61" s="9"/>
      <c r="HF61" s="9"/>
      <c r="HG61" s="9"/>
      <c r="HH61" s="9"/>
      <c r="HI61" s="9"/>
      <c r="HJ61" s="9"/>
      <c r="HK61" s="9"/>
      <c r="HL61" s="9"/>
      <c r="HM61" s="9"/>
      <c r="HN61" s="9"/>
      <c r="HO61" s="9"/>
      <c r="HP61" s="9"/>
      <c r="HQ61" s="9"/>
      <c r="HR61" s="9"/>
      <c r="HS61" s="9"/>
      <c r="HT61" s="9"/>
      <c r="HU61" s="9"/>
      <c r="HV61" s="9"/>
      <c r="HW61" s="9"/>
      <c r="HX61" s="9"/>
    </row>
    <row r="62" spans="1:232" ht="14.1" customHeight="1">
      <c r="A62" s="9"/>
      <c r="B62" s="9"/>
      <c r="C62" s="9"/>
      <c r="D62" s="9"/>
      <c r="E62" s="9"/>
      <c r="F62" s="9"/>
      <c r="G62" s="9"/>
      <c r="H62" s="9"/>
      <c r="I62" s="9"/>
      <c r="J62" s="9"/>
      <c r="K62" s="23"/>
      <c r="L62" s="943"/>
      <c r="M62" s="610"/>
      <c r="N62" s="610"/>
      <c r="O62" s="610"/>
      <c r="P62" s="610"/>
      <c r="Q62" s="610"/>
      <c r="R62" s="610"/>
      <c r="S62" s="669"/>
      <c r="T62" s="669"/>
      <c r="U62" s="669"/>
      <c r="V62" s="669"/>
      <c r="W62" s="669"/>
      <c r="X62" s="669"/>
      <c r="Y62" s="669"/>
      <c r="Z62" s="669"/>
      <c r="AA62" s="669"/>
      <c r="AB62" s="669"/>
      <c r="AC62" s="669"/>
      <c r="AD62" s="669"/>
      <c r="AE62" s="669"/>
      <c r="AF62" s="669"/>
      <c r="AG62" s="669"/>
      <c r="AH62" s="669"/>
      <c r="AI62" s="669"/>
      <c r="AJ62" s="669"/>
      <c r="AK62" s="669"/>
      <c r="AL62" s="669"/>
      <c r="AM62" s="669"/>
      <c r="AN62" s="669"/>
      <c r="AO62" s="669"/>
      <c r="AP62" s="669"/>
      <c r="AQ62" s="669"/>
      <c r="AR62" s="669"/>
      <c r="AS62" s="669"/>
      <c r="AT62" s="669"/>
      <c r="AU62" s="669"/>
      <c r="AV62" s="669"/>
      <c r="AW62" s="669"/>
      <c r="AX62" s="669"/>
      <c r="AY62" s="669"/>
      <c r="AZ62" s="669"/>
      <c r="BA62" s="669"/>
      <c r="BB62" s="669"/>
      <c r="BC62" s="669"/>
      <c r="BD62" s="669"/>
      <c r="BE62" s="669"/>
      <c r="BF62" s="669"/>
      <c r="BG62" s="669"/>
      <c r="BH62" s="669"/>
      <c r="BI62" s="669"/>
      <c r="BJ62" s="669"/>
      <c r="BK62" s="669"/>
      <c r="BL62" s="669"/>
      <c r="BM62" s="669"/>
      <c r="BN62" s="669"/>
      <c r="BO62" s="669"/>
      <c r="BP62" s="669"/>
      <c r="BQ62" s="669"/>
      <c r="BR62" s="669"/>
      <c r="BS62" s="669"/>
      <c r="BT62" s="669"/>
      <c r="BU62" s="669"/>
      <c r="BV62" s="669"/>
      <c r="BW62" s="669"/>
      <c r="BX62" s="669"/>
      <c r="BY62" s="669"/>
      <c r="BZ62" s="669"/>
      <c r="CA62" s="669"/>
      <c r="CB62" s="669"/>
      <c r="CC62" s="669"/>
      <c r="CD62" s="669"/>
      <c r="CE62" s="669"/>
      <c r="CF62" s="669"/>
      <c r="CG62" s="669"/>
      <c r="CH62" s="669"/>
      <c r="CI62" s="669"/>
      <c r="CJ62" s="669"/>
      <c r="CK62" s="669"/>
      <c r="CL62" s="669"/>
      <c r="CM62" s="669"/>
      <c r="CN62" s="669"/>
      <c r="CO62" s="669"/>
      <c r="CP62" s="669"/>
      <c r="CQ62" s="669"/>
      <c r="CR62" s="669"/>
      <c r="CS62" s="669"/>
      <c r="CT62" s="669"/>
      <c r="CU62" s="669"/>
      <c r="CV62" s="669"/>
      <c r="CW62" s="9"/>
      <c r="CX62" s="9"/>
      <c r="CY62" s="9"/>
      <c r="CZ62" s="9"/>
      <c r="DA62" s="9"/>
      <c r="DB62" s="9"/>
      <c r="DC62" s="9"/>
      <c r="DD62" s="9"/>
      <c r="DE62" s="9"/>
      <c r="DF62" s="9"/>
      <c r="DG62" s="9"/>
      <c r="DH62" s="9"/>
      <c r="DI62" s="9"/>
      <c r="DJ62" s="9"/>
      <c r="DK62" s="9"/>
      <c r="DL62" s="9"/>
      <c r="DM62" s="9"/>
      <c r="DN62" s="9"/>
      <c r="DO62" s="9"/>
      <c r="DP62" s="9"/>
      <c r="DQ62" s="9"/>
      <c r="DR62" s="9"/>
      <c r="DS62" s="9"/>
      <c r="DT62" s="9"/>
      <c r="DU62" s="9"/>
      <c r="DV62" s="9"/>
      <c r="DW62" s="9"/>
      <c r="DX62" s="9"/>
      <c r="DY62" s="9"/>
      <c r="DZ62" s="9"/>
      <c r="EA62" s="9"/>
      <c r="EB62" s="9"/>
      <c r="EC62" s="9"/>
      <c r="ED62" s="9"/>
      <c r="EE62" s="9"/>
      <c r="EF62" s="9"/>
      <c r="EG62" s="9"/>
      <c r="EH62" s="9"/>
      <c r="EI62" s="9"/>
      <c r="EJ62" s="9"/>
      <c r="EK62" s="9"/>
      <c r="EL62" s="9"/>
      <c r="EM62" s="9"/>
      <c r="EN62" s="9"/>
      <c r="EO62" s="9"/>
      <c r="EP62" s="9"/>
      <c r="EQ62" s="9"/>
      <c r="ER62" s="9"/>
      <c r="ES62" s="9"/>
      <c r="ET62" s="9"/>
      <c r="EU62" s="9"/>
      <c r="EV62" s="9"/>
      <c r="EW62" s="9"/>
      <c r="EX62" s="9"/>
      <c r="EY62" s="9"/>
      <c r="EZ62" s="9"/>
      <c r="FA62" s="9"/>
      <c r="FB62" s="9"/>
      <c r="FC62" s="9"/>
      <c r="FD62" s="9"/>
      <c r="FE62" s="9"/>
      <c r="FF62" s="9"/>
      <c r="FG62" s="9"/>
      <c r="FH62" s="9"/>
      <c r="FI62" s="9"/>
      <c r="FJ62" s="9"/>
      <c r="FK62" s="9"/>
      <c r="FL62" s="9"/>
      <c r="FM62" s="9"/>
      <c r="FN62" s="9"/>
      <c r="FO62" s="9"/>
      <c r="FP62" s="9"/>
      <c r="FQ62" s="9"/>
      <c r="FR62" s="9"/>
      <c r="FS62" s="9"/>
      <c r="FT62" s="9"/>
      <c r="FU62" s="9"/>
      <c r="FV62" s="9"/>
      <c r="FW62" s="9"/>
      <c r="FX62" s="9"/>
      <c r="FY62" s="9"/>
      <c r="FZ62" s="9"/>
      <c r="GA62" s="9"/>
      <c r="GB62" s="9"/>
      <c r="GC62" s="9"/>
      <c r="GD62" s="9"/>
      <c r="GE62" s="9"/>
      <c r="GF62" s="9"/>
      <c r="GG62" s="9"/>
      <c r="GH62" s="9"/>
      <c r="GI62" s="9"/>
      <c r="GJ62" s="9"/>
      <c r="GK62" s="9"/>
      <c r="GL62" s="9"/>
      <c r="GM62" s="9"/>
      <c r="GN62" s="9"/>
      <c r="GO62" s="9"/>
      <c r="GP62" s="9"/>
      <c r="GQ62" s="9"/>
      <c r="GR62" s="9"/>
      <c r="GS62" s="9"/>
      <c r="GT62" s="9"/>
      <c r="GU62" s="9"/>
      <c r="GV62" s="9"/>
      <c r="GW62" s="9"/>
      <c r="GX62" s="9"/>
      <c r="GY62" s="9"/>
      <c r="GZ62" s="9"/>
      <c r="HA62" s="9"/>
      <c r="HB62" s="9"/>
      <c r="HC62" s="9"/>
      <c r="HD62" s="9"/>
      <c r="HE62" s="9"/>
      <c r="HF62" s="9"/>
      <c r="HG62" s="9"/>
      <c r="HH62" s="9"/>
      <c r="HI62" s="9"/>
      <c r="HJ62" s="9"/>
      <c r="HK62" s="9"/>
      <c r="HL62" s="9"/>
      <c r="HM62" s="9"/>
      <c r="HN62" s="9"/>
      <c r="HO62" s="9"/>
      <c r="HP62" s="9"/>
      <c r="HQ62" s="9"/>
      <c r="HR62" s="9"/>
      <c r="HS62" s="9"/>
      <c r="HT62" s="9"/>
      <c r="HU62" s="9"/>
      <c r="HV62" s="9"/>
      <c r="HW62" s="9"/>
      <c r="HX62" s="9"/>
    </row>
    <row r="63" spans="1:232" ht="14.1" customHeight="1">
      <c r="A63" s="9"/>
      <c r="B63" s="9"/>
      <c r="C63" s="9"/>
      <c r="D63" s="9"/>
      <c r="E63" s="9"/>
      <c r="F63" s="9"/>
      <c r="G63" s="9"/>
      <c r="H63" s="9"/>
      <c r="I63" s="9"/>
      <c r="J63" s="9"/>
      <c r="K63" s="23"/>
      <c r="L63" s="943"/>
      <c r="M63" s="610"/>
      <c r="N63" s="610"/>
      <c r="O63" s="610"/>
      <c r="P63" s="610"/>
      <c r="Q63" s="610"/>
      <c r="R63" s="610"/>
      <c r="S63" s="669"/>
      <c r="T63" s="669"/>
      <c r="U63" s="680"/>
      <c r="V63" s="681"/>
      <c r="W63" s="669"/>
      <c r="X63" s="669"/>
      <c r="Y63" s="669"/>
      <c r="Z63" s="669"/>
      <c r="AA63" s="669"/>
      <c r="AB63" s="669"/>
      <c r="AC63" s="669"/>
      <c r="AD63" s="669"/>
      <c r="AE63" s="669"/>
      <c r="AF63" s="669"/>
      <c r="AG63" s="669"/>
      <c r="AH63" s="669"/>
      <c r="AI63" s="669"/>
      <c r="AJ63" s="669"/>
      <c r="AK63" s="669"/>
      <c r="AL63" s="669"/>
      <c r="AM63" s="669"/>
      <c r="AN63" s="669"/>
      <c r="AO63" s="669"/>
      <c r="AP63" s="669"/>
      <c r="AQ63" s="669"/>
      <c r="AR63" s="669"/>
      <c r="AS63" s="669"/>
      <c r="AT63" s="669"/>
      <c r="AU63" s="669"/>
      <c r="AV63" s="669"/>
      <c r="AW63" s="669"/>
      <c r="AX63" s="669"/>
      <c r="AY63" s="669"/>
      <c r="AZ63" s="669"/>
      <c r="BA63" s="669"/>
      <c r="BB63" s="669"/>
      <c r="BC63" s="669"/>
      <c r="BD63" s="669"/>
      <c r="BE63" s="669"/>
      <c r="BF63" s="669"/>
      <c r="BG63" s="669"/>
      <c r="BH63" s="669"/>
      <c r="BI63" s="669"/>
      <c r="BJ63" s="669"/>
      <c r="BK63" s="669"/>
      <c r="BL63" s="669"/>
      <c r="BM63" s="669"/>
      <c r="BN63" s="669"/>
      <c r="BO63" s="669"/>
      <c r="BP63" s="669"/>
      <c r="BQ63" s="669"/>
      <c r="BR63" s="669"/>
      <c r="BS63" s="669"/>
      <c r="BT63" s="669"/>
      <c r="BU63" s="669"/>
      <c r="BV63" s="669"/>
      <c r="BW63" s="669"/>
      <c r="BX63" s="669"/>
      <c r="BY63" s="669"/>
      <c r="BZ63" s="669"/>
      <c r="CA63" s="669"/>
      <c r="CB63" s="669"/>
      <c r="CC63" s="669"/>
      <c r="CD63" s="669"/>
      <c r="CE63" s="669"/>
      <c r="CF63" s="669"/>
      <c r="CG63" s="669"/>
      <c r="CH63" s="669"/>
      <c r="CI63" s="669"/>
      <c r="CJ63" s="669"/>
      <c r="CK63" s="669"/>
      <c r="CL63" s="669"/>
      <c r="CM63" s="669"/>
      <c r="CN63" s="669"/>
      <c r="CO63" s="669"/>
      <c r="CP63" s="669"/>
      <c r="CQ63" s="669"/>
      <c r="CR63" s="669"/>
      <c r="CS63" s="669"/>
      <c r="CT63" s="669"/>
      <c r="CU63" s="669"/>
      <c r="CV63" s="669"/>
      <c r="CW63" s="9"/>
      <c r="CX63" s="9"/>
      <c r="CY63" s="9"/>
      <c r="CZ63" s="9"/>
      <c r="DA63" s="9"/>
      <c r="DB63" s="9"/>
      <c r="DC63" s="9"/>
      <c r="DD63" s="9"/>
      <c r="DE63" s="9"/>
      <c r="DF63" s="9"/>
      <c r="DG63" s="9"/>
      <c r="DH63" s="9"/>
      <c r="DI63" s="9"/>
      <c r="DJ63" s="9"/>
      <c r="DK63" s="9"/>
      <c r="DL63" s="9"/>
      <c r="DM63" s="9"/>
      <c r="DN63" s="9"/>
      <c r="DO63" s="9"/>
      <c r="DP63" s="9"/>
      <c r="DQ63" s="9"/>
      <c r="DR63" s="9"/>
      <c r="DS63" s="9"/>
      <c r="DT63" s="9"/>
      <c r="DU63" s="9"/>
      <c r="DV63" s="9"/>
      <c r="DW63" s="9"/>
      <c r="DX63" s="9"/>
      <c r="DY63" s="9"/>
      <c r="DZ63" s="9"/>
      <c r="EA63" s="9"/>
      <c r="EB63" s="9"/>
      <c r="EC63" s="9"/>
      <c r="ED63" s="9"/>
      <c r="EE63" s="9"/>
      <c r="EF63" s="9"/>
      <c r="EG63" s="9"/>
      <c r="EH63" s="9"/>
      <c r="EI63" s="9"/>
      <c r="EJ63" s="9"/>
      <c r="EK63" s="9"/>
      <c r="EL63" s="9"/>
      <c r="EM63" s="9"/>
      <c r="EN63" s="9"/>
      <c r="EO63" s="9"/>
      <c r="EP63" s="9"/>
      <c r="EQ63" s="9"/>
      <c r="ER63" s="9"/>
      <c r="ES63" s="9"/>
      <c r="ET63" s="9"/>
      <c r="EU63" s="9"/>
      <c r="EV63" s="9"/>
      <c r="EW63" s="9"/>
      <c r="EX63" s="9"/>
      <c r="EY63" s="9"/>
      <c r="EZ63" s="9"/>
      <c r="FA63" s="9"/>
      <c r="FB63" s="9"/>
      <c r="FC63" s="9"/>
      <c r="FD63" s="9"/>
      <c r="FE63" s="9"/>
      <c r="FF63" s="9"/>
      <c r="FG63" s="9"/>
      <c r="FH63" s="9"/>
      <c r="FI63" s="9"/>
      <c r="FJ63" s="9"/>
      <c r="FK63" s="9"/>
      <c r="FL63" s="9"/>
      <c r="FM63" s="9"/>
      <c r="FN63" s="9"/>
      <c r="FO63" s="9"/>
      <c r="FP63" s="9"/>
      <c r="FQ63" s="9"/>
      <c r="FR63" s="9"/>
      <c r="FS63" s="9"/>
      <c r="FT63" s="9"/>
      <c r="FU63" s="9"/>
      <c r="FV63" s="9"/>
      <c r="FW63" s="9"/>
      <c r="FX63" s="9"/>
      <c r="FY63" s="9"/>
      <c r="FZ63" s="9"/>
      <c r="GA63" s="9"/>
      <c r="GB63" s="9"/>
      <c r="GC63" s="9"/>
      <c r="GD63" s="9"/>
      <c r="GE63" s="9"/>
      <c r="GF63" s="9"/>
      <c r="GG63" s="9"/>
      <c r="GH63" s="9"/>
      <c r="GI63" s="9"/>
      <c r="GJ63" s="9"/>
      <c r="GK63" s="9"/>
      <c r="GL63" s="9"/>
      <c r="GM63" s="9"/>
      <c r="GN63" s="9"/>
      <c r="GO63" s="9"/>
      <c r="GP63" s="9"/>
      <c r="GQ63" s="9"/>
      <c r="GR63" s="9"/>
      <c r="GS63" s="9"/>
      <c r="GT63" s="9"/>
      <c r="GU63" s="9"/>
      <c r="GV63" s="9"/>
      <c r="GW63" s="9"/>
      <c r="GX63" s="9"/>
      <c r="GY63" s="9"/>
      <c r="GZ63" s="9"/>
      <c r="HA63" s="9"/>
      <c r="HB63" s="9"/>
      <c r="HC63" s="9"/>
      <c r="HD63" s="9"/>
      <c r="HE63" s="9"/>
      <c r="HF63" s="9"/>
      <c r="HG63" s="9"/>
      <c r="HH63" s="9"/>
      <c r="HI63" s="9"/>
      <c r="HJ63" s="9"/>
      <c r="HK63" s="9"/>
      <c r="HL63" s="9"/>
      <c r="HM63" s="9"/>
      <c r="HN63" s="9"/>
      <c r="HO63" s="9"/>
      <c r="HP63" s="9"/>
      <c r="HQ63" s="9"/>
      <c r="HR63" s="9"/>
      <c r="HS63" s="9"/>
      <c r="HT63" s="9"/>
      <c r="HU63" s="9"/>
      <c r="HV63" s="9"/>
      <c r="HW63" s="9"/>
      <c r="HX63" s="9"/>
    </row>
    <row r="64" spans="1:232" ht="14.1" customHeight="1">
      <c r="A64" s="26"/>
      <c r="B64" s="9"/>
      <c r="C64" s="9"/>
      <c r="D64" s="9"/>
      <c r="E64" s="9"/>
      <c r="F64" s="9"/>
      <c r="G64" s="9"/>
      <c r="H64" s="9"/>
      <c r="I64" s="9"/>
      <c r="J64" s="9"/>
      <c r="K64" s="23"/>
      <c r="L64" s="943"/>
      <c r="M64" s="610"/>
      <c r="N64" s="610"/>
      <c r="O64" s="610"/>
      <c r="P64" s="610"/>
      <c r="Q64" s="610"/>
      <c r="R64" s="610"/>
      <c r="S64" s="669"/>
      <c r="T64" s="682"/>
      <c r="U64" s="683"/>
      <c r="V64" s="683"/>
      <c r="W64" s="669"/>
      <c r="X64" s="669"/>
      <c r="Y64" s="669"/>
      <c r="Z64" s="669"/>
      <c r="AA64" s="669"/>
      <c r="AB64" s="669"/>
      <c r="AC64" s="669"/>
      <c r="AD64" s="669"/>
      <c r="AE64" s="669"/>
      <c r="AF64" s="669"/>
      <c r="AG64" s="669"/>
      <c r="AH64" s="669"/>
      <c r="AI64" s="669"/>
      <c r="AJ64" s="669"/>
      <c r="AK64" s="669"/>
      <c r="AL64" s="669"/>
      <c r="AM64" s="669"/>
      <c r="AN64" s="669"/>
      <c r="AO64" s="669"/>
      <c r="AP64" s="669"/>
      <c r="AQ64" s="669"/>
      <c r="AR64" s="669"/>
      <c r="AS64" s="669"/>
      <c r="AT64" s="669"/>
      <c r="AU64" s="669"/>
      <c r="AV64" s="669"/>
      <c r="AW64" s="669"/>
      <c r="AX64" s="669"/>
      <c r="AY64" s="669"/>
      <c r="AZ64" s="669"/>
      <c r="BA64" s="669"/>
      <c r="BB64" s="669"/>
      <c r="BC64" s="669"/>
      <c r="BD64" s="669"/>
      <c r="BE64" s="669"/>
      <c r="BF64" s="669"/>
      <c r="BG64" s="669"/>
      <c r="BH64" s="669"/>
      <c r="BI64" s="669"/>
      <c r="BJ64" s="669"/>
      <c r="BK64" s="669"/>
      <c r="BL64" s="669"/>
      <c r="BM64" s="669"/>
      <c r="BN64" s="669"/>
      <c r="BO64" s="669"/>
      <c r="BP64" s="669"/>
      <c r="BQ64" s="669"/>
      <c r="BR64" s="669"/>
      <c r="BS64" s="669"/>
      <c r="BT64" s="669"/>
      <c r="BU64" s="669"/>
      <c r="BV64" s="669"/>
      <c r="BW64" s="669"/>
      <c r="BX64" s="669"/>
      <c r="BY64" s="669"/>
      <c r="BZ64" s="669"/>
      <c r="CA64" s="669"/>
      <c r="CB64" s="669"/>
      <c r="CC64" s="669"/>
      <c r="CD64" s="669"/>
      <c r="CE64" s="669"/>
      <c r="CF64" s="669"/>
      <c r="CG64" s="669"/>
      <c r="CH64" s="669"/>
      <c r="CI64" s="669"/>
      <c r="CJ64" s="669"/>
      <c r="CK64" s="669"/>
      <c r="CL64" s="669"/>
      <c r="CM64" s="669"/>
      <c r="CN64" s="669"/>
      <c r="CO64" s="669"/>
      <c r="CP64" s="669"/>
      <c r="CQ64" s="669"/>
      <c r="CR64" s="669"/>
      <c r="CS64" s="669"/>
      <c r="CT64" s="669"/>
      <c r="CU64" s="669"/>
      <c r="CV64" s="669"/>
      <c r="CW64" s="9"/>
      <c r="CX64" s="9"/>
      <c r="CY64" s="9"/>
      <c r="CZ64" s="9"/>
      <c r="DA64" s="9"/>
      <c r="DB64" s="9"/>
      <c r="DC64" s="9"/>
      <c r="DD64" s="9"/>
      <c r="DE64" s="9"/>
      <c r="DF64" s="9"/>
      <c r="DG64" s="9"/>
      <c r="DH64" s="9"/>
      <c r="DI64" s="9"/>
      <c r="DJ64" s="9"/>
      <c r="DK64" s="9"/>
      <c r="DL64" s="9"/>
      <c r="DM64" s="9"/>
      <c r="DN64" s="9"/>
      <c r="DO64" s="9"/>
      <c r="DP64" s="9"/>
      <c r="DQ64" s="9"/>
      <c r="DR64" s="9"/>
      <c r="DS64" s="9"/>
      <c r="DT64" s="9"/>
      <c r="DU64" s="9"/>
      <c r="DV64" s="9"/>
      <c r="DW64" s="9"/>
      <c r="DX64" s="9"/>
      <c r="DY64" s="9"/>
      <c r="DZ64" s="9"/>
      <c r="EA64" s="9"/>
      <c r="EB64" s="9"/>
      <c r="EC64" s="9"/>
      <c r="ED64" s="9"/>
      <c r="EE64" s="9"/>
      <c r="EF64" s="9"/>
      <c r="EG64" s="9"/>
      <c r="EH64" s="9"/>
      <c r="EI64" s="9"/>
      <c r="EJ64" s="9"/>
      <c r="EK64" s="9"/>
      <c r="EL64" s="9"/>
      <c r="EM64" s="9"/>
      <c r="EN64" s="9"/>
      <c r="EO64" s="9"/>
      <c r="EP64" s="9"/>
      <c r="EQ64" s="9"/>
      <c r="ER64" s="9"/>
      <c r="ES64" s="9"/>
      <c r="ET64" s="9"/>
      <c r="EU64" s="9"/>
      <c r="EV64" s="9"/>
      <c r="EW64" s="9"/>
      <c r="EX64" s="9"/>
      <c r="EY64" s="9"/>
      <c r="EZ64" s="9"/>
      <c r="FA64" s="9"/>
      <c r="FB64" s="9"/>
      <c r="FC64" s="9"/>
      <c r="FD64" s="9"/>
      <c r="FE64" s="9"/>
      <c r="FF64" s="9"/>
      <c r="FG64" s="9"/>
      <c r="FH64" s="9"/>
      <c r="FI64" s="9"/>
      <c r="FJ64" s="9"/>
      <c r="FK64" s="9"/>
      <c r="FL64" s="9"/>
      <c r="FM64" s="9"/>
      <c r="FN64" s="9"/>
      <c r="FO64" s="9"/>
      <c r="FP64" s="9"/>
      <c r="FQ64" s="9"/>
      <c r="FR64" s="9"/>
      <c r="FS64" s="9"/>
      <c r="FT64" s="9"/>
      <c r="FU64" s="9"/>
      <c r="FV64" s="9"/>
      <c r="FW64" s="9"/>
      <c r="FX64" s="9"/>
      <c r="FY64" s="9"/>
      <c r="FZ64" s="9"/>
      <c r="GA64" s="9"/>
      <c r="GB64" s="9"/>
      <c r="GC64" s="9"/>
      <c r="GD64" s="9"/>
      <c r="GE64" s="9"/>
      <c r="GF64" s="9"/>
      <c r="GG64" s="9"/>
      <c r="GH64" s="9"/>
      <c r="GI64" s="9"/>
      <c r="GJ64" s="9"/>
      <c r="GK64" s="9"/>
      <c r="GL64" s="9"/>
      <c r="GM64" s="9"/>
      <c r="GN64" s="9"/>
      <c r="GO64" s="9"/>
      <c r="GP64" s="9"/>
      <c r="GQ64" s="9"/>
      <c r="GR64" s="9"/>
      <c r="GS64" s="9"/>
      <c r="GT64" s="9"/>
      <c r="GU64" s="9"/>
      <c r="GV64" s="9"/>
      <c r="GW64" s="9"/>
      <c r="GX64" s="9"/>
      <c r="GY64" s="9"/>
      <c r="GZ64" s="9"/>
      <c r="HA64" s="9"/>
      <c r="HB64" s="9"/>
      <c r="HC64" s="9"/>
      <c r="HD64" s="9"/>
      <c r="HE64" s="9"/>
      <c r="HF64" s="9"/>
      <c r="HG64" s="9"/>
      <c r="HH64" s="9"/>
      <c r="HI64" s="9"/>
      <c r="HJ64" s="9"/>
      <c r="HK64" s="9"/>
      <c r="HL64" s="9"/>
      <c r="HM64" s="9"/>
      <c r="HN64" s="9"/>
      <c r="HO64" s="9"/>
      <c r="HP64" s="9"/>
      <c r="HQ64" s="9"/>
      <c r="HR64" s="9"/>
      <c r="HS64" s="9"/>
      <c r="HT64" s="9"/>
      <c r="HU64" s="9"/>
      <c r="HV64" s="9"/>
      <c r="HW64" s="9"/>
      <c r="HX64" s="9"/>
    </row>
    <row r="65" spans="1:232" ht="14.1" customHeight="1">
      <c r="A65" s="9"/>
      <c r="B65" s="9"/>
      <c r="C65" s="9"/>
      <c r="D65" s="9"/>
      <c r="E65" s="9"/>
      <c r="F65" s="9"/>
      <c r="G65" s="9"/>
      <c r="H65" s="9"/>
      <c r="I65" s="9"/>
      <c r="J65" s="9"/>
      <c r="K65" s="23"/>
      <c r="L65" s="943"/>
      <c r="M65" s="610"/>
      <c r="N65" s="610"/>
      <c r="O65" s="610"/>
      <c r="P65" s="610"/>
      <c r="Q65" s="610"/>
      <c r="R65" s="610"/>
      <c r="S65" s="669"/>
      <c r="T65" s="669"/>
      <c r="U65" s="669"/>
      <c r="V65" s="669"/>
      <c r="W65" s="669"/>
      <c r="X65" s="669"/>
      <c r="Y65" s="669"/>
      <c r="Z65" s="669"/>
      <c r="AA65" s="669"/>
      <c r="AB65" s="669"/>
      <c r="AC65" s="669"/>
      <c r="AD65" s="669"/>
      <c r="AE65" s="669"/>
      <c r="AF65" s="669"/>
      <c r="AG65" s="669"/>
      <c r="AH65" s="669"/>
      <c r="AI65" s="669"/>
      <c r="AJ65" s="669"/>
      <c r="AK65" s="669"/>
      <c r="AL65" s="669"/>
      <c r="AM65" s="669"/>
      <c r="AN65" s="669"/>
      <c r="AO65" s="669"/>
      <c r="AP65" s="669"/>
      <c r="AQ65" s="669"/>
      <c r="AR65" s="669"/>
      <c r="AS65" s="669"/>
      <c r="AT65" s="669"/>
      <c r="AU65" s="669"/>
      <c r="AV65" s="669"/>
      <c r="AW65" s="669"/>
      <c r="AX65" s="669"/>
      <c r="AY65" s="669"/>
      <c r="AZ65" s="669"/>
      <c r="BA65" s="669"/>
      <c r="BB65" s="669"/>
      <c r="BC65" s="669"/>
      <c r="BD65" s="669"/>
      <c r="BE65" s="669"/>
      <c r="BF65" s="669"/>
      <c r="BG65" s="669"/>
      <c r="BH65" s="669"/>
      <c r="BI65" s="669"/>
      <c r="BJ65" s="669"/>
      <c r="BK65" s="669"/>
      <c r="BL65" s="669"/>
      <c r="BM65" s="669"/>
      <c r="BN65" s="669"/>
      <c r="BO65" s="669"/>
      <c r="BP65" s="669"/>
      <c r="BQ65" s="669"/>
      <c r="BR65" s="669"/>
      <c r="BS65" s="669"/>
      <c r="BT65" s="669"/>
      <c r="BU65" s="669"/>
      <c r="BV65" s="669"/>
      <c r="BW65" s="669"/>
      <c r="BX65" s="669"/>
      <c r="BY65" s="669"/>
      <c r="BZ65" s="669"/>
      <c r="CA65" s="669"/>
      <c r="CB65" s="669"/>
      <c r="CC65" s="669"/>
      <c r="CD65" s="669"/>
      <c r="CE65" s="669"/>
      <c r="CF65" s="669"/>
      <c r="CG65" s="669"/>
      <c r="CH65" s="669"/>
      <c r="CI65" s="669"/>
      <c r="CJ65" s="669"/>
      <c r="CK65" s="669"/>
      <c r="CL65" s="669"/>
      <c r="CM65" s="669"/>
      <c r="CN65" s="669"/>
      <c r="CO65" s="669"/>
      <c r="CP65" s="669"/>
      <c r="CQ65" s="669"/>
      <c r="CR65" s="669"/>
      <c r="CS65" s="669"/>
      <c r="CT65" s="669"/>
      <c r="CU65" s="669"/>
      <c r="CV65" s="669"/>
      <c r="CW65" s="9"/>
      <c r="CX65" s="9"/>
      <c r="CY65" s="9"/>
      <c r="CZ65" s="9"/>
      <c r="DA65" s="9"/>
      <c r="DB65" s="9"/>
      <c r="DC65" s="9"/>
      <c r="DD65" s="9"/>
      <c r="DE65" s="9"/>
      <c r="DF65" s="9"/>
      <c r="DG65" s="9"/>
      <c r="DH65" s="9"/>
      <c r="DI65" s="9"/>
      <c r="DJ65" s="9"/>
      <c r="DK65" s="9"/>
      <c r="DL65" s="9"/>
      <c r="DM65" s="9"/>
      <c r="DN65" s="9"/>
      <c r="DO65" s="9"/>
      <c r="DP65" s="9"/>
      <c r="DQ65" s="9"/>
      <c r="DR65" s="9"/>
      <c r="DS65" s="9"/>
      <c r="DT65" s="9"/>
      <c r="DU65" s="9"/>
      <c r="DV65" s="9"/>
      <c r="DW65" s="9"/>
      <c r="DX65" s="9"/>
      <c r="DY65" s="9"/>
      <c r="DZ65" s="9"/>
      <c r="EA65" s="9"/>
      <c r="EB65" s="9"/>
      <c r="EC65" s="9"/>
      <c r="ED65" s="9"/>
      <c r="EE65" s="9"/>
      <c r="EF65" s="9"/>
      <c r="EG65" s="9"/>
      <c r="EH65" s="9"/>
      <c r="EI65" s="9"/>
      <c r="EJ65" s="9"/>
      <c r="EK65" s="9"/>
      <c r="EL65" s="9"/>
      <c r="EM65" s="9"/>
      <c r="EN65" s="9"/>
      <c r="EO65" s="9"/>
      <c r="EP65" s="9"/>
      <c r="EQ65" s="9"/>
      <c r="ER65" s="9"/>
      <c r="ES65" s="9"/>
      <c r="ET65" s="9"/>
      <c r="EU65" s="9"/>
      <c r="EV65" s="9"/>
      <c r="EW65" s="9"/>
      <c r="EX65" s="9"/>
      <c r="EY65" s="9"/>
      <c r="EZ65" s="9"/>
      <c r="FA65" s="9"/>
      <c r="FB65" s="9"/>
      <c r="FC65" s="9"/>
      <c r="FD65" s="9"/>
      <c r="FE65" s="9"/>
      <c r="FF65" s="9"/>
      <c r="FG65" s="9"/>
      <c r="FH65" s="9"/>
      <c r="FI65" s="9"/>
      <c r="FJ65" s="9"/>
      <c r="FK65" s="9"/>
      <c r="FL65" s="9"/>
      <c r="FM65" s="9"/>
      <c r="FN65" s="9"/>
      <c r="FO65" s="9"/>
      <c r="FP65" s="9"/>
      <c r="FQ65" s="9"/>
      <c r="FR65" s="9"/>
      <c r="FS65" s="9"/>
      <c r="FT65" s="9"/>
      <c r="FU65" s="9"/>
      <c r="FV65" s="9"/>
      <c r="FW65" s="9"/>
      <c r="FX65" s="9"/>
      <c r="FY65" s="9"/>
      <c r="FZ65" s="9"/>
      <c r="GA65" s="9"/>
      <c r="GB65" s="9"/>
      <c r="GC65" s="9"/>
      <c r="GD65" s="9"/>
      <c r="GE65" s="9"/>
      <c r="GF65" s="9"/>
      <c r="GG65" s="9"/>
      <c r="GH65" s="9"/>
      <c r="GI65" s="9"/>
      <c r="GJ65" s="9"/>
      <c r="GK65" s="9"/>
      <c r="GL65" s="9"/>
      <c r="GM65" s="9"/>
      <c r="GN65" s="9"/>
      <c r="GO65" s="9"/>
      <c r="GP65" s="9"/>
      <c r="GQ65" s="9"/>
      <c r="GR65" s="9"/>
      <c r="GS65" s="9"/>
      <c r="GT65" s="9"/>
      <c r="GU65" s="9"/>
      <c r="GV65" s="9"/>
      <c r="GW65" s="9"/>
      <c r="GX65" s="9"/>
      <c r="GY65" s="9"/>
      <c r="GZ65" s="9"/>
      <c r="HA65" s="9"/>
      <c r="HB65" s="9"/>
      <c r="HC65" s="9"/>
      <c r="HD65" s="9"/>
      <c r="HE65" s="9"/>
      <c r="HF65" s="9"/>
      <c r="HG65" s="9"/>
      <c r="HH65" s="9"/>
      <c r="HI65" s="9"/>
      <c r="HJ65" s="9"/>
      <c r="HK65" s="9"/>
      <c r="HL65" s="9"/>
      <c r="HM65" s="9"/>
      <c r="HN65" s="9"/>
      <c r="HO65" s="9"/>
      <c r="HP65" s="9"/>
      <c r="HQ65" s="9"/>
      <c r="HR65" s="9"/>
      <c r="HS65" s="9"/>
      <c r="HT65" s="9"/>
      <c r="HU65" s="9"/>
      <c r="HV65" s="9"/>
      <c r="HW65" s="9"/>
      <c r="HX65" s="9"/>
    </row>
    <row r="66" spans="1:232" ht="14.1" customHeight="1">
      <c r="A66" s="9"/>
      <c r="B66" s="9"/>
      <c r="C66" s="9"/>
      <c r="D66" s="9"/>
      <c r="E66" s="9"/>
      <c r="F66" s="9"/>
      <c r="G66" s="9"/>
      <c r="H66" s="9"/>
      <c r="I66" s="9"/>
      <c r="J66" s="9"/>
      <c r="K66" s="23"/>
      <c r="L66" s="943"/>
      <c r="M66" s="610"/>
      <c r="N66" s="610"/>
      <c r="O66" s="610"/>
      <c r="P66" s="610"/>
      <c r="Q66" s="610"/>
      <c r="R66" s="610"/>
      <c r="S66" s="669"/>
      <c r="T66" s="669"/>
      <c r="U66" s="669"/>
      <c r="V66" s="669"/>
      <c r="W66" s="669"/>
      <c r="X66" s="669"/>
      <c r="Y66" s="669"/>
      <c r="Z66" s="669"/>
      <c r="AA66" s="669"/>
      <c r="AB66" s="669"/>
      <c r="AC66" s="669"/>
      <c r="AD66" s="669"/>
      <c r="AE66" s="669"/>
      <c r="AF66" s="669"/>
      <c r="AG66" s="669"/>
      <c r="AH66" s="669"/>
      <c r="AI66" s="669"/>
      <c r="AJ66" s="669"/>
      <c r="AK66" s="669"/>
      <c r="AL66" s="669"/>
      <c r="AM66" s="669"/>
      <c r="AN66" s="669"/>
      <c r="AO66" s="669"/>
      <c r="AP66" s="669"/>
      <c r="AQ66" s="669"/>
      <c r="AR66" s="669"/>
      <c r="AS66" s="669"/>
      <c r="AT66" s="669"/>
      <c r="AU66" s="669"/>
      <c r="AV66" s="669"/>
      <c r="AW66" s="669"/>
      <c r="AX66" s="669"/>
      <c r="AY66" s="669"/>
      <c r="AZ66" s="669"/>
      <c r="BA66" s="669"/>
      <c r="BB66" s="669"/>
      <c r="BC66" s="669"/>
      <c r="BD66" s="669"/>
      <c r="BE66" s="669"/>
      <c r="BF66" s="669"/>
      <c r="BG66" s="669"/>
      <c r="BH66" s="669"/>
      <c r="BI66" s="669"/>
      <c r="BJ66" s="669"/>
      <c r="BK66" s="669"/>
      <c r="BL66" s="669"/>
      <c r="BM66" s="669"/>
      <c r="BN66" s="669"/>
      <c r="BO66" s="669"/>
      <c r="BP66" s="669"/>
      <c r="BQ66" s="669"/>
      <c r="BR66" s="669"/>
      <c r="BS66" s="669"/>
      <c r="BT66" s="669"/>
      <c r="BU66" s="669"/>
      <c r="BV66" s="669"/>
      <c r="BW66" s="669"/>
      <c r="BX66" s="669"/>
      <c r="BY66" s="669"/>
      <c r="BZ66" s="669"/>
      <c r="CA66" s="669"/>
      <c r="CB66" s="669"/>
      <c r="CC66" s="669"/>
      <c r="CD66" s="669"/>
      <c r="CE66" s="669"/>
      <c r="CF66" s="669"/>
      <c r="CG66" s="669"/>
      <c r="CH66" s="669"/>
      <c r="CI66" s="669"/>
      <c r="CJ66" s="669"/>
      <c r="CK66" s="669"/>
      <c r="CL66" s="669"/>
      <c r="CM66" s="669"/>
      <c r="CN66" s="669"/>
      <c r="CO66" s="669"/>
      <c r="CP66" s="669"/>
      <c r="CQ66" s="669"/>
      <c r="CR66" s="669"/>
      <c r="CS66" s="669"/>
      <c r="CT66" s="669"/>
      <c r="CU66" s="669"/>
      <c r="CV66" s="669"/>
      <c r="CW66" s="9"/>
      <c r="CX66" s="9"/>
      <c r="CY66" s="9"/>
      <c r="CZ66" s="9"/>
      <c r="DA66" s="9"/>
      <c r="DB66" s="9"/>
      <c r="DC66" s="9"/>
      <c r="DD66" s="9"/>
      <c r="DE66" s="9"/>
      <c r="DF66" s="9"/>
      <c r="DG66" s="9"/>
      <c r="DH66" s="9"/>
      <c r="DI66" s="9"/>
      <c r="DJ66" s="9"/>
      <c r="DK66" s="9"/>
      <c r="DL66" s="9"/>
      <c r="DM66" s="9"/>
      <c r="DN66" s="9"/>
      <c r="DO66" s="9"/>
      <c r="DP66" s="9"/>
      <c r="DQ66" s="9"/>
      <c r="DR66" s="9"/>
      <c r="DS66" s="9"/>
      <c r="DT66" s="9"/>
      <c r="DU66" s="9"/>
      <c r="DV66" s="9"/>
      <c r="DW66" s="9"/>
      <c r="DX66" s="9"/>
      <c r="DY66" s="9"/>
      <c r="DZ66" s="9"/>
      <c r="EA66" s="9"/>
      <c r="EB66" s="9"/>
      <c r="EC66" s="9"/>
      <c r="ED66" s="9"/>
      <c r="EE66" s="9"/>
      <c r="EF66" s="9"/>
      <c r="EG66" s="9"/>
      <c r="EH66" s="9"/>
      <c r="EI66" s="9"/>
      <c r="EJ66" s="9"/>
      <c r="EK66" s="9"/>
      <c r="EL66" s="9"/>
      <c r="EM66" s="9"/>
      <c r="EN66" s="9"/>
      <c r="EO66" s="9"/>
      <c r="EP66" s="9"/>
      <c r="EQ66" s="9"/>
      <c r="ER66" s="9"/>
      <c r="ES66" s="9"/>
      <c r="ET66" s="9"/>
      <c r="EU66" s="9"/>
      <c r="EV66" s="9"/>
      <c r="EW66" s="9"/>
      <c r="EX66" s="9"/>
      <c r="EY66" s="9"/>
      <c r="EZ66" s="9"/>
      <c r="FA66" s="9"/>
      <c r="FB66" s="9"/>
      <c r="FC66" s="9"/>
      <c r="FD66" s="9"/>
      <c r="FE66" s="9"/>
      <c r="FF66" s="9"/>
      <c r="FG66" s="9"/>
      <c r="FH66" s="9"/>
      <c r="FI66" s="9"/>
      <c r="FJ66" s="9"/>
      <c r="FK66" s="9"/>
      <c r="FL66" s="9"/>
      <c r="FM66" s="9"/>
      <c r="FN66" s="9"/>
      <c r="FO66" s="9"/>
      <c r="FP66" s="9"/>
      <c r="FQ66" s="9"/>
      <c r="FR66" s="9"/>
      <c r="FS66" s="9"/>
      <c r="FT66" s="9"/>
      <c r="FU66" s="9"/>
      <c r="FV66" s="9"/>
      <c r="FW66" s="9"/>
      <c r="FX66" s="9"/>
      <c r="FY66" s="9"/>
      <c r="FZ66" s="9"/>
      <c r="GA66" s="9"/>
      <c r="GB66" s="9"/>
      <c r="GC66" s="9"/>
      <c r="GD66" s="9"/>
      <c r="GE66" s="9"/>
      <c r="GF66" s="9"/>
      <c r="GG66" s="9"/>
      <c r="GH66" s="9"/>
      <c r="GI66" s="9"/>
      <c r="GJ66" s="9"/>
      <c r="GK66" s="9"/>
      <c r="GL66" s="9"/>
      <c r="GM66" s="9"/>
      <c r="GN66" s="9"/>
      <c r="GO66" s="9"/>
      <c r="GP66" s="9"/>
      <c r="GQ66" s="9"/>
      <c r="GR66" s="9"/>
      <c r="GS66" s="9"/>
      <c r="GT66" s="9"/>
      <c r="GU66" s="9"/>
      <c r="GV66" s="9"/>
      <c r="GW66" s="9"/>
      <c r="GX66" s="9"/>
      <c r="GY66" s="9"/>
      <c r="GZ66" s="9"/>
      <c r="HA66" s="9"/>
      <c r="HB66" s="9"/>
      <c r="HC66" s="9"/>
      <c r="HD66" s="9"/>
      <c r="HE66" s="9"/>
      <c r="HF66" s="9"/>
      <c r="HG66" s="9"/>
      <c r="HH66" s="9"/>
      <c r="HI66" s="9"/>
      <c r="HJ66" s="9"/>
      <c r="HK66" s="9"/>
      <c r="HL66" s="9"/>
      <c r="HM66" s="9"/>
      <c r="HN66" s="9"/>
      <c r="HO66" s="9"/>
      <c r="HP66" s="9"/>
      <c r="HQ66" s="9"/>
      <c r="HR66" s="9"/>
      <c r="HS66" s="9"/>
      <c r="HT66" s="9"/>
      <c r="HU66" s="9"/>
      <c r="HV66" s="9"/>
      <c r="HW66" s="9"/>
      <c r="HX66" s="9"/>
    </row>
    <row r="67" spans="1:232" ht="14.1" customHeight="1">
      <c r="A67" s="9"/>
      <c r="B67" s="9"/>
      <c r="C67" s="9"/>
      <c r="D67" s="9"/>
      <c r="E67" s="9"/>
      <c r="F67" s="9"/>
      <c r="G67" s="9"/>
      <c r="H67" s="9"/>
      <c r="I67" s="9"/>
      <c r="J67" s="9"/>
      <c r="K67" s="23"/>
      <c r="L67" s="943"/>
      <c r="M67" s="610"/>
      <c r="N67" s="610"/>
      <c r="O67" s="610"/>
      <c r="P67" s="610"/>
      <c r="Q67" s="610"/>
      <c r="R67" s="610"/>
      <c r="S67" s="669"/>
      <c r="T67" s="669"/>
      <c r="U67" s="669"/>
      <c r="V67" s="669"/>
      <c r="W67" s="669"/>
      <c r="X67" s="669"/>
      <c r="Y67" s="669"/>
      <c r="Z67" s="669"/>
      <c r="AA67" s="669"/>
      <c r="AB67" s="669"/>
      <c r="AC67" s="669"/>
      <c r="AD67" s="669"/>
      <c r="AE67" s="669"/>
      <c r="AF67" s="669"/>
      <c r="AG67" s="669"/>
      <c r="AH67" s="669"/>
      <c r="AI67" s="669"/>
      <c r="AJ67" s="669"/>
      <c r="AK67" s="669"/>
      <c r="AL67" s="669"/>
      <c r="AM67" s="669"/>
      <c r="AN67" s="669"/>
      <c r="AO67" s="669"/>
      <c r="AP67" s="669"/>
      <c r="AQ67" s="669"/>
      <c r="AR67" s="669"/>
      <c r="AS67" s="669"/>
      <c r="AT67" s="669"/>
      <c r="AU67" s="669"/>
      <c r="AV67" s="669"/>
      <c r="AW67" s="669"/>
      <c r="AX67" s="669"/>
      <c r="AY67" s="669"/>
      <c r="AZ67" s="669"/>
      <c r="BA67" s="669"/>
      <c r="BB67" s="669"/>
      <c r="BC67" s="669"/>
      <c r="BD67" s="669"/>
      <c r="BE67" s="669"/>
      <c r="BF67" s="669"/>
      <c r="BG67" s="669"/>
      <c r="BH67" s="669"/>
      <c r="BI67" s="669"/>
      <c r="BJ67" s="669"/>
      <c r="BK67" s="669"/>
      <c r="BL67" s="669"/>
      <c r="BM67" s="669"/>
      <c r="BN67" s="669"/>
      <c r="BO67" s="669"/>
      <c r="BP67" s="669"/>
      <c r="BQ67" s="669"/>
      <c r="BR67" s="669"/>
      <c r="BS67" s="669"/>
      <c r="BT67" s="669"/>
      <c r="BU67" s="669"/>
      <c r="BV67" s="669"/>
      <c r="BW67" s="669"/>
      <c r="BX67" s="669"/>
      <c r="BY67" s="669"/>
      <c r="BZ67" s="669"/>
      <c r="CA67" s="669"/>
      <c r="CB67" s="669"/>
      <c r="CC67" s="669"/>
      <c r="CD67" s="669"/>
      <c r="CE67" s="669"/>
      <c r="CF67" s="669"/>
      <c r="CG67" s="669"/>
      <c r="CH67" s="669"/>
      <c r="CI67" s="669"/>
      <c r="CJ67" s="669"/>
      <c r="CK67" s="669"/>
      <c r="CL67" s="669"/>
      <c r="CM67" s="669"/>
      <c r="CN67" s="669"/>
      <c r="CO67" s="669"/>
      <c r="CP67" s="669"/>
      <c r="CQ67" s="669"/>
      <c r="CR67" s="669"/>
      <c r="CS67" s="669"/>
      <c r="CT67" s="669"/>
      <c r="CU67" s="669"/>
      <c r="CV67" s="669"/>
      <c r="CW67" s="9"/>
      <c r="CX67" s="9"/>
      <c r="CY67" s="9"/>
      <c r="CZ67" s="9"/>
      <c r="DA67" s="9"/>
      <c r="DB67" s="9"/>
      <c r="DC67" s="9"/>
      <c r="DD67" s="9"/>
      <c r="DE67" s="9"/>
      <c r="DF67" s="9"/>
      <c r="DG67" s="9"/>
      <c r="DH67" s="9"/>
      <c r="DI67" s="9"/>
      <c r="DJ67" s="9"/>
      <c r="DK67" s="9"/>
      <c r="DL67" s="9"/>
      <c r="DM67" s="9"/>
      <c r="DN67" s="9"/>
      <c r="DO67" s="9"/>
      <c r="DP67" s="9"/>
      <c r="DQ67" s="9"/>
      <c r="DR67" s="9"/>
      <c r="DS67" s="9"/>
      <c r="DT67" s="9"/>
      <c r="DU67" s="9"/>
      <c r="DV67" s="9"/>
      <c r="DW67" s="9"/>
      <c r="DX67" s="9"/>
      <c r="DY67" s="9"/>
      <c r="DZ67" s="9"/>
      <c r="EA67" s="9"/>
      <c r="EB67" s="9"/>
      <c r="EC67" s="9"/>
      <c r="ED67" s="9"/>
      <c r="EE67" s="9"/>
      <c r="EF67" s="9"/>
      <c r="EG67" s="9"/>
      <c r="EH67" s="9"/>
      <c r="EI67" s="9"/>
      <c r="EJ67" s="9"/>
      <c r="EK67" s="9"/>
      <c r="EL67" s="9"/>
      <c r="EM67" s="9"/>
      <c r="EN67" s="9"/>
      <c r="EO67" s="9"/>
      <c r="EP67" s="9"/>
      <c r="EQ67" s="9"/>
      <c r="ER67" s="9"/>
      <c r="ES67" s="9"/>
      <c r="ET67" s="9"/>
      <c r="EU67" s="9"/>
      <c r="EV67" s="9"/>
      <c r="EW67" s="9"/>
      <c r="EX67" s="9"/>
      <c r="EY67" s="9"/>
      <c r="EZ67" s="9"/>
      <c r="FA67" s="9"/>
      <c r="FB67" s="9"/>
      <c r="FC67" s="9"/>
      <c r="FD67" s="9"/>
      <c r="FE67" s="9"/>
      <c r="FF67" s="9"/>
      <c r="FG67" s="9"/>
      <c r="FH67" s="9"/>
      <c r="FI67" s="9"/>
      <c r="FJ67" s="9"/>
      <c r="FK67" s="9"/>
      <c r="FL67" s="9"/>
      <c r="FM67" s="9"/>
      <c r="FN67" s="9"/>
      <c r="FO67" s="9"/>
      <c r="FP67" s="9"/>
      <c r="FQ67" s="9"/>
      <c r="FR67" s="9"/>
      <c r="FS67" s="9"/>
      <c r="FT67" s="9"/>
      <c r="FU67" s="9"/>
      <c r="FV67" s="9"/>
      <c r="FW67" s="9"/>
      <c r="FX67" s="9"/>
      <c r="FY67" s="9"/>
      <c r="FZ67" s="9"/>
      <c r="GA67" s="9"/>
      <c r="GB67" s="9"/>
      <c r="GC67" s="9"/>
      <c r="GD67" s="9"/>
      <c r="GE67" s="9"/>
      <c r="GF67" s="9"/>
      <c r="GG67" s="9"/>
      <c r="GH67" s="9"/>
      <c r="GI67" s="9"/>
      <c r="GJ67" s="9"/>
      <c r="GK67" s="9"/>
      <c r="GL67" s="9"/>
      <c r="GM67" s="9"/>
      <c r="GN67" s="9"/>
      <c r="GO67" s="9"/>
      <c r="GP67" s="9"/>
      <c r="GQ67" s="9"/>
      <c r="GR67" s="9"/>
      <c r="GS67" s="9"/>
      <c r="GT67" s="9"/>
      <c r="GU67" s="9"/>
      <c r="GV67" s="9"/>
      <c r="GW67" s="9"/>
      <c r="GX67" s="9"/>
      <c r="GY67" s="9"/>
      <c r="GZ67" s="9"/>
      <c r="HA67" s="9"/>
      <c r="HB67" s="9"/>
      <c r="HC67" s="9"/>
      <c r="HD67" s="9"/>
      <c r="HE67" s="9"/>
      <c r="HF67" s="9"/>
      <c r="HG67" s="9"/>
      <c r="HH67" s="9"/>
      <c r="HI67" s="9"/>
      <c r="HJ67" s="9"/>
      <c r="HK67" s="9"/>
      <c r="HL67" s="9"/>
      <c r="HM67" s="9"/>
      <c r="HN67" s="9"/>
      <c r="HO67" s="9"/>
      <c r="HP67" s="9"/>
      <c r="HQ67" s="9"/>
      <c r="HR67" s="9"/>
      <c r="HS67" s="9"/>
      <c r="HT67" s="9"/>
      <c r="HU67" s="9"/>
      <c r="HV67" s="9"/>
      <c r="HW67" s="9"/>
      <c r="HX67" s="9"/>
    </row>
    <row r="68" spans="1:232" ht="14.1" customHeight="1">
      <c r="A68" s="9"/>
      <c r="B68" s="9"/>
      <c r="C68" s="9"/>
      <c r="D68" s="9"/>
      <c r="E68" s="9"/>
      <c r="F68" s="9"/>
      <c r="G68" s="9"/>
      <c r="H68" s="9"/>
      <c r="I68" s="9"/>
      <c r="J68" s="9"/>
      <c r="K68" s="23"/>
      <c r="L68" s="943"/>
      <c r="M68" s="610"/>
      <c r="N68" s="610"/>
      <c r="O68" s="610"/>
      <c r="P68" s="610"/>
      <c r="Q68" s="610"/>
      <c r="R68" s="610"/>
      <c r="S68" s="669"/>
      <c r="T68" s="669"/>
      <c r="U68" s="669"/>
      <c r="V68" s="669"/>
      <c r="W68" s="669"/>
      <c r="X68" s="669"/>
      <c r="Y68" s="669"/>
      <c r="Z68" s="669"/>
      <c r="AA68" s="669"/>
      <c r="AB68" s="669"/>
      <c r="AC68" s="669"/>
      <c r="AD68" s="669"/>
      <c r="AE68" s="669"/>
      <c r="AF68" s="669"/>
      <c r="AG68" s="669"/>
      <c r="AH68" s="669"/>
      <c r="AI68" s="669"/>
      <c r="AJ68" s="669"/>
      <c r="AK68" s="669"/>
      <c r="AL68" s="669"/>
      <c r="AM68" s="669"/>
      <c r="AN68" s="669"/>
      <c r="AO68" s="669"/>
      <c r="AP68" s="669"/>
      <c r="AQ68" s="669"/>
      <c r="AR68" s="669"/>
      <c r="AS68" s="669"/>
      <c r="AT68" s="669"/>
      <c r="AU68" s="669"/>
      <c r="AV68" s="669"/>
      <c r="AW68" s="669"/>
      <c r="AX68" s="669"/>
      <c r="AY68" s="669"/>
      <c r="AZ68" s="669"/>
      <c r="BA68" s="669"/>
      <c r="BB68" s="669"/>
      <c r="BC68" s="669"/>
      <c r="BD68" s="669"/>
      <c r="BE68" s="669"/>
      <c r="BF68" s="669"/>
      <c r="BG68" s="669"/>
      <c r="BH68" s="669"/>
      <c r="BI68" s="669"/>
      <c r="BJ68" s="669"/>
      <c r="BK68" s="669"/>
      <c r="BL68" s="669"/>
      <c r="BM68" s="669"/>
      <c r="BN68" s="669"/>
      <c r="BO68" s="669"/>
      <c r="BP68" s="669"/>
      <c r="BQ68" s="669"/>
      <c r="BR68" s="669"/>
      <c r="BS68" s="669"/>
      <c r="BT68" s="669"/>
      <c r="BU68" s="669"/>
      <c r="BV68" s="669"/>
      <c r="BW68" s="669"/>
      <c r="BX68" s="669"/>
      <c r="BY68" s="669"/>
      <c r="BZ68" s="669"/>
      <c r="CA68" s="669"/>
      <c r="CB68" s="669"/>
      <c r="CC68" s="669"/>
      <c r="CD68" s="669"/>
      <c r="CE68" s="669"/>
      <c r="CF68" s="669"/>
      <c r="CG68" s="669"/>
      <c r="CH68" s="669"/>
      <c r="CI68" s="669"/>
      <c r="CJ68" s="669"/>
      <c r="CK68" s="669"/>
      <c r="CL68" s="669"/>
      <c r="CM68" s="669"/>
      <c r="CN68" s="669"/>
      <c r="CO68" s="669"/>
      <c r="CP68" s="669"/>
      <c r="CQ68" s="669"/>
      <c r="CR68" s="669"/>
      <c r="CS68" s="669"/>
      <c r="CT68" s="669"/>
      <c r="CU68" s="669"/>
      <c r="CV68" s="669"/>
      <c r="CW68" s="9"/>
      <c r="CX68" s="9"/>
      <c r="CY68" s="9"/>
      <c r="CZ68" s="9"/>
      <c r="DA68" s="9"/>
      <c r="DB68" s="9"/>
      <c r="DC68" s="9"/>
      <c r="DD68" s="9"/>
      <c r="DE68" s="9"/>
      <c r="DF68" s="9"/>
      <c r="DG68" s="9"/>
      <c r="DH68" s="9"/>
      <c r="DI68" s="9"/>
      <c r="DJ68" s="9"/>
      <c r="DK68" s="9"/>
      <c r="DL68" s="9"/>
      <c r="DM68" s="9"/>
      <c r="DN68" s="9"/>
      <c r="DO68" s="9"/>
      <c r="DP68" s="9"/>
      <c r="DQ68" s="9"/>
      <c r="DR68" s="9"/>
      <c r="DS68" s="9"/>
      <c r="DT68" s="9"/>
      <c r="DU68" s="9"/>
      <c r="DV68" s="9"/>
      <c r="DW68" s="9"/>
      <c r="DX68" s="9"/>
      <c r="DY68" s="9"/>
      <c r="DZ68" s="9"/>
      <c r="EA68" s="9"/>
      <c r="EB68" s="9"/>
      <c r="EC68" s="9"/>
      <c r="ED68" s="9"/>
      <c r="EE68" s="9"/>
      <c r="EF68" s="9"/>
      <c r="EG68" s="9"/>
      <c r="EH68" s="9"/>
      <c r="EI68" s="9"/>
      <c r="EJ68" s="9"/>
      <c r="EK68" s="9"/>
      <c r="EL68" s="9"/>
      <c r="EM68" s="9"/>
      <c r="EN68" s="9"/>
      <c r="EO68" s="9"/>
      <c r="EP68" s="9"/>
      <c r="EQ68" s="9"/>
      <c r="ER68" s="9"/>
      <c r="ES68" s="9"/>
      <c r="ET68" s="9"/>
      <c r="EU68" s="9"/>
      <c r="EV68" s="9"/>
      <c r="EW68" s="9"/>
      <c r="EX68" s="9"/>
      <c r="EY68" s="9"/>
      <c r="EZ68" s="9"/>
      <c r="FA68" s="9"/>
      <c r="FB68" s="9"/>
      <c r="FC68" s="9"/>
      <c r="FD68" s="9"/>
      <c r="FE68" s="9"/>
      <c r="FF68" s="9"/>
      <c r="FG68" s="9"/>
      <c r="FH68" s="9"/>
      <c r="FI68" s="9"/>
      <c r="FJ68" s="9"/>
      <c r="FK68" s="9"/>
      <c r="FL68" s="9"/>
      <c r="FM68" s="9"/>
      <c r="FN68" s="9"/>
      <c r="FO68" s="9"/>
      <c r="FP68" s="9"/>
      <c r="FQ68" s="9"/>
      <c r="FR68" s="9"/>
      <c r="FS68" s="9"/>
      <c r="FT68" s="9"/>
      <c r="FU68" s="9"/>
      <c r="FV68" s="9"/>
      <c r="FW68" s="9"/>
      <c r="FX68" s="9"/>
      <c r="FY68" s="9"/>
      <c r="FZ68" s="9"/>
      <c r="GA68" s="9"/>
      <c r="GB68" s="9"/>
      <c r="GC68" s="9"/>
      <c r="GD68" s="9"/>
      <c r="GE68" s="9"/>
      <c r="GF68" s="9"/>
      <c r="GG68" s="9"/>
      <c r="GH68" s="9"/>
      <c r="GI68" s="9"/>
      <c r="GJ68" s="9"/>
      <c r="GK68" s="9"/>
      <c r="GL68" s="9"/>
      <c r="GM68" s="9"/>
      <c r="GN68" s="9"/>
      <c r="GO68" s="9"/>
      <c r="GP68" s="9"/>
      <c r="GQ68" s="9"/>
      <c r="GR68" s="9"/>
      <c r="GS68" s="9"/>
      <c r="GT68" s="9"/>
      <c r="GU68" s="9"/>
      <c r="GV68" s="9"/>
      <c r="GW68" s="9"/>
      <c r="GX68" s="9"/>
      <c r="GY68" s="9"/>
      <c r="GZ68" s="9"/>
      <c r="HA68" s="9"/>
      <c r="HB68" s="9"/>
      <c r="HC68" s="9"/>
      <c r="HD68" s="9"/>
      <c r="HE68" s="9"/>
      <c r="HF68" s="9"/>
      <c r="HG68" s="9"/>
      <c r="HH68" s="9"/>
      <c r="HI68" s="9"/>
      <c r="HJ68" s="9"/>
      <c r="HK68" s="9"/>
      <c r="HL68" s="9"/>
      <c r="HM68" s="9"/>
      <c r="HN68" s="9"/>
      <c r="HO68" s="9"/>
      <c r="HP68" s="9"/>
      <c r="HQ68" s="9"/>
      <c r="HR68" s="9"/>
      <c r="HS68" s="9"/>
      <c r="HT68" s="9"/>
      <c r="HU68" s="9"/>
      <c r="HV68" s="9"/>
      <c r="HW68" s="9"/>
      <c r="HX68" s="9"/>
    </row>
    <row r="69" spans="1:232" ht="14.1" customHeight="1">
      <c r="A69" s="9"/>
      <c r="B69" s="9"/>
      <c r="C69" s="9"/>
      <c r="D69" s="9"/>
      <c r="E69" s="9"/>
      <c r="F69" s="9"/>
      <c r="G69" s="9"/>
      <c r="H69" s="9"/>
      <c r="I69" s="9"/>
      <c r="J69" s="9"/>
      <c r="K69" s="23"/>
      <c r="L69" s="943"/>
      <c r="M69" s="610"/>
      <c r="N69" s="610"/>
      <c r="O69" s="610"/>
      <c r="P69" s="610"/>
      <c r="Q69" s="610"/>
      <c r="R69" s="610"/>
      <c r="S69" s="669"/>
      <c r="T69" s="669"/>
      <c r="U69" s="669"/>
      <c r="V69" s="669"/>
      <c r="W69" s="669"/>
      <c r="X69" s="669"/>
      <c r="Y69" s="669"/>
      <c r="Z69" s="669"/>
      <c r="AA69" s="669"/>
      <c r="AB69" s="669"/>
      <c r="AC69" s="669"/>
      <c r="AD69" s="669"/>
      <c r="AE69" s="669"/>
      <c r="AF69" s="669"/>
      <c r="AG69" s="669"/>
      <c r="AH69" s="669"/>
      <c r="AI69" s="669"/>
      <c r="AJ69" s="669"/>
      <c r="AK69" s="669"/>
      <c r="AL69" s="669"/>
      <c r="AM69" s="669"/>
      <c r="AN69" s="669"/>
      <c r="AO69" s="669"/>
      <c r="AP69" s="669"/>
      <c r="AQ69" s="669"/>
      <c r="AR69" s="669"/>
      <c r="AS69" s="669"/>
      <c r="AT69" s="669"/>
      <c r="AU69" s="669"/>
      <c r="AV69" s="669"/>
      <c r="AW69" s="669"/>
      <c r="AX69" s="669"/>
      <c r="AY69" s="669"/>
      <c r="AZ69" s="669"/>
      <c r="BA69" s="669"/>
      <c r="BB69" s="669"/>
      <c r="BC69" s="669"/>
      <c r="BD69" s="669"/>
      <c r="BE69" s="669"/>
      <c r="BF69" s="669"/>
      <c r="BG69" s="669"/>
      <c r="BH69" s="669"/>
      <c r="BI69" s="669"/>
      <c r="BJ69" s="669"/>
      <c r="BK69" s="669"/>
      <c r="BL69" s="669"/>
      <c r="BM69" s="669"/>
      <c r="BN69" s="669"/>
      <c r="BO69" s="669"/>
      <c r="BP69" s="669"/>
      <c r="BQ69" s="669"/>
      <c r="BR69" s="669"/>
      <c r="BS69" s="669"/>
      <c r="BT69" s="669"/>
      <c r="BU69" s="669"/>
      <c r="BV69" s="669"/>
      <c r="BW69" s="669"/>
      <c r="BX69" s="669"/>
      <c r="BY69" s="669"/>
      <c r="BZ69" s="669"/>
      <c r="CA69" s="669"/>
      <c r="CB69" s="669"/>
      <c r="CC69" s="669"/>
      <c r="CD69" s="669"/>
      <c r="CE69" s="669"/>
      <c r="CF69" s="669"/>
      <c r="CG69" s="669"/>
      <c r="CH69" s="669"/>
      <c r="CI69" s="669"/>
      <c r="CJ69" s="669"/>
      <c r="CK69" s="669"/>
      <c r="CL69" s="669"/>
      <c r="CM69" s="669"/>
      <c r="CN69" s="669"/>
      <c r="CO69" s="669"/>
      <c r="CP69" s="669"/>
      <c r="CQ69" s="669"/>
      <c r="CR69" s="669"/>
      <c r="CS69" s="669"/>
      <c r="CT69" s="669"/>
      <c r="CU69" s="669"/>
      <c r="CV69" s="669"/>
      <c r="CW69" s="9"/>
      <c r="CX69" s="9"/>
      <c r="CY69" s="9"/>
      <c r="CZ69" s="9"/>
      <c r="DA69" s="9"/>
      <c r="DB69" s="9"/>
      <c r="DC69" s="9"/>
      <c r="DD69" s="9"/>
      <c r="DE69" s="9"/>
      <c r="DF69" s="9"/>
      <c r="DG69" s="9"/>
      <c r="DH69" s="9"/>
      <c r="DI69" s="9"/>
      <c r="DJ69" s="9"/>
      <c r="DK69" s="9"/>
      <c r="DL69" s="9"/>
      <c r="DM69" s="9"/>
      <c r="DN69" s="9"/>
      <c r="DO69" s="9"/>
      <c r="DP69" s="9"/>
      <c r="DQ69" s="9"/>
      <c r="DR69" s="9"/>
      <c r="DS69" s="9"/>
      <c r="DT69" s="9"/>
      <c r="DU69" s="9"/>
      <c r="DV69" s="9"/>
      <c r="DW69" s="9"/>
      <c r="DX69" s="9"/>
      <c r="DY69" s="9"/>
      <c r="DZ69" s="9"/>
      <c r="EA69" s="9"/>
      <c r="EB69" s="9"/>
      <c r="EC69" s="9"/>
      <c r="ED69" s="9"/>
      <c r="EE69" s="9"/>
      <c r="EF69" s="9"/>
      <c r="EG69" s="9"/>
      <c r="EH69" s="9"/>
      <c r="EI69" s="9"/>
      <c r="EJ69" s="9"/>
      <c r="EK69" s="9"/>
      <c r="EL69" s="9"/>
      <c r="EM69" s="9"/>
      <c r="EN69" s="9"/>
      <c r="EO69" s="9"/>
      <c r="EP69" s="9"/>
      <c r="EQ69" s="9"/>
      <c r="ER69" s="9"/>
      <c r="ES69" s="9"/>
      <c r="ET69" s="9"/>
      <c r="EU69" s="9"/>
      <c r="EV69" s="9"/>
      <c r="EW69" s="9"/>
      <c r="EX69" s="9"/>
      <c r="EY69" s="9"/>
      <c r="EZ69" s="9"/>
      <c r="FA69" s="9"/>
      <c r="FB69" s="9"/>
      <c r="FC69" s="9"/>
      <c r="FD69" s="9"/>
      <c r="FE69" s="9"/>
      <c r="FF69" s="9"/>
      <c r="FG69" s="9"/>
      <c r="FH69" s="9"/>
      <c r="FI69" s="9"/>
      <c r="FJ69" s="9"/>
      <c r="FK69" s="9"/>
      <c r="FL69" s="9"/>
      <c r="FM69" s="9"/>
      <c r="FN69" s="9"/>
      <c r="FO69" s="9"/>
      <c r="FP69" s="9"/>
      <c r="FQ69" s="9"/>
      <c r="FR69" s="9"/>
      <c r="FS69" s="9"/>
      <c r="FT69" s="9"/>
      <c r="FU69" s="9"/>
      <c r="FV69" s="9"/>
      <c r="FW69" s="9"/>
      <c r="FX69" s="9"/>
      <c r="FY69" s="9"/>
      <c r="FZ69" s="9"/>
      <c r="GA69" s="9"/>
      <c r="GB69" s="9"/>
      <c r="GC69" s="9"/>
      <c r="GD69" s="9"/>
      <c r="GE69" s="9"/>
      <c r="GF69" s="9"/>
      <c r="GG69" s="9"/>
      <c r="GH69" s="9"/>
      <c r="GI69" s="9"/>
      <c r="GJ69" s="9"/>
      <c r="GK69" s="9"/>
      <c r="GL69" s="9"/>
      <c r="GM69" s="9"/>
      <c r="GN69" s="9"/>
      <c r="GO69" s="9"/>
      <c r="GP69" s="9"/>
      <c r="GQ69" s="9"/>
      <c r="GR69" s="9"/>
      <c r="GS69" s="9"/>
      <c r="GT69" s="9"/>
      <c r="GU69" s="9"/>
      <c r="GV69" s="9"/>
      <c r="GW69" s="9"/>
      <c r="GX69" s="9"/>
      <c r="GY69" s="9"/>
      <c r="GZ69" s="9"/>
      <c r="HA69" s="9"/>
      <c r="HB69" s="9"/>
      <c r="HC69" s="9"/>
      <c r="HD69" s="9"/>
      <c r="HE69" s="9"/>
      <c r="HF69" s="9"/>
      <c r="HG69" s="9"/>
      <c r="HH69" s="9"/>
      <c r="HI69" s="9"/>
      <c r="HJ69" s="9"/>
      <c r="HK69" s="9"/>
      <c r="HL69" s="9"/>
      <c r="HM69" s="9"/>
      <c r="HN69" s="9"/>
      <c r="HO69" s="9"/>
      <c r="HP69" s="9"/>
      <c r="HQ69" s="9"/>
      <c r="HR69" s="9"/>
      <c r="HS69" s="9"/>
      <c r="HT69" s="9"/>
      <c r="HU69" s="9"/>
      <c r="HV69" s="9"/>
      <c r="HW69" s="9"/>
      <c r="HX69" s="9"/>
    </row>
    <row r="70" spans="1:232" ht="14.1" customHeight="1">
      <c r="A70" s="9"/>
      <c r="B70" s="9"/>
      <c r="C70" s="9"/>
      <c r="D70" s="9"/>
      <c r="E70" s="9"/>
      <c r="F70" s="9"/>
      <c r="G70" s="9"/>
      <c r="H70" s="9"/>
      <c r="I70" s="9"/>
      <c r="J70" s="9"/>
      <c r="K70" s="23"/>
      <c r="L70" s="943"/>
      <c r="M70" s="610"/>
      <c r="N70" s="610"/>
      <c r="O70" s="610"/>
      <c r="P70" s="610"/>
      <c r="Q70" s="610"/>
      <c r="R70" s="610"/>
      <c r="S70" s="669"/>
      <c r="T70" s="669"/>
      <c r="U70" s="669"/>
      <c r="V70" s="669"/>
      <c r="W70" s="669"/>
      <c r="X70" s="669"/>
      <c r="Y70" s="669"/>
      <c r="Z70" s="669"/>
      <c r="AA70" s="669"/>
      <c r="AB70" s="669"/>
      <c r="AC70" s="669"/>
      <c r="AD70" s="669"/>
      <c r="AE70" s="669"/>
      <c r="AF70" s="669"/>
      <c r="AG70" s="669"/>
      <c r="AH70" s="669"/>
      <c r="AI70" s="669"/>
      <c r="AJ70" s="669"/>
      <c r="AK70" s="669"/>
      <c r="AL70" s="669"/>
      <c r="AM70" s="669"/>
      <c r="AN70" s="669"/>
      <c r="AO70" s="669"/>
      <c r="AP70" s="669"/>
      <c r="AQ70" s="669"/>
      <c r="AR70" s="669"/>
      <c r="AS70" s="669"/>
      <c r="AT70" s="669"/>
      <c r="AU70" s="669"/>
      <c r="AV70" s="669"/>
      <c r="AW70" s="669"/>
      <c r="AX70" s="669"/>
      <c r="AY70" s="669"/>
      <c r="AZ70" s="669"/>
      <c r="BA70" s="669"/>
      <c r="BB70" s="669"/>
      <c r="BC70" s="669"/>
      <c r="BD70" s="669"/>
      <c r="BE70" s="669"/>
      <c r="BF70" s="669"/>
      <c r="BG70" s="669"/>
      <c r="BH70" s="669"/>
      <c r="BI70" s="669"/>
      <c r="BJ70" s="669"/>
      <c r="BK70" s="669"/>
      <c r="BL70" s="669"/>
      <c r="BM70" s="669"/>
      <c r="BN70" s="669"/>
      <c r="BO70" s="669"/>
      <c r="BP70" s="669"/>
      <c r="BQ70" s="669"/>
      <c r="BR70" s="669"/>
      <c r="BS70" s="669"/>
      <c r="BT70" s="669"/>
      <c r="BU70" s="669"/>
      <c r="BV70" s="669"/>
      <c r="BW70" s="669"/>
      <c r="BX70" s="669"/>
      <c r="BY70" s="669"/>
      <c r="BZ70" s="669"/>
      <c r="CA70" s="669"/>
      <c r="CB70" s="669"/>
      <c r="CC70" s="669"/>
      <c r="CD70" s="669"/>
      <c r="CE70" s="669"/>
      <c r="CF70" s="669"/>
      <c r="CG70" s="669"/>
      <c r="CH70" s="669"/>
      <c r="CI70" s="669"/>
      <c r="CJ70" s="669"/>
      <c r="CK70" s="669"/>
      <c r="CL70" s="669"/>
      <c r="CM70" s="669"/>
      <c r="CN70" s="669"/>
      <c r="CO70" s="669"/>
      <c r="CP70" s="669"/>
      <c r="CQ70" s="669"/>
      <c r="CR70" s="669"/>
      <c r="CS70" s="669"/>
      <c r="CT70" s="669"/>
      <c r="CU70" s="669"/>
      <c r="CV70" s="669"/>
      <c r="CW70" s="9"/>
      <c r="CX70" s="9"/>
      <c r="CY70" s="9"/>
      <c r="CZ70" s="9"/>
      <c r="DA70" s="9"/>
      <c r="DB70" s="9"/>
      <c r="DC70" s="9"/>
      <c r="DD70" s="9"/>
      <c r="DE70" s="9"/>
      <c r="DF70" s="9"/>
      <c r="DG70" s="9"/>
      <c r="DH70" s="9"/>
      <c r="DI70" s="9"/>
      <c r="DJ70" s="9"/>
      <c r="DK70" s="9"/>
      <c r="DL70" s="9"/>
      <c r="DM70" s="9"/>
      <c r="DN70" s="9"/>
      <c r="DO70" s="9"/>
      <c r="DP70" s="9"/>
      <c r="DQ70" s="9"/>
      <c r="DR70" s="9"/>
      <c r="DS70" s="9"/>
      <c r="DT70" s="9"/>
      <c r="DU70" s="9"/>
      <c r="DV70" s="9"/>
      <c r="DW70" s="9"/>
      <c r="DX70" s="9"/>
      <c r="DY70" s="9"/>
      <c r="DZ70" s="9"/>
      <c r="EA70" s="9"/>
      <c r="EB70" s="9"/>
      <c r="EC70" s="9"/>
      <c r="ED70" s="9"/>
      <c r="EE70" s="9"/>
      <c r="EF70" s="9"/>
      <c r="EG70" s="9"/>
      <c r="EH70" s="9"/>
      <c r="EI70" s="9"/>
      <c r="EJ70" s="9"/>
      <c r="EK70" s="9"/>
      <c r="EL70" s="9"/>
      <c r="EM70" s="9"/>
      <c r="EN70" s="9"/>
      <c r="EO70" s="9"/>
      <c r="EP70" s="9"/>
      <c r="EQ70" s="9"/>
      <c r="ER70" s="9"/>
      <c r="ES70" s="9"/>
      <c r="ET70" s="9"/>
      <c r="EU70" s="9"/>
      <c r="EV70" s="9"/>
      <c r="EW70" s="9"/>
      <c r="EX70" s="9"/>
      <c r="EY70" s="9"/>
      <c r="EZ70" s="9"/>
      <c r="FA70" s="9"/>
      <c r="FB70" s="9"/>
      <c r="FC70" s="9"/>
      <c r="FD70" s="9"/>
      <c r="FE70" s="9"/>
      <c r="FF70" s="9"/>
      <c r="FG70" s="9"/>
      <c r="FH70" s="9"/>
      <c r="FI70" s="9"/>
      <c r="FJ70" s="9"/>
      <c r="FK70" s="9"/>
      <c r="FL70" s="9"/>
      <c r="FM70" s="9"/>
      <c r="FN70" s="9"/>
      <c r="FO70" s="9"/>
      <c r="FP70" s="9"/>
      <c r="FQ70" s="9"/>
      <c r="FR70" s="9"/>
      <c r="FS70" s="9"/>
      <c r="FT70" s="9"/>
      <c r="FU70" s="9"/>
      <c r="FV70" s="9"/>
      <c r="FW70" s="9"/>
      <c r="FX70" s="9"/>
      <c r="FY70" s="9"/>
      <c r="FZ70" s="9"/>
      <c r="GA70" s="9"/>
      <c r="GB70" s="9"/>
      <c r="GC70" s="9"/>
      <c r="GD70" s="9"/>
      <c r="GE70" s="9"/>
      <c r="GF70" s="9"/>
      <c r="GG70" s="9"/>
      <c r="GH70" s="9"/>
      <c r="GI70" s="9"/>
      <c r="GJ70" s="9"/>
      <c r="GK70" s="9"/>
      <c r="GL70" s="9"/>
      <c r="GM70" s="9"/>
      <c r="GN70" s="9"/>
      <c r="GO70" s="9"/>
      <c r="GP70" s="9"/>
      <c r="GQ70" s="9"/>
      <c r="GR70" s="9"/>
      <c r="GS70" s="9"/>
      <c r="GT70" s="9"/>
      <c r="GU70" s="9"/>
      <c r="GV70" s="9"/>
      <c r="GW70" s="9"/>
      <c r="GX70" s="9"/>
      <c r="GY70" s="9"/>
      <c r="GZ70" s="9"/>
      <c r="HA70" s="9"/>
      <c r="HB70" s="9"/>
      <c r="HC70" s="9"/>
      <c r="HD70" s="9"/>
      <c r="HE70" s="9"/>
      <c r="HF70" s="9"/>
      <c r="HG70" s="9"/>
      <c r="HH70" s="9"/>
      <c r="HI70" s="9"/>
      <c r="HJ70" s="9"/>
      <c r="HK70" s="9"/>
      <c r="HL70" s="9"/>
      <c r="HM70" s="9"/>
      <c r="HN70" s="9"/>
      <c r="HO70" s="9"/>
      <c r="HP70" s="9"/>
      <c r="HQ70" s="9"/>
      <c r="HR70" s="9"/>
      <c r="HS70" s="9"/>
      <c r="HT70" s="9"/>
      <c r="HU70" s="9"/>
      <c r="HV70" s="9"/>
      <c r="HW70" s="9"/>
      <c r="HX70" s="9"/>
    </row>
    <row r="71" spans="1:232" ht="14.1" customHeight="1">
      <c r="A71" s="9"/>
      <c r="B71" s="9"/>
      <c r="C71" s="9"/>
      <c r="D71" s="9"/>
      <c r="E71" s="9"/>
      <c r="F71" s="9"/>
      <c r="G71" s="9"/>
      <c r="H71" s="9"/>
      <c r="I71" s="9"/>
      <c r="J71" s="9"/>
      <c r="K71" s="23"/>
      <c r="L71" s="943"/>
      <c r="M71" s="610"/>
      <c r="N71" s="610"/>
      <c r="O71" s="610"/>
      <c r="P71" s="610"/>
      <c r="Q71" s="610"/>
      <c r="R71" s="610"/>
      <c r="S71" s="669"/>
      <c r="T71" s="669"/>
      <c r="U71" s="669"/>
      <c r="V71" s="669"/>
      <c r="W71" s="669"/>
      <c r="X71" s="669"/>
      <c r="Y71" s="669"/>
      <c r="Z71" s="669"/>
      <c r="AA71" s="669"/>
      <c r="AB71" s="669"/>
      <c r="AC71" s="669"/>
      <c r="AD71" s="669"/>
      <c r="AE71" s="669"/>
      <c r="AF71" s="669"/>
      <c r="AG71" s="669"/>
      <c r="AH71" s="669"/>
      <c r="AI71" s="669"/>
      <c r="AJ71" s="669"/>
      <c r="AK71" s="669"/>
      <c r="AL71" s="669"/>
      <c r="AM71" s="669"/>
      <c r="AN71" s="669"/>
      <c r="AO71" s="669"/>
      <c r="AP71" s="669"/>
      <c r="AQ71" s="669"/>
      <c r="AR71" s="669"/>
      <c r="AS71" s="669"/>
      <c r="AT71" s="669"/>
      <c r="AU71" s="669"/>
      <c r="AV71" s="669"/>
      <c r="AW71" s="669"/>
      <c r="AX71" s="669"/>
      <c r="AY71" s="669"/>
      <c r="AZ71" s="669"/>
      <c r="BA71" s="669"/>
      <c r="BB71" s="669"/>
      <c r="BC71" s="669"/>
      <c r="BD71" s="669"/>
      <c r="BE71" s="669"/>
      <c r="BF71" s="669"/>
      <c r="BG71" s="669"/>
      <c r="BH71" s="669"/>
      <c r="BI71" s="669"/>
      <c r="BJ71" s="669"/>
      <c r="BK71" s="669"/>
      <c r="BL71" s="669"/>
      <c r="BM71" s="669"/>
      <c r="BN71" s="669"/>
      <c r="BO71" s="669"/>
      <c r="BP71" s="669"/>
      <c r="BQ71" s="669"/>
      <c r="BR71" s="669"/>
      <c r="BS71" s="669"/>
      <c r="BT71" s="669"/>
      <c r="BU71" s="669"/>
      <c r="BV71" s="669"/>
      <c r="BW71" s="669"/>
      <c r="BX71" s="669"/>
      <c r="BY71" s="669"/>
      <c r="BZ71" s="669"/>
      <c r="CA71" s="669"/>
      <c r="CB71" s="669"/>
      <c r="CC71" s="669"/>
      <c r="CD71" s="669"/>
      <c r="CE71" s="669"/>
      <c r="CF71" s="669"/>
      <c r="CG71" s="669"/>
      <c r="CH71" s="669"/>
      <c r="CI71" s="669"/>
      <c r="CJ71" s="669"/>
      <c r="CK71" s="669"/>
      <c r="CL71" s="669"/>
      <c r="CM71" s="669"/>
      <c r="CN71" s="669"/>
      <c r="CO71" s="669"/>
      <c r="CP71" s="669"/>
      <c r="CQ71" s="669"/>
      <c r="CR71" s="669"/>
      <c r="CS71" s="669"/>
      <c r="CT71" s="669"/>
      <c r="CU71" s="669"/>
      <c r="CV71" s="669"/>
      <c r="CW71" s="9"/>
      <c r="CX71" s="9"/>
      <c r="CY71" s="9"/>
      <c r="CZ71" s="9"/>
      <c r="DA71" s="9"/>
      <c r="DB71" s="9"/>
      <c r="DC71" s="9"/>
      <c r="DD71" s="9"/>
      <c r="DE71" s="9"/>
      <c r="DF71" s="9"/>
      <c r="DG71" s="9"/>
      <c r="DH71" s="9"/>
      <c r="DI71" s="9"/>
      <c r="DJ71" s="9"/>
      <c r="DK71" s="9"/>
      <c r="DL71" s="9"/>
      <c r="DM71" s="9"/>
      <c r="DN71" s="9"/>
      <c r="DO71" s="9"/>
      <c r="DP71" s="9"/>
      <c r="DQ71" s="9"/>
      <c r="DR71" s="9"/>
      <c r="DS71" s="9"/>
      <c r="DT71" s="9"/>
      <c r="DU71" s="9"/>
      <c r="DV71" s="9"/>
      <c r="DW71" s="9"/>
      <c r="DX71" s="9"/>
      <c r="DY71" s="9"/>
      <c r="DZ71" s="9"/>
      <c r="EA71" s="9"/>
      <c r="EB71" s="9"/>
      <c r="EC71" s="9"/>
      <c r="ED71" s="9"/>
      <c r="EE71" s="9"/>
      <c r="EF71" s="9"/>
      <c r="EG71" s="9"/>
      <c r="EH71" s="9"/>
      <c r="EI71" s="9"/>
      <c r="EJ71" s="9"/>
      <c r="EK71" s="9"/>
      <c r="EL71" s="9"/>
      <c r="EM71" s="9"/>
      <c r="EN71" s="9"/>
      <c r="EO71" s="9"/>
      <c r="EP71" s="9"/>
      <c r="EQ71" s="9"/>
      <c r="ER71" s="9"/>
      <c r="ES71" s="9"/>
      <c r="ET71" s="9"/>
      <c r="EU71" s="9"/>
      <c r="EV71" s="9"/>
      <c r="EW71" s="9"/>
      <c r="EX71" s="9"/>
      <c r="EY71" s="9"/>
      <c r="EZ71" s="9"/>
      <c r="FA71" s="9"/>
      <c r="FB71" s="9"/>
      <c r="FC71" s="9"/>
      <c r="FD71" s="9"/>
      <c r="FE71" s="9"/>
      <c r="FF71" s="9"/>
      <c r="FG71" s="9"/>
      <c r="FH71" s="9"/>
      <c r="FI71" s="9"/>
      <c r="FJ71" s="9"/>
      <c r="FK71" s="9"/>
      <c r="FL71" s="9"/>
      <c r="FM71" s="9"/>
      <c r="FN71" s="9"/>
      <c r="FO71" s="9"/>
      <c r="FP71" s="9"/>
      <c r="FQ71" s="9"/>
      <c r="FR71" s="9"/>
      <c r="FS71" s="9"/>
      <c r="FT71" s="9"/>
      <c r="FU71" s="9"/>
      <c r="FV71" s="9"/>
      <c r="FW71" s="9"/>
      <c r="FX71" s="9"/>
      <c r="FY71" s="9"/>
      <c r="FZ71" s="9"/>
      <c r="GA71" s="9"/>
      <c r="GB71" s="9"/>
      <c r="GC71" s="9"/>
      <c r="GD71" s="9"/>
      <c r="GE71" s="9"/>
      <c r="GF71" s="9"/>
      <c r="GG71" s="9"/>
      <c r="GH71" s="9"/>
      <c r="GI71" s="9"/>
      <c r="GJ71" s="9"/>
      <c r="GK71" s="9"/>
      <c r="GL71" s="9"/>
      <c r="GM71" s="9"/>
      <c r="GN71" s="9"/>
      <c r="GO71" s="9"/>
      <c r="GP71" s="9"/>
      <c r="GQ71" s="9"/>
      <c r="GR71" s="9"/>
      <c r="GS71" s="9"/>
      <c r="GT71" s="9"/>
      <c r="GU71" s="9"/>
      <c r="GV71" s="9"/>
      <c r="GW71" s="9"/>
      <c r="GX71" s="9"/>
      <c r="GY71" s="9"/>
      <c r="GZ71" s="9"/>
      <c r="HA71" s="9"/>
      <c r="HB71" s="9"/>
      <c r="HC71" s="9"/>
      <c r="HD71" s="9"/>
      <c r="HE71" s="9"/>
      <c r="HF71" s="9"/>
      <c r="HG71" s="9"/>
      <c r="HH71" s="9"/>
      <c r="HI71" s="9"/>
      <c r="HJ71" s="9"/>
      <c r="HK71" s="9"/>
      <c r="HL71" s="9"/>
      <c r="HM71" s="9"/>
      <c r="HN71" s="9"/>
      <c r="HO71" s="9"/>
      <c r="HP71" s="9"/>
      <c r="HQ71" s="9"/>
      <c r="HR71" s="9"/>
      <c r="HS71" s="9"/>
      <c r="HT71" s="9"/>
      <c r="HU71" s="9"/>
      <c r="HV71" s="9"/>
      <c r="HW71" s="9"/>
      <c r="HX71" s="9"/>
    </row>
    <row r="72" spans="1:232" ht="14.1" customHeight="1">
      <c r="A72" s="9"/>
      <c r="B72" s="9"/>
      <c r="C72" s="9"/>
      <c r="D72" s="9"/>
      <c r="E72" s="9"/>
      <c r="F72" s="9"/>
      <c r="G72" s="9"/>
      <c r="H72" s="9"/>
      <c r="I72" s="9"/>
      <c r="J72" s="9"/>
      <c r="K72" s="23"/>
      <c r="L72" s="943"/>
      <c r="M72" s="610"/>
      <c r="N72" s="610"/>
      <c r="O72" s="610"/>
      <c r="P72" s="610"/>
      <c r="Q72" s="610"/>
      <c r="R72" s="610"/>
      <c r="S72" s="669"/>
      <c r="T72" s="669"/>
      <c r="U72" s="669"/>
      <c r="V72" s="669"/>
      <c r="W72" s="669"/>
      <c r="X72" s="669"/>
      <c r="Y72" s="669"/>
      <c r="Z72" s="669"/>
      <c r="AA72" s="669"/>
      <c r="AB72" s="669"/>
      <c r="AC72" s="669"/>
      <c r="AD72" s="669"/>
      <c r="AE72" s="669"/>
      <c r="AF72" s="669"/>
      <c r="AG72" s="669"/>
      <c r="AH72" s="669"/>
      <c r="AI72" s="669"/>
      <c r="AJ72" s="669"/>
      <c r="AK72" s="669"/>
      <c r="AL72" s="669"/>
      <c r="AM72" s="669"/>
      <c r="AN72" s="669"/>
      <c r="AO72" s="669"/>
      <c r="AP72" s="669"/>
      <c r="AQ72" s="669"/>
      <c r="AR72" s="669"/>
      <c r="AS72" s="669"/>
      <c r="AT72" s="669"/>
      <c r="AU72" s="669"/>
      <c r="AV72" s="669"/>
      <c r="AW72" s="669"/>
      <c r="AX72" s="669"/>
      <c r="AY72" s="669"/>
      <c r="AZ72" s="669"/>
      <c r="BA72" s="669"/>
      <c r="BB72" s="669"/>
      <c r="BC72" s="669"/>
      <c r="BD72" s="669"/>
      <c r="BE72" s="669"/>
      <c r="BF72" s="669"/>
      <c r="BG72" s="669"/>
      <c r="BH72" s="669"/>
      <c r="BI72" s="669"/>
      <c r="BJ72" s="669"/>
      <c r="BK72" s="669"/>
      <c r="BL72" s="669"/>
      <c r="BM72" s="669"/>
      <c r="BN72" s="669"/>
      <c r="BO72" s="669"/>
      <c r="BP72" s="669"/>
      <c r="BQ72" s="669"/>
      <c r="BR72" s="669"/>
      <c r="BS72" s="669"/>
      <c r="BT72" s="669"/>
      <c r="BU72" s="669"/>
      <c r="BV72" s="669"/>
      <c r="BW72" s="669"/>
      <c r="BX72" s="669"/>
      <c r="BY72" s="669"/>
      <c r="BZ72" s="669"/>
      <c r="CA72" s="669"/>
      <c r="CB72" s="669"/>
      <c r="CC72" s="669"/>
      <c r="CD72" s="669"/>
      <c r="CE72" s="669"/>
      <c r="CF72" s="669"/>
      <c r="CG72" s="669"/>
      <c r="CH72" s="669"/>
      <c r="CI72" s="669"/>
      <c r="CJ72" s="669"/>
      <c r="CK72" s="669"/>
      <c r="CL72" s="669"/>
      <c r="CM72" s="669"/>
      <c r="CN72" s="669"/>
      <c r="CO72" s="669"/>
      <c r="CP72" s="669"/>
      <c r="CQ72" s="669"/>
      <c r="CR72" s="669"/>
      <c r="CS72" s="669"/>
      <c r="CT72" s="669"/>
      <c r="CU72" s="669"/>
      <c r="CV72" s="669"/>
      <c r="CW72" s="9"/>
      <c r="CX72" s="9"/>
      <c r="CY72" s="9"/>
      <c r="CZ72" s="9"/>
      <c r="DA72" s="9"/>
      <c r="DB72" s="9"/>
      <c r="DC72" s="9"/>
      <c r="DD72" s="9"/>
      <c r="DE72" s="9"/>
      <c r="DF72" s="9"/>
      <c r="DG72" s="9"/>
      <c r="DH72" s="9"/>
      <c r="DI72" s="9"/>
      <c r="DJ72" s="9"/>
      <c r="DK72" s="9"/>
      <c r="DL72" s="9"/>
      <c r="DM72" s="9"/>
      <c r="DN72" s="9"/>
      <c r="DO72" s="9"/>
      <c r="DP72" s="9"/>
      <c r="DQ72" s="9"/>
      <c r="DR72" s="9"/>
      <c r="DS72" s="9"/>
      <c r="DT72" s="9"/>
      <c r="DU72" s="9"/>
      <c r="DV72" s="9"/>
      <c r="DW72" s="9"/>
      <c r="DX72" s="9"/>
      <c r="DY72" s="9"/>
      <c r="DZ72" s="9"/>
      <c r="EA72" s="9"/>
      <c r="EB72" s="9"/>
      <c r="EC72" s="9"/>
      <c r="ED72" s="9"/>
      <c r="EE72" s="9"/>
      <c r="EF72" s="9"/>
      <c r="EG72" s="9"/>
      <c r="EH72" s="9"/>
      <c r="EI72" s="9"/>
      <c r="EJ72" s="9"/>
      <c r="EK72" s="9"/>
      <c r="EL72" s="9"/>
      <c r="EM72" s="9"/>
      <c r="EN72" s="9"/>
      <c r="EO72" s="9"/>
      <c r="EP72" s="9"/>
      <c r="EQ72" s="9"/>
      <c r="ER72" s="9"/>
      <c r="ES72" s="9"/>
      <c r="ET72" s="9"/>
      <c r="EU72" s="9"/>
      <c r="EV72" s="9"/>
      <c r="EW72" s="9"/>
      <c r="EX72" s="9"/>
      <c r="EY72" s="9"/>
      <c r="EZ72" s="9"/>
      <c r="FA72" s="9"/>
      <c r="FB72" s="9"/>
      <c r="FC72" s="9"/>
      <c r="FD72" s="9"/>
      <c r="FE72" s="9"/>
      <c r="FF72" s="9"/>
      <c r="FG72" s="9"/>
      <c r="FH72" s="9"/>
      <c r="FI72" s="9"/>
      <c r="FJ72" s="9"/>
      <c r="FK72" s="9"/>
      <c r="FL72" s="9"/>
      <c r="FM72" s="9"/>
      <c r="FN72" s="9"/>
      <c r="FO72" s="9"/>
      <c r="FP72" s="9"/>
      <c r="FQ72" s="9"/>
      <c r="FR72" s="9"/>
      <c r="FS72" s="9"/>
      <c r="FT72" s="9"/>
      <c r="FU72" s="9"/>
      <c r="FV72" s="9"/>
      <c r="FW72" s="9"/>
      <c r="FX72" s="9"/>
      <c r="FY72" s="9"/>
      <c r="FZ72" s="9"/>
      <c r="GA72" s="9"/>
      <c r="GB72" s="9"/>
      <c r="GC72" s="9"/>
      <c r="GD72" s="9"/>
      <c r="GE72" s="9"/>
      <c r="GF72" s="9"/>
      <c r="GG72" s="9"/>
      <c r="GH72" s="9"/>
      <c r="GI72" s="9"/>
      <c r="GJ72" s="9"/>
      <c r="GK72" s="9"/>
      <c r="GL72" s="9"/>
      <c r="GM72" s="9"/>
      <c r="GN72" s="9"/>
      <c r="GO72" s="9"/>
      <c r="GP72" s="9"/>
      <c r="GQ72" s="9"/>
      <c r="GR72" s="9"/>
      <c r="GS72" s="9"/>
      <c r="GT72" s="9"/>
      <c r="GU72" s="9"/>
      <c r="GV72" s="9"/>
      <c r="GW72" s="9"/>
      <c r="GX72" s="9"/>
      <c r="GY72" s="9"/>
      <c r="GZ72" s="9"/>
      <c r="HA72" s="9"/>
      <c r="HB72" s="9"/>
      <c r="HC72" s="9"/>
      <c r="HD72" s="9"/>
      <c r="HE72" s="9"/>
      <c r="HF72" s="9"/>
      <c r="HG72" s="9"/>
      <c r="HH72" s="9"/>
      <c r="HI72" s="9"/>
      <c r="HJ72" s="9"/>
      <c r="HK72" s="9"/>
      <c r="HL72" s="9"/>
      <c r="HM72" s="9"/>
      <c r="HN72" s="9"/>
      <c r="HO72" s="9"/>
      <c r="HP72" s="9"/>
      <c r="HQ72" s="9"/>
      <c r="HR72" s="9"/>
      <c r="HS72" s="9"/>
      <c r="HT72" s="9"/>
      <c r="HU72" s="9"/>
      <c r="HV72" s="9"/>
      <c r="HW72" s="9"/>
      <c r="HX72" s="9"/>
    </row>
    <row r="73" spans="1:232" ht="14.1" customHeight="1">
      <c r="A73" s="9"/>
      <c r="B73" s="9"/>
      <c r="C73" s="9"/>
      <c r="D73" s="9"/>
      <c r="E73" s="9"/>
      <c r="F73" s="9"/>
      <c r="G73" s="9"/>
      <c r="H73" s="9"/>
      <c r="I73" s="9"/>
      <c r="J73" s="9"/>
      <c r="K73" s="23"/>
      <c r="L73" s="943"/>
      <c r="M73" s="610"/>
      <c r="N73" s="610"/>
      <c r="O73" s="610"/>
      <c r="P73" s="610"/>
      <c r="Q73" s="610"/>
      <c r="R73" s="610"/>
      <c r="S73" s="669"/>
      <c r="T73" s="669"/>
      <c r="U73" s="669"/>
      <c r="V73" s="669"/>
      <c r="W73" s="669"/>
      <c r="X73" s="669"/>
      <c r="Y73" s="669"/>
      <c r="Z73" s="669"/>
      <c r="AA73" s="669"/>
      <c r="AB73" s="669"/>
      <c r="AC73" s="669"/>
      <c r="AD73" s="669"/>
      <c r="AE73" s="669"/>
      <c r="AF73" s="669"/>
      <c r="AG73" s="669"/>
      <c r="AH73" s="669"/>
      <c r="AI73" s="669"/>
      <c r="AJ73" s="669"/>
      <c r="AK73" s="669"/>
      <c r="AL73" s="669"/>
      <c r="AM73" s="669"/>
      <c r="AN73" s="669"/>
      <c r="AO73" s="669"/>
      <c r="AP73" s="669"/>
      <c r="AQ73" s="669"/>
      <c r="AR73" s="669"/>
      <c r="AS73" s="669"/>
      <c r="AT73" s="669"/>
      <c r="AU73" s="669"/>
      <c r="AV73" s="669"/>
      <c r="AW73" s="669"/>
      <c r="AX73" s="669"/>
      <c r="AY73" s="669"/>
      <c r="AZ73" s="669"/>
      <c r="BA73" s="669"/>
      <c r="BB73" s="669"/>
      <c r="BC73" s="669"/>
      <c r="BD73" s="669"/>
      <c r="BE73" s="669"/>
      <c r="BF73" s="669"/>
      <c r="BG73" s="669"/>
      <c r="BH73" s="669"/>
      <c r="BI73" s="669"/>
      <c r="BJ73" s="669"/>
      <c r="BK73" s="669"/>
      <c r="BL73" s="669"/>
      <c r="BM73" s="669"/>
      <c r="BN73" s="669"/>
      <c r="BO73" s="669"/>
      <c r="BP73" s="669"/>
      <c r="BQ73" s="669"/>
      <c r="BR73" s="669"/>
      <c r="BS73" s="669"/>
      <c r="BT73" s="669"/>
      <c r="BU73" s="669"/>
      <c r="BV73" s="669"/>
      <c r="BW73" s="669"/>
      <c r="BX73" s="669"/>
      <c r="BY73" s="669"/>
      <c r="BZ73" s="669"/>
      <c r="CA73" s="669"/>
      <c r="CB73" s="669"/>
      <c r="CC73" s="669"/>
      <c r="CD73" s="669"/>
      <c r="CE73" s="669"/>
      <c r="CF73" s="669"/>
      <c r="CG73" s="669"/>
      <c r="CH73" s="669"/>
      <c r="CI73" s="669"/>
      <c r="CJ73" s="669"/>
      <c r="CK73" s="669"/>
      <c r="CL73" s="669"/>
      <c r="CM73" s="669"/>
      <c r="CN73" s="669"/>
      <c r="CO73" s="669"/>
      <c r="CP73" s="669"/>
      <c r="CQ73" s="669"/>
      <c r="CR73" s="669"/>
      <c r="CS73" s="669"/>
      <c r="CT73" s="669"/>
      <c r="CU73" s="669"/>
      <c r="CV73" s="669"/>
      <c r="CW73" s="9"/>
      <c r="CX73" s="9"/>
      <c r="CY73" s="9"/>
      <c r="CZ73" s="9"/>
      <c r="DA73" s="9"/>
      <c r="DB73" s="9"/>
      <c r="DC73" s="9"/>
      <c r="DD73" s="9"/>
      <c r="DE73" s="9"/>
      <c r="DF73" s="9"/>
      <c r="DG73" s="9"/>
      <c r="DH73" s="9"/>
      <c r="DI73" s="9"/>
      <c r="DJ73" s="9"/>
      <c r="DK73" s="9"/>
      <c r="DL73" s="9"/>
      <c r="DM73" s="9"/>
      <c r="DN73" s="9"/>
      <c r="DO73" s="9"/>
      <c r="DP73" s="9"/>
      <c r="DQ73" s="9"/>
      <c r="DR73" s="9"/>
      <c r="DS73" s="9"/>
      <c r="DT73" s="9"/>
      <c r="DU73" s="9"/>
      <c r="DV73" s="9"/>
      <c r="DW73" s="9"/>
      <c r="DX73" s="9"/>
      <c r="DY73" s="9"/>
      <c r="DZ73" s="9"/>
      <c r="EA73" s="9"/>
      <c r="EB73" s="9"/>
      <c r="EC73" s="9"/>
      <c r="ED73" s="9"/>
      <c r="EE73" s="9"/>
      <c r="EF73" s="9"/>
      <c r="EG73" s="9"/>
      <c r="EH73" s="9"/>
      <c r="EI73" s="9"/>
      <c r="EJ73" s="9"/>
      <c r="EK73" s="9"/>
      <c r="EL73" s="9"/>
      <c r="EM73" s="9"/>
      <c r="EN73" s="9"/>
      <c r="EO73" s="9"/>
      <c r="EP73" s="9"/>
      <c r="EQ73" s="9"/>
      <c r="ER73" s="9"/>
      <c r="ES73" s="9"/>
      <c r="ET73" s="9"/>
      <c r="EU73" s="9"/>
      <c r="EV73" s="9"/>
      <c r="EW73" s="9"/>
      <c r="EX73" s="9"/>
      <c r="EY73" s="9"/>
      <c r="EZ73" s="9"/>
      <c r="FA73" s="9"/>
      <c r="FB73" s="9"/>
      <c r="FC73" s="9"/>
      <c r="FD73" s="9"/>
      <c r="FE73" s="9"/>
      <c r="FF73" s="9"/>
      <c r="FG73" s="9"/>
      <c r="FH73" s="9"/>
      <c r="FI73" s="9"/>
      <c r="FJ73" s="9"/>
      <c r="FK73" s="9"/>
      <c r="FL73" s="9"/>
      <c r="FM73" s="9"/>
      <c r="FN73" s="9"/>
      <c r="FO73" s="9"/>
      <c r="FP73" s="9"/>
      <c r="FQ73" s="9"/>
      <c r="FR73" s="9"/>
      <c r="FS73" s="9"/>
      <c r="FT73" s="9"/>
      <c r="FU73" s="9"/>
      <c r="FV73" s="9"/>
      <c r="FW73" s="9"/>
      <c r="FX73" s="9"/>
      <c r="FY73" s="9"/>
      <c r="FZ73" s="9"/>
      <c r="GA73" s="9"/>
      <c r="GB73" s="9"/>
      <c r="GC73" s="9"/>
      <c r="GD73" s="9"/>
      <c r="GE73" s="9"/>
      <c r="GF73" s="9"/>
      <c r="GG73" s="9"/>
      <c r="GH73" s="9"/>
      <c r="GI73" s="9"/>
      <c r="GJ73" s="9"/>
      <c r="GK73" s="9"/>
      <c r="GL73" s="9"/>
      <c r="GM73" s="9"/>
      <c r="GN73" s="9"/>
      <c r="GO73" s="9"/>
      <c r="GP73" s="9"/>
      <c r="GQ73" s="9"/>
      <c r="GR73" s="9"/>
      <c r="GS73" s="9"/>
      <c r="GT73" s="9"/>
      <c r="GU73" s="9"/>
      <c r="GV73" s="9"/>
      <c r="GW73" s="9"/>
      <c r="GX73" s="9"/>
      <c r="GY73" s="9"/>
      <c r="GZ73" s="9"/>
      <c r="HA73" s="9"/>
      <c r="HB73" s="9"/>
      <c r="HC73" s="9"/>
      <c r="HD73" s="9"/>
      <c r="HE73" s="9"/>
      <c r="HF73" s="9"/>
      <c r="HG73" s="9"/>
      <c r="HH73" s="9"/>
      <c r="HI73" s="9"/>
      <c r="HJ73" s="9"/>
      <c r="HK73" s="9"/>
      <c r="HL73" s="9"/>
      <c r="HM73" s="9"/>
      <c r="HN73" s="9"/>
      <c r="HO73" s="9"/>
      <c r="HP73" s="9"/>
      <c r="HQ73" s="9"/>
      <c r="HR73" s="9"/>
      <c r="HS73" s="9"/>
      <c r="HT73" s="9"/>
      <c r="HU73" s="9"/>
      <c r="HV73" s="9"/>
      <c r="HW73" s="9"/>
      <c r="HX73" s="9"/>
    </row>
    <row r="74" spans="1:232" ht="14.1" customHeight="1">
      <c r="A74" s="9"/>
      <c r="B74" s="9"/>
      <c r="C74" s="9"/>
      <c r="D74" s="9"/>
      <c r="E74" s="9"/>
      <c r="F74" s="9"/>
      <c r="G74" s="9"/>
      <c r="H74" s="9"/>
      <c r="I74" s="9"/>
      <c r="J74" s="9"/>
      <c r="K74" s="23"/>
      <c r="L74" s="943"/>
      <c r="M74" s="610"/>
      <c r="N74" s="610"/>
      <c r="O74" s="610"/>
      <c r="P74" s="610"/>
      <c r="Q74" s="610"/>
      <c r="R74" s="610"/>
      <c r="S74" s="669"/>
      <c r="T74" s="669"/>
      <c r="U74" s="669"/>
      <c r="V74" s="669"/>
      <c r="W74" s="669"/>
      <c r="X74" s="669"/>
      <c r="Y74" s="669"/>
      <c r="Z74" s="669"/>
      <c r="AA74" s="669"/>
      <c r="AB74" s="669"/>
      <c r="AC74" s="669"/>
      <c r="AD74" s="669"/>
      <c r="AE74" s="669"/>
      <c r="AF74" s="669"/>
      <c r="AG74" s="669"/>
      <c r="AH74" s="669"/>
      <c r="AI74" s="669"/>
      <c r="AJ74" s="669"/>
      <c r="AK74" s="669"/>
      <c r="AL74" s="669"/>
      <c r="AM74" s="669"/>
      <c r="AN74" s="669"/>
      <c r="AO74" s="669"/>
      <c r="AP74" s="669"/>
      <c r="AQ74" s="669"/>
      <c r="AR74" s="669"/>
      <c r="AS74" s="669"/>
      <c r="AT74" s="669"/>
      <c r="AU74" s="669"/>
      <c r="AV74" s="669"/>
      <c r="AW74" s="669"/>
      <c r="AX74" s="669"/>
      <c r="AY74" s="669"/>
      <c r="AZ74" s="669"/>
      <c r="BA74" s="669"/>
      <c r="BB74" s="669"/>
      <c r="BC74" s="669"/>
      <c r="BD74" s="669"/>
      <c r="BE74" s="669"/>
      <c r="BF74" s="669"/>
      <c r="BG74" s="669"/>
      <c r="BH74" s="669"/>
      <c r="BI74" s="669"/>
      <c r="BJ74" s="669"/>
      <c r="BK74" s="669"/>
      <c r="BL74" s="669"/>
      <c r="BM74" s="669"/>
      <c r="BN74" s="669"/>
      <c r="BO74" s="669"/>
      <c r="BP74" s="669"/>
      <c r="BQ74" s="669"/>
      <c r="BR74" s="669"/>
      <c r="BS74" s="669"/>
      <c r="BT74" s="669"/>
      <c r="BU74" s="669"/>
      <c r="BV74" s="669"/>
      <c r="BW74" s="669"/>
      <c r="BX74" s="669"/>
      <c r="BY74" s="669"/>
      <c r="BZ74" s="669"/>
      <c r="CA74" s="669"/>
      <c r="CB74" s="669"/>
      <c r="CC74" s="669"/>
      <c r="CD74" s="669"/>
      <c r="CE74" s="669"/>
      <c r="CF74" s="669"/>
      <c r="CG74" s="669"/>
      <c r="CH74" s="669"/>
      <c r="CI74" s="669"/>
      <c r="CJ74" s="669"/>
      <c r="CK74" s="669"/>
      <c r="CL74" s="669"/>
      <c r="CM74" s="669"/>
      <c r="CN74" s="669"/>
      <c r="CO74" s="669"/>
      <c r="CP74" s="669"/>
      <c r="CQ74" s="669"/>
      <c r="CR74" s="669"/>
      <c r="CS74" s="669"/>
      <c r="CT74" s="669"/>
      <c r="CU74" s="669"/>
      <c r="CV74" s="669"/>
      <c r="CW74" s="9"/>
      <c r="CX74" s="9"/>
      <c r="CY74" s="9"/>
      <c r="CZ74" s="9"/>
      <c r="DA74" s="9"/>
      <c r="DB74" s="9"/>
      <c r="DC74" s="9"/>
      <c r="DD74" s="9"/>
      <c r="DE74" s="9"/>
      <c r="DF74" s="9"/>
      <c r="DG74" s="9"/>
      <c r="DH74" s="9"/>
      <c r="DI74" s="9"/>
      <c r="DJ74" s="9"/>
      <c r="DK74" s="9"/>
      <c r="DL74" s="9"/>
      <c r="DM74" s="9"/>
      <c r="DN74" s="9"/>
      <c r="DO74" s="9"/>
      <c r="DP74" s="9"/>
      <c r="DQ74" s="9"/>
      <c r="DR74" s="9"/>
      <c r="DS74" s="9"/>
      <c r="DT74" s="9"/>
      <c r="DU74" s="9"/>
      <c r="DV74" s="9"/>
      <c r="DW74" s="9"/>
      <c r="DX74" s="9"/>
      <c r="DY74" s="9"/>
      <c r="DZ74" s="9"/>
      <c r="EA74" s="9"/>
      <c r="EB74" s="9"/>
      <c r="EC74" s="9"/>
      <c r="ED74" s="9"/>
      <c r="EE74" s="9"/>
      <c r="EF74" s="9"/>
      <c r="EG74" s="9"/>
      <c r="EH74" s="9"/>
      <c r="EI74" s="9"/>
      <c r="EJ74" s="9"/>
      <c r="EK74" s="9"/>
      <c r="EL74" s="9"/>
      <c r="EM74" s="9"/>
      <c r="EN74" s="9"/>
      <c r="EO74" s="9"/>
      <c r="EP74" s="9"/>
      <c r="EQ74" s="9"/>
      <c r="ER74" s="9"/>
      <c r="ES74" s="9"/>
      <c r="ET74" s="9"/>
      <c r="EU74" s="9"/>
      <c r="EV74" s="9"/>
      <c r="EW74" s="9"/>
      <c r="EX74" s="9"/>
      <c r="EY74" s="9"/>
      <c r="EZ74" s="9"/>
      <c r="FA74" s="9"/>
      <c r="FB74" s="9"/>
      <c r="FC74" s="9"/>
      <c r="FD74" s="9"/>
      <c r="FE74" s="9"/>
      <c r="FF74" s="9"/>
      <c r="FG74" s="9"/>
      <c r="FH74" s="9"/>
      <c r="FI74" s="9"/>
      <c r="FJ74" s="9"/>
      <c r="FK74" s="9"/>
      <c r="FL74" s="9"/>
      <c r="FM74" s="9"/>
      <c r="FN74" s="9"/>
      <c r="FO74" s="9"/>
      <c r="FP74" s="9"/>
      <c r="FQ74" s="9"/>
      <c r="FR74" s="9"/>
      <c r="FS74" s="9"/>
      <c r="FT74" s="9"/>
      <c r="FU74" s="9"/>
      <c r="FV74" s="9"/>
      <c r="FW74" s="9"/>
      <c r="FX74" s="9"/>
      <c r="FY74" s="9"/>
      <c r="FZ74" s="9"/>
      <c r="GA74" s="9"/>
      <c r="GB74" s="9"/>
      <c r="GC74" s="9"/>
      <c r="GD74" s="9"/>
      <c r="GE74" s="9"/>
      <c r="GF74" s="9"/>
      <c r="GG74" s="9"/>
      <c r="GH74" s="9"/>
      <c r="GI74" s="9"/>
      <c r="GJ74" s="9"/>
      <c r="GK74" s="9"/>
      <c r="GL74" s="9"/>
      <c r="GM74" s="9"/>
      <c r="GN74" s="9"/>
      <c r="GO74" s="9"/>
      <c r="GP74" s="9"/>
      <c r="GQ74" s="9"/>
      <c r="GR74" s="9"/>
      <c r="GS74" s="9"/>
      <c r="GT74" s="9"/>
      <c r="GU74" s="9"/>
      <c r="GV74" s="9"/>
      <c r="GW74" s="9"/>
      <c r="GX74" s="9"/>
      <c r="GY74" s="9"/>
      <c r="GZ74" s="9"/>
      <c r="HA74" s="9"/>
      <c r="HB74" s="9"/>
      <c r="HC74" s="9"/>
      <c r="HD74" s="9"/>
      <c r="HE74" s="9"/>
      <c r="HF74" s="9"/>
      <c r="HG74" s="9"/>
      <c r="HH74" s="9"/>
      <c r="HI74" s="9"/>
      <c r="HJ74" s="9"/>
      <c r="HK74" s="9"/>
      <c r="HL74" s="9"/>
      <c r="HM74" s="9"/>
      <c r="HN74" s="9"/>
      <c r="HO74" s="9"/>
      <c r="HP74" s="9"/>
      <c r="HQ74" s="9"/>
      <c r="HR74" s="9"/>
      <c r="HS74" s="9"/>
      <c r="HT74" s="9"/>
      <c r="HU74" s="9"/>
      <c r="HV74" s="9"/>
      <c r="HW74" s="9"/>
      <c r="HX74" s="9"/>
    </row>
    <row r="75" spans="1:232" ht="14.1" customHeight="1">
      <c r="A75" s="9"/>
      <c r="B75" s="9"/>
      <c r="C75" s="9"/>
      <c r="D75" s="9"/>
      <c r="E75" s="9"/>
      <c r="F75" s="9"/>
      <c r="G75" s="9"/>
      <c r="H75" s="9"/>
      <c r="I75" s="9"/>
      <c r="J75" s="9"/>
      <c r="K75" s="23"/>
      <c r="L75" s="943"/>
      <c r="M75" s="610"/>
      <c r="N75" s="610"/>
      <c r="O75" s="610"/>
      <c r="P75" s="610"/>
      <c r="Q75" s="610"/>
      <c r="R75" s="610"/>
      <c r="S75" s="669"/>
      <c r="T75" s="669"/>
      <c r="U75" s="669"/>
      <c r="V75" s="669"/>
      <c r="W75" s="669"/>
      <c r="X75" s="669"/>
      <c r="Y75" s="669"/>
      <c r="Z75" s="669"/>
      <c r="AA75" s="669"/>
      <c r="AB75" s="669"/>
      <c r="AC75" s="669"/>
      <c r="AD75" s="669"/>
      <c r="AE75" s="669"/>
      <c r="AF75" s="669"/>
      <c r="AG75" s="669"/>
      <c r="AH75" s="669"/>
      <c r="AI75" s="669"/>
      <c r="AJ75" s="669"/>
      <c r="AK75" s="669"/>
      <c r="AL75" s="669"/>
      <c r="AM75" s="669"/>
      <c r="AN75" s="669"/>
      <c r="AO75" s="669"/>
      <c r="AP75" s="669"/>
      <c r="AQ75" s="669"/>
      <c r="AR75" s="669"/>
      <c r="AS75" s="669"/>
      <c r="AT75" s="669"/>
      <c r="AU75" s="669"/>
      <c r="AV75" s="669"/>
      <c r="AW75" s="669"/>
      <c r="AX75" s="669"/>
      <c r="AY75" s="669"/>
      <c r="AZ75" s="669"/>
      <c r="BA75" s="669"/>
      <c r="BB75" s="669"/>
      <c r="BC75" s="669"/>
      <c r="BD75" s="669"/>
      <c r="BE75" s="669"/>
      <c r="BF75" s="669"/>
      <c r="BG75" s="669"/>
      <c r="BH75" s="669"/>
      <c r="BI75" s="669"/>
      <c r="BJ75" s="669"/>
      <c r="BK75" s="669"/>
      <c r="BL75" s="669"/>
      <c r="BM75" s="669"/>
      <c r="BN75" s="669"/>
      <c r="BO75" s="669"/>
      <c r="BP75" s="669"/>
      <c r="BQ75" s="669"/>
      <c r="BR75" s="669"/>
      <c r="BS75" s="669"/>
      <c r="BT75" s="669"/>
      <c r="BU75" s="669"/>
      <c r="BV75" s="669"/>
      <c r="BW75" s="669"/>
      <c r="BX75" s="669"/>
      <c r="BY75" s="669"/>
      <c r="BZ75" s="669"/>
      <c r="CA75" s="669"/>
      <c r="CB75" s="669"/>
      <c r="CC75" s="669"/>
      <c r="CD75" s="669"/>
      <c r="CE75" s="669"/>
      <c r="CF75" s="669"/>
      <c r="CG75" s="669"/>
      <c r="CH75" s="669"/>
      <c r="CI75" s="669"/>
      <c r="CJ75" s="669"/>
      <c r="CK75" s="669"/>
      <c r="CL75" s="669"/>
      <c r="CM75" s="669"/>
      <c r="CN75" s="669"/>
      <c r="CO75" s="669"/>
      <c r="CP75" s="669"/>
      <c r="CQ75" s="669"/>
      <c r="CR75" s="669"/>
      <c r="CS75" s="669"/>
      <c r="CT75" s="669"/>
      <c r="CU75" s="669"/>
      <c r="CV75" s="669"/>
      <c r="CW75" s="9"/>
      <c r="CX75" s="9"/>
      <c r="CY75" s="9"/>
      <c r="CZ75" s="9"/>
      <c r="DA75" s="9"/>
      <c r="DB75" s="9"/>
      <c r="DC75" s="9"/>
      <c r="DD75" s="9"/>
      <c r="DE75" s="9"/>
      <c r="DF75" s="9"/>
      <c r="DG75" s="9"/>
      <c r="DH75" s="9"/>
      <c r="DI75" s="9"/>
      <c r="DJ75" s="9"/>
      <c r="DK75" s="9"/>
      <c r="DL75" s="9"/>
      <c r="DM75" s="9"/>
      <c r="DN75" s="9"/>
      <c r="DO75" s="9"/>
      <c r="DP75" s="9"/>
      <c r="DQ75" s="9"/>
      <c r="DR75" s="9"/>
      <c r="DS75" s="9"/>
      <c r="DT75" s="9"/>
      <c r="DU75" s="9"/>
      <c r="DV75" s="9"/>
      <c r="DW75" s="9"/>
      <c r="DX75" s="9"/>
      <c r="DY75" s="9"/>
      <c r="DZ75" s="9"/>
      <c r="EA75" s="9"/>
      <c r="EB75" s="9"/>
      <c r="EC75" s="9"/>
      <c r="ED75" s="9"/>
      <c r="EE75" s="9"/>
      <c r="EF75" s="9"/>
      <c r="EG75" s="9"/>
      <c r="EH75" s="9"/>
      <c r="EI75" s="9"/>
      <c r="EJ75" s="9"/>
      <c r="EK75" s="9"/>
      <c r="EL75" s="9"/>
      <c r="EM75" s="9"/>
      <c r="EN75" s="9"/>
      <c r="EO75" s="9"/>
      <c r="EP75" s="9"/>
      <c r="EQ75" s="9"/>
      <c r="ER75" s="9"/>
      <c r="ES75" s="9"/>
      <c r="ET75" s="9"/>
      <c r="EU75" s="9"/>
      <c r="EV75" s="9"/>
      <c r="EW75" s="9"/>
      <c r="EX75" s="9"/>
      <c r="EY75" s="9"/>
      <c r="EZ75" s="9"/>
      <c r="FA75" s="9"/>
      <c r="FB75" s="9"/>
      <c r="FC75" s="9"/>
      <c r="FD75" s="9"/>
      <c r="FE75" s="9"/>
      <c r="FF75" s="9"/>
      <c r="FG75" s="9"/>
      <c r="FH75" s="9"/>
      <c r="FI75" s="9"/>
      <c r="FJ75" s="9"/>
      <c r="FK75" s="9"/>
      <c r="FL75" s="9"/>
      <c r="FM75" s="9"/>
      <c r="FN75" s="9"/>
      <c r="FO75" s="9"/>
      <c r="FP75" s="9"/>
      <c r="FQ75" s="9"/>
      <c r="FR75" s="9"/>
      <c r="FS75" s="9"/>
      <c r="FT75" s="9"/>
      <c r="FU75" s="9"/>
      <c r="FV75" s="9"/>
      <c r="FW75" s="9"/>
      <c r="FX75" s="9"/>
      <c r="FY75" s="9"/>
      <c r="FZ75" s="9"/>
      <c r="GA75" s="9"/>
      <c r="GB75" s="9"/>
      <c r="GC75" s="9"/>
      <c r="GD75" s="9"/>
      <c r="GE75" s="9"/>
      <c r="GF75" s="9"/>
      <c r="GG75" s="9"/>
      <c r="GH75" s="9"/>
      <c r="GI75" s="9"/>
      <c r="GJ75" s="9"/>
      <c r="GK75" s="9"/>
      <c r="GL75" s="9"/>
      <c r="GM75" s="9"/>
      <c r="GN75" s="9"/>
      <c r="GO75" s="9"/>
      <c r="GP75" s="9"/>
      <c r="GQ75" s="9"/>
      <c r="GR75" s="9"/>
      <c r="GS75" s="9"/>
      <c r="GT75" s="9"/>
      <c r="GU75" s="9"/>
      <c r="GV75" s="9"/>
      <c r="GW75" s="9"/>
      <c r="GX75" s="9"/>
      <c r="GY75" s="9"/>
      <c r="GZ75" s="9"/>
      <c r="HA75" s="9"/>
      <c r="HB75" s="9"/>
      <c r="HC75" s="9"/>
      <c r="HD75" s="9"/>
      <c r="HE75" s="9"/>
      <c r="HF75" s="9"/>
      <c r="HG75" s="9"/>
      <c r="HH75" s="9"/>
      <c r="HI75" s="9"/>
      <c r="HJ75" s="9"/>
      <c r="HK75" s="9"/>
      <c r="HL75" s="9"/>
      <c r="HM75" s="9"/>
      <c r="HN75" s="9"/>
      <c r="HO75" s="9"/>
      <c r="HP75" s="9"/>
      <c r="HQ75" s="9"/>
      <c r="HR75" s="9"/>
      <c r="HS75" s="9"/>
      <c r="HT75" s="9"/>
      <c r="HU75" s="9"/>
      <c r="HV75" s="9"/>
      <c r="HW75" s="9"/>
      <c r="HX75" s="9"/>
    </row>
    <row r="76" spans="1:232" ht="14.1" customHeight="1">
      <c r="A76" s="9"/>
      <c r="B76" s="9"/>
      <c r="C76" s="9"/>
      <c r="D76" s="9"/>
      <c r="E76" s="9"/>
      <c r="F76" s="9"/>
      <c r="G76" s="9"/>
      <c r="H76" s="9"/>
      <c r="I76" s="9"/>
      <c r="J76" s="9"/>
      <c r="K76" s="23"/>
      <c r="L76" s="943"/>
      <c r="M76" s="610"/>
      <c r="N76" s="610"/>
      <c r="O76" s="610"/>
      <c r="P76" s="610"/>
      <c r="Q76" s="610"/>
      <c r="R76" s="610"/>
      <c r="S76" s="669"/>
      <c r="T76" s="669"/>
      <c r="U76" s="669"/>
      <c r="V76" s="669"/>
      <c r="W76" s="669"/>
      <c r="X76" s="669"/>
      <c r="Y76" s="669"/>
      <c r="Z76" s="669"/>
      <c r="AA76" s="669"/>
      <c r="AB76" s="669"/>
      <c r="AC76" s="669"/>
      <c r="AD76" s="669"/>
      <c r="AE76" s="669"/>
      <c r="AF76" s="669"/>
      <c r="AG76" s="669"/>
      <c r="AH76" s="669"/>
      <c r="AI76" s="669"/>
      <c r="AJ76" s="669"/>
      <c r="AK76" s="669"/>
      <c r="AL76" s="669"/>
      <c r="AM76" s="669"/>
      <c r="AN76" s="669"/>
      <c r="AO76" s="669"/>
      <c r="AP76" s="669"/>
      <c r="AQ76" s="669"/>
      <c r="AR76" s="669"/>
      <c r="AS76" s="669"/>
      <c r="AT76" s="669"/>
      <c r="AU76" s="669"/>
      <c r="AV76" s="669"/>
      <c r="AW76" s="669"/>
      <c r="AX76" s="669"/>
      <c r="AY76" s="669"/>
      <c r="AZ76" s="669"/>
      <c r="BA76" s="669"/>
      <c r="BB76" s="669"/>
      <c r="BC76" s="669"/>
      <c r="BD76" s="669"/>
      <c r="BE76" s="669"/>
      <c r="BF76" s="669"/>
      <c r="BG76" s="669"/>
      <c r="BH76" s="669"/>
      <c r="BI76" s="669"/>
      <c r="BJ76" s="669"/>
      <c r="BK76" s="669"/>
      <c r="BL76" s="669"/>
      <c r="BM76" s="669"/>
      <c r="BN76" s="669"/>
      <c r="BO76" s="669"/>
      <c r="BP76" s="669"/>
      <c r="BQ76" s="669"/>
      <c r="BR76" s="669"/>
      <c r="BS76" s="669"/>
      <c r="BT76" s="669"/>
      <c r="BU76" s="669"/>
      <c r="BV76" s="669"/>
      <c r="BW76" s="669"/>
      <c r="BX76" s="669"/>
      <c r="BY76" s="669"/>
      <c r="BZ76" s="669"/>
      <c r="CA76" s="669"/>
      <c r="CB76" s="669"/>
      <c r="CC76" s="669"/>
      <c r="CD76" s="669"/>
      <c r="CE76" s="669"/>
      <c r="CF76" s="669"/>
      <c r="CG76" s="669"/>
      <c r="CH76" s="669"/>
      <c r="CI76" s="669"/>
      <c r="CJ76" s="669"/>
      <c r="CK76" s="669"/>
      <c r="CL76" s="669"/>
      <c r="CM76" s="669"/>
      <c r="CN76" s="669"/>
      <c r="CO76" s="669"/>
      <c r="CP76" s="669"/>
      <c r="CQ76" s="669"/>
      <c r="CR76" s="669"/>
      <c r="CS76" s="669"/>
      <c r="CT76" s="669"/>
      <c r="CU76" s="669"/>
      <c r="CV76" s="669"/>
      <c r="CW76" s="9"/>
      <c r="CX76" s="9"/>
      <c r="CY76" s="9"/>
      <c r="CZ76" s="9"/>
      <c r="DA76" s="9"/>
      <c r="DB76" s="9"/>
      <c r="DC76" s="9"/>
      <c r="DD76" s="9"/>
      <c r="DE76" s="9"/>
      <c r="DF76" s="9"/>
      <c r="DG76" s="9"/>
      <c r="DH76" s="9"/>
      <c r="DI76" s="9"/>
      <c r="DJ76" s="9"/>
      <c r="DK76" s="9"/>
      <c r="DL76" s="9"/>
      <c r="DM76" s="9"/>
      <c r="DN76" s="9"/>
      <c r="DO76" s="9"/>
      <c r="DP76" s="9"/>
      <c r="DQ76" s="9"/>
      <c r="DR76" s="9"/>
      <c r="DS76" s="9"/>
      <c r="DT76" s="9"/>
      <c r="DU76" s="9"/>
      <c r="DV76" s="9"/>
      <c r="DW76" s="9"/>
      <c r="DX76" s="9"/>
      <c r="DY76" s="9"/>
      <c r="DZ76" s="9"/>
      <c r="EA76" s="9"/>
      <c r="EB76" s="9"/>
      <c r="EC76" s="9"/>
      <c r="ED76" s="9"/>
      <c r="EE76" s="9"/>
      <c r="EF76" s="9"/>
      <c r="EG76" s="9"/>
      <c r="EH76" s="9"/>
      <c r="EI76" s="9"/>
      <c r="EJ76" s="9"/>
      <c r="EK76" s="9"/>
      <c r="EL76" s="9"/>
      <c r="EM76" s="9"/>
      <c r="EN76" s="9"/>
      <c r="EO76" s="9"/>
      <c r="EP76" s="9"/>
      <c r="EQ76" s="9"/>
      <c r="ER76" s="9"/>
      <c r="ES76" s="9"/>
      <c r="ET76" s="9"/>
      <c r="EU76" s="9"/>
      <c r="EV76" s="9"/>
      <c r="EW76" s="9"/>
      <c r="EX76" s="9"/>
      <c r="EY76" s="9"/>
      <c r="EZ76" s="9"/>
      <c r="FA76" s="9"/>
      <c r="FB76" s="9"/>
      <c r="FC76" s="9"/>
      <c r="FD76" s="9"/>
      <c r="FE76" s="9"/>
      <c r="FF76" s="9"/>
      <c r="FG76" s="9"/>
      <c r="FH76" s="9"/>
      <c r="FI76" s="9"/>
      <c r="FJ76" s="9"/>
      <c r="FK76" s="9"/>
      <c r="FL76" s="9"/>
      <c r="FM76" s="9"/>
      <c r="FN76" s="9"/>
      <c r="FO76" s="9"/>
      <c r="FP76" s="9"/>
      <c r="FQ76" s="9"/>
      <c r="FR76" s="9"/>
      <c r="FS76" s="9"/>
      <c r="FT76" s="9"/>
      <c r="FU76" s="9"/>
      <c r="FV76" s="9"/>
      <c r="FW76" s="9"/>
      <c r="FX76" s="9"/>
      <c r="FY76" s="9"/>
      <c r="FZ76" s="9"/>
      <c r="GA76" s="9"/>
      <c r="GB76" s="9"/>
      <c r="GC76" s="9"/>
      <c r="GD76" s="9"/>
      <c r="GE76" s="9"/>
      <c r="GF76" s="9"/>
      <c r="GG76" s="9"/>
      <c r="GH76" s="9"/>
      <c r="GI76" s="9"/>
      <c r="GJ76" s="9"/>
      <c r="GK76" s="9"/>
      <c r="GL76" s="9"/>
      <c r="GM76" s="9"/>
      <c r="GN76" s="9"/>
      <c r="GO76" s="9"/>
      <c r="GP76" s="9"/>
      <c r="GQ76" s="9"/>
      <c r="GR76" s="9"/>
      <c r="GS76" s="9"/>
      <c r="GT76" s="9"/>
      <c r="GU76" s="9"/>
      <c r="GV76" s="9"/>
      <c r="GW76" s="9"/>
      <c r="GX76" s="9"/>
      <c r="GY76" s="9"/>
      <c r="GZ76" s="9"/>
      <c r="HA76" s="9"/>
      <c r="HB76" s="9"/>
      <c r="HC76" s="9"/>
      <c r="HD76" s="9"/>
      <c r="HE76" s="9"/>
      <c r="HF76" s="9"/>
      <c r="HG76" s="9"/>
      <c r="HH76" s="9"/>
      <c r="HI76" s="9"/>
      <c r="HJ76" s="9"/>
      <c r="HK76" s="9"/>
      <c r="HL76" s="9"/>
      <c r="HM76" s="9"/>
      <c r="HN76" s="9"/>
      <c r="HO76" s="9"/>
      <c r="HP76" s="9"/>
      <c r="HQ76" s="9"/>
      <c r="HR76" s="9"/>
      <c r="HS76" s="9"/>
      <c r="HT76" s="9"/>
      <c r="HU76" s="9"/>
      <c r="HV76" s="9"/>
      <c r="HW76" s="9"/>
      <c r="HX76" s="9"/>
    </row>
    <row r="77" spans="1:232" ht="14.1" customHeight="1">
      <c r="A77" s="9"/>
      <c r="B77" s="9"/>
      <c r="C77" s="9"/>
      <c r="D77" s="9"/>
      <c r="E77" s="9"/>
      <c r="F77" s="9"/>
      <c r="G77" s="9"/>
      <c r="H77" s="9"/>
      <c r="I77" s="9"/>
      <c r="J77" s="9"/>
      <c r="K77" s="23"/>
      <c r="L77" s="943"/>
      <c r="M77" s="610"/>
      <c r="N77" s="610"/>
      <c r="O77" s="610"/>
      <c r="P77" s="610"/>
      <c r="Q77" s="610"/>
      <c r="R77" s="610"/>
      <c r="S77" s="669"/>
      <c r="T77" s="669"/>
      <c r="U77" s="669"/>
      <c r="V77" s="669"/>
      <c r="W77" s="669"/>
      <c r="X77" s="669"/>
      <c r="Y77" s="669"/>
      <c r="Z77" s="669"/>
      <c r="AA77" s="669"/>
      <c r="AB77" s="669"/>
      <c r="AC77" s="669"/>
      <c r="AD77" s="669"/>
      <c r="AE77" s="669"/>
      <c r="AF77" s="669"/>
      <c r="AG77" s="669"/>
      <c r="AH77" s="669"/>
      <c r="AI77" s="669"/>
      <c r="AJ77" s="669"/>
      <c r="AK77" s="669"/>
      <c r="AL77" s="669"/>
      <c r="AM77" s="669"/>
      <c r="AN77" s="669"/>
      <c r="AO77" s="669"/>
      <c r="AP77" s="669"/>
      <c r="AQ77" s="669"/>
      <c r="AR77" s="669"/>
      <c r="AS77" s="669"/>
      <c r="AT77" s="669"/>
      <c r="AU77" s="669"/>
      <c r="AV77" s="669"/>
      <c r="AW77" s="669"/>
      <c r="AX77" s="669"/>
      <c r="AY77" s="669"/>
      <c r="AZ77" s="669"/>
      <c r="BA77" s="669"/>
      <c r="BB77" s="669"/>
      <c r="BC77" s="669"/>
      <c r="BD77" s="669"/>
      <c r="BE77" s="669"/>
      <c r="BF77" s="669"/>
      <c r="BG77" s="669"/>
      <c r="BH77" s="669"/>
      <c r="BI77" s="669"/>
      <c r="BJ77" s="669"/>
      <c r="BK77" s="669"/>
      <c r="BL77" s="669"/>
      <c r="BM77" s="669"/>
      <c r="BN77" s="669"/>
      <c r="BO77" s="669"/>
      <c r="BP77" s="669"/>
      <c r="BQ77" s="669"/>
      <c r="BR77" s="669"/>
      <c r="BS77" s="669"/>
      <c r="BT77" s="669"/>
      <c r="BU77" s="669"/>
      <c r="BV77" s="669"/>
      <c r="BW77" s="669"/>
      <c r="BX77" s="669"/>
      <c r="BY77" s="669"/>
      <c r="BZ77" s="669"/>
      <c r="CA77" s="669"/>
      <c r="CB77" s="669"/>
      <c r="CC77" s="669"/>
      <c r="CD77" s="669"/>
      <c r="CE77" s="669"/>
      <c r="CF77" s="669"/>
      <c r="CG77" s="669"/>
      <c r="CH77" s="669"/>
      <c r="CI77" s="669"/>
      <c r="CJ77" s="669"/>
      <c r="CK77" s="669"/>
      <c r="CL77" s="669"/>
      <c r="CM77" s="669"/>
      <c r="CN77" s="669"/>
      <c r="CO77" s="669"/>
      <c r="CP77" s="669"/>
      <c r="CQ77" s="669"/>
      <c r="CR77" s="669"/>
      <c r="CS77" s="669"/>
      <c r="CT77" s="669"/>
      <c r="CU77" s="669"/>
      <c r="CV77" s="669"/>
      <c r="CW77" s="9"/>
      <c r="CX77" s="9"/>
      <c r="CY77" s="9"/>
      <c r="CZ77" s="9"/>
      <c r="DA77" s="9"/>
      <c r="DB77" s="9"/>
      <c r="DC77" s="9"/>
      <c r="DD77" s="9"/>
      <c r="DE77" s="9"/>
      <c r="DF77" s="9"/>
      <c r="DG77" s="9"/>
      <c r="DH77" s="9"/>
      <c r="DI77" s="9"/>
      <c r="DJ77" s="9"/>
      <c r="DK77" s="9"/>
      <c r="DL77" s="9"/>
      <c r="DM77" s="9"/>
      <c r="DN77" s="9"/>
      <c r="DO77" s="9"/>
      <c r="DP77" s="9"/>
      <c r="DQ77" s="9"/>
      <c r="DR77" s="9"/>
      <c r="DS77" s="9"/>
      <c r="DT77" s="9"/>
      <c r="DU77" s="9"/>
      <c r="DV77" s="9"/>
      <c r="DW77" s="9"/>
      <c r="DX77" s="9"/>
      <c r="DY77" s="9"/>
      <c r="DZ77" s="9"/>
      <c r="EA77" s="9"/>
      <c r="EB77" s="9"/>
      <c r="EC77" s="9"/>
      <c r="ED77" s="9"/>
      <c r="EE77" s="9"/>
      <c r="EF77" s="9"/>
      <c r="EG77" s="9"/>
      <c r="EH77" s="9"/>
      <c r="EI77" s="9"/>
      <c r="EJ77" s="9"/>
      <c r="EK77" s="9"/>
      <c r="EL77" s="9"/>
      <c r="EM77" s="9"/>
      <c r="EN77" s="9"/>
      <c r="EO77" s="9"/>
      <c r="EP77" s="9"/>
      <c r="EQ77" s="9"/>
      <c r="ER77" s="9"/>
      <c r="ES77" s="9"/>
      <c r="ET77" s="9"/>
      <c r="EU77" s="9"/>
      <c r="EV77" s="9"/>
      <c r="EW77" s="9"/>
      <c r="EX77" s="9"/>
      <c r="EY77" s="9"/>
      <c r="EZ77" s="9"/>
      <c r="FA77" s="9"/>
      <c r="FB77" s="9"/>
      <c r="FC77" s="9"/>
      <c r="FD77" s="9"/>
      <c r="FE77" s="9"/>
      <c r="FF77" s="9"/>
      <c r="FG77" s="9"/>
      <c r="FH77" s="9"/>
      <c r="FI77" s="9"/>
      <c r="FJ77" s="9"/>
      <c r="FK77" s="9"/>
      <c r="FL77" s="9"/>
      <c r="FM77" s="9"/>
      <c r="FN77" s="9"/>
      <c r="FO77" s="9"/>
      <c r="FP77" s="9"/>
      <c r="FQ77" s="9"/>
      <c r="FR77" s="9"/>
      <c r="FS77" s="9"/>
      <c r="FT77" s="9"/>
      <c r="FU77" s="9"/>
      <c r="FV77" s="9"/>
      <c r="FW77" s="9"/>
      <c r="FX77" s="9"/>
      <c r="FY77" s="9"/>
      <c r="FZ77" s="9"/>
      <c r="GA77" s="9"/>
      <c r="GB77" s="9"/>
      <c r="GC77" s="9"/>
      <c r="GD77" s="9"/>
      <c r="GE77" s="9"/>
      <c r="GF77" s="9"/>
      <c r="GG77" s="9"/>
      <c r="GH77" s="9"/>
      <c r="GI77" s="9"/>
      <c r="GJ77" s="9"/>
      <c r="GK77" s="9"/>
      <c r="GL77" s="9"/>
      <c r="GM77" s="9"/>
      <c r="GN77" s="9"/>
      <c r="GO77" s="9"/>
      <c r="GP77" s="9"/>
      <c r="GQ77" s="9"/>
      <c r="GR77" s="9"/>
      <c r="GS77" s="9"/>
      <c r="GT77" s="9"/>
      <c r="GU77" s="9"/>
      <c r="GV77" s="9"/>
      <c r="GW77" s="9"/>
      <c r="GX77" s="9"/>
      <c r="GY77" s="9"/>
      <c r="GZ77" s="9"/>
      <c r="HA77" s="9"/>
      <c r="HB77" s="9"/>
      <c r="HC77" s="9"/>
      <c r="HD77" s="9"/>
      <c r="HE77" s="9"/>
      <c r="HF77" s="9"/>
      <c r="HG77" s="9"/>
      <c r="HH77" s="9"/>
      <c r="HI77" s="9"/>
      <c r="HJ77" s="9"/>
      <c r="HK77" s="9"/>
      <c r="HL77" s="9"/>
      <c r="HM77" s="9"/>
      <c r="HN77" s="9"/>
      <c r="HO77" s="9"/>
      <c r="HP77" s="9"/>
      <c r="HQ77" s="9"/>
      <c r="HR77" s="9"/>
      <c r="HS77" s="9"/>
      <c r="HT77" s="9"/>
      <c r="HU77" s="9"/>
      <c r="HV77" s="9"/>
      <c r="HW77" s="9"/>
      <c r="HX77" s="9"/>
    </row>
    <row r="78" spans="1:232" ht="14.1" customHeight="1">
      <c r="A78" s="9"/>
      <c r="B78" s="9"/>
      <c r="C78" s="9"/>
      <c r="D78" s="9"/>
      <c r="E78" s="9"/>
      <c r="F78" s="9"/>
      <c r="G78" s="9"/>
      <c r="H78" s="9"/>
      <c r="I78" s="9"/>
      <c r="J78" s="9"/>
      <c r="K78" s="23"/>
      <c r="L78" s="943"/>
      <c r="M78" s="610"/>
      <c r="N78" s="610"/>
      <c r="O78" s="610"/>
      <c r="P78" s="610"/>
      <c r="Q78" s="610"/>
      <c r="R78" s="610"/>
      <c r="S78" s="669"/>
      <c r="T78" s="669"/>
      <c r="U78" s="669"/>
      <c r="V78" s="669"/>
      <c r="W78" s="669"/>
      <c r="X78" s="669"/>
      <c r="Y78" s="669"/>
      <c r="Z78" s="669"/>
      <c r="AA78" s="669"/>
      <c r="AB78" s="669"/>
      <c r="AC78" s="669"/>
      <c r="AD78" s="669"/>
      <c r="AE78" s="669"/>
      <c r="AF78" s="669"/>
      <c r="AG78" s="669"/>
      <c r="AH78" s="669"/>
      <c r="AI78" s="669"/>
      <c r="AJ78" s="669"/>
      <c r="AK78" s="669"/>
      <c r="AL78" s="669"/>
      <c r="AM78" s="669"/>
      <c r="AN78" s="669"/>
      <c r="AO78" s="669"/>
      <c r="AP78" s="669"/>
      <c r="AQ78" s="669"/>
      <c r="AR78" s="669"/>
      <c r="AS78" s="669"/>
      <c r="AT78" s="669"/>
      <c r="AU78" s="669"/>
      <c r="AV78" s="669"/>
      <c r="AW78" s="669"/>
      <c r="AX78" s="669"/>
      <c r="AY78" s="669"/>
      <c r="AZ78" s="669"/>
      <c r="BA78" s="669"/>
      <c r="BB78" s="669"/>
      <c r="BC78" s="669"/>
      <c r="BD78" s="669"/>
      <c r="BE78" s="669"/>
      <c r="BF78" s="669"/>
      <c r="BG78" s="669"/>
      <c r="BH78" s="669"/>
      <c r="BI78" s="669"/>
      <c r="BJ78" s="669"/>
      <c r="BK78" s="669"/>
      <c r="BL78" s="669"/>
      <c r="BM78" s="669"/>
      <c r="BN78" s="669"/>
      <c r="BO78" s="669"/>
      <c r="BP78" s="669"/>
      <c r="BQ78" s="669"/>
      <c r="BR78" s="669"/>
      <c r="BS78" s="669"/>
      <c r="BT78" s="669"/>
      <c r="BU78" s="669"/>
      <c r="BV78" s="669"/>
      <c r="BW78" s="669"/>
      <c r="BX78" s="669"/>
      <c r="BY78" s="669"/>
      <c r="BZ78" s="669"/>
      <c r="CA78" s="669"/>
      <c r="CB78" s="669"/>
      <c r="CC78" s="669"/>
      <c r="CD78" s="669"/>
      <c r="CE78" s="669"/>
      <c r="CF78" s="669"/>
      <c r="CG78" s="669"/>
      <c r="CH78" s="669"/>
      <c r="CI78" s="669"/>
      <c r="CJ78" s="669"/>
      <c r="CK78" s="669"/>
      <c r="CL78" s="669"/>
      <c r="CM78" s="669"/>
      <c r="CN78" s="669"/>
      <c r="CO78" s="669"/>
      <c r="CP78" s="669"/>
      <c r="CQ78" s="669"/>
      <c r="CR78" s="669"/>
      <c r="CS78" s="669"/>
      <c r="CT78" s="669"/>
      <c r="CU78" s="669"/>
      <c r="CV78" s="669"/>
      <c r="CW78" s="9"/>
      <c r="CX78" s="9"/>
      <c r="CY78" s="9"/>
      <c r="CZ78" s="9"/>
      <c r="DA78" s="9"/>
      <c r="DB78" s="9"/>
      <c r="DC78" s="9"/>
      <c r="DD78" s="9"/>
      <c r="DE78" s="9"/>
      <c r="DF78" s="9"/>
      <c r="DG78" s="9"/>
      <c r="DH78" s="9"/>
      <c r="DI78" s="9"/>
      <c r="DJ78" s="9"/>
      <c r="DK78" s="9"/>
      <c r="DL78" s="9"/>
      <c r="DM78" s="9"/>
      <c r="DN78" s="9"/>
      <c r="DO78" s="9"/>
      <c r="DP78" s="9"/>
      <c r="DQ78" s="9"/>
      <c r="DR78" s="9"/>
      <c r="DS78" s="9"/>
      <c r="DT78" s="9"/>
      <c r="DU78" s="9"/>
      <c r="DV78" s="9"/>
      <c r="DW78" s="9"/>
      <c r="DX78" s="9"/>
      <c r="DY78" s="9"/>
      <c r="DZ78" s="9"/>
      <c r="EA78" s="9"/>
      <c r="EB78" s="9"/>
      <c r="EC78" s="9"/>
      <c r="ED78" s="9"/>
      <c r="EE78" s="9"/>
      <c r="EF78" s="9"/>
      <c r="EG78" s="9"/>
      <c r="EH78" s="9"/>
      <c r="EI78" s="9"/>
      <c r="EJ78" s="9"/>
      <c r="EK78" s="9"/>
      <c r="EL78" s="9"/>
      <c r="EM78" s="9"/>
      <c r="EN78" s="9"/>
      <c r="EO78" s="9"/>
      <c r="EP78" s="9"/>
      <c r="EQ78" s="9"/>
      <c r="ER78" s="9"/>
      <c r="ES78" s="9"/>
      <c r="ET78" s="9"/>
      <c r="EU78" s="9"/>
      <c r="EV78" s="9"/>
      <c r="EW78" s="9"/>
      <c r="EX78" s="9"/>
      <c r="EY78" s="9"/>
      <c r="EZ78" s="9"/>
      <c r="FA78" s="9"/>
      <c r="FB78" s="9"/>
      <c r="FC78" s="9"/>
      <c r="FD78" s="9"/>
      <c r="FE78" s="9"/>
      <c r="FF78" s="9"/>
      <c r="FG78" s="9"/>
      <c r="FH78" s="9"/>
      <c r="FI78" s="9"/>
      <c r="FJ78" s="9"/>
      <c r="FK78" s="9"/>
      <c r="FL78" s="9"/>
      <c r="FM78" s="9"/>
      <c r="FN78" s="9"/>
      <c r="FO78" s="9"/>
      <c r="FP78" s="9"/>
      <c r="FQ78" s="9"/>
      <c r="FR78" s="9"/>
      <c r="FS78" s="9"/>
      <c r="FT78" s="9"/>
      <c r="FU78" s="9"/>
      <c r="FV78" s="9"/>
      <c r="FW78" s="9"/>
      <c r="FX78" s="9"/>
      <c r="FY78" s="9"/>
      <c r="FZ78" s="9"/>
      <c r="GA78" s="9"/>
      <c r="GB78" s="9"/>
      <c r="GC78" s="9"/>
      <c r="GD78" s="9"/>
      <c r="GE78" s="9"/>
      <c r="GF78" s="9"/>
      <c r="GG78" s="9"/>
      <c r="GH78" s="9"/>
      <c r="GI78" s="9"/>
      <c r="GJ78" s="9"/>
      <c r="GK78" s="9"/>
      <c r="GL78" s="9"/>
      <c r="GM78" s="9"/>
      <c r="GN78" s="9"/>
      <c r="GO78" s="9"/>
      <c r="GP78" s="9"/>
      <c r="GQ78" s="9"/>
      <c r="GR78" s="9"/>
      <c r="GS78" s="9"/>
      <c r="GT78" s="9"/>
      <c r="GU78" s="9"/>
      <c r="GV78" s="9"/>
      <c r="GW78" s="9"/>
      <c r="GX78" s="9"/>
      <c r="GY78" s="9"/>
      <c r="GZ78" s="9"/>
      <c r="HA78" s="9"/>
      <c r="HB78" s="9"/>
      <c r="HC78" s="9"/>
      <c r="HD78" s="9"/>
      <c r="HE78" s="9"/>
      <c r="HF78" s="9"/>
      <c r="HG78" s="9"/>
      <c r="HH78" s="9"/>
      <c r="HI78" s="9"/>
      <c r="HJ78" s="9"/>
      <c r="HK78" s="9"/>
      <c r="HL78" s="9"/>
      <c r="HM78" s="9"/>
      <c r="HN78" s="9"/>
      <c r="HO78" s="9"/>
      <c r="HP78" s="9"/>
      <c r="HQ78" s="9"/>
      <c r="HR78" s="9"/>
      <c r="HS78" s="9"/>
      <c r="HT78" s="9"/>
      <c r="HU78" s="9"/>
      <c r="HV78" s="9"/>
      <c r="HW78" s="9"/>
      <c r="HX78" s="9"/>
    </row>
    <row r="79" spans="1:232" ht="14.1" customHeight="1">
      <c r="A79" s="9"/>
      <c r="B79" s="9"/>
      <c r="C79" s="9"/>
      <c r="D79" s="9"/>
      <c r="E79" s="9"/>
      <c r="F79" s="9"/>
      <c r="G79" s="9"/>
      <c r="H79" s="9"/>
      <c r="I79" s="9"/>
      <c r="J79" s="9"/>
      <c r="K79" s="23"/>
      <c r="L79" s="943"/>
      <c r="M79" s="610"/>
      <c r="N79" s="610"/>
      <c r="O79" s="610"/>
      <c r="P79" s="610"/>
      <c r="Q79" s="610"/>
      <c r="R79" s="610"/>
      <c r="S79" s="669"/>
      <c r="T79" s="669"/>
      <c r="U79" s="669"/>
      <c r="V79" s="669"/>
      <c r="W79" s="669"/>
      <c r="X79" s="669"/>
      <c r="Y79" s="669"/>
      <c r="Z79" s="669"/>
      <c r="AA79" s="669"/>
      <c r="AB79" s="669"/>
      <c r="AC79" s="669"/>
      <c r="AD79" s="669"/>
      <c r="AE79" s="669"/>
      <c r="AF79" s="669"/>
      <c r="AG79" s="669"/>
      <c r="AH79" s="669"/>
      <c r="AI79" s="669"/>
      <c r="AJ79" s="669"/>
      <c r="AK79" s="669"/>
      <c r="AL79" s="669"/>
      <c r="AM79" s="669"/>
      <c r="AN79" s="669"/>
      <c r="AO79" s="669"/>
      <c r="AP79" s="669"/>
      <c r="AQ79" s="669"/>
      <c r="AR79" s="669"/>
      <c r="AS79" s="669"/>
      <c r="AT79" s="669"/>
      <c r="AU79" s="669"/>
      <c r="AV79" s="669"/>
      <c r="AW79" s="669"/>
      <c r="AX79" s="669"/>
      <c r="AY79" s="669"/>
      <c r="AZ79" s="669"/>
      <c r="BA79" s="669"/>
      <c r="BB79" s="669"/>
      <c r="BC79" s="669"/>
      <c r="BD79" s="669"/>
      <c r="BE79" s="669"/>
      <c r="BF79" s="669"/>
      <c r="BG79" s="669"/>
      <c r="BH79" s="669"/>
      <c r="BI79" s="669"/>
      <c r="BJ79" s="669"/>
      <c r="BK79" s="669"/>
      <c r="BL79" s="669"/>
      <c r="BM79" s="669"/>
      <c r="BN79" s="669"/>
      <c r="BO79" s="669"/>
      <c r="BP79" s="669"/>
      <c r="BQ79" s="669"/>
      <c r="BR79" s="669"/>
      <c r="BS79" s="669"/>
      <c r="BT79" s="669"/>
      <c r="BU79" s="669"/>
      <c r="BV79" s="669"/>
      <c r="BW79" s="669"/>
      <c r="BX79" s="669"/>
      <c r="BY79" s="669"/>
      <c r="BZ79" s="669"/>
      <c r="CA79" s="669"/>
      <c r="CB79" s="669"/>
      <c r="CC79" s="669"/>
      <c r="CD79" s="669"/>
      <c r="CE79" s="669"/>
      <c r="CF79" s="669"/>
      <c r="CG79" s="669"/>
      <c r="CH79" s="669"/>
      <c r="CI79" s="669"/>
      <c r="CJ79" s="669"/>
      <c r="CK79" s="669"/>
      <c r="CL79" s="669"/>
      <c r="CM79" s="669"/>
      <c r="CN79" s="669"/>
      <c r="CO79" s="669"/>
      <c r="CP79" s="669"/>
      <c r="CQ79" s="669"/>
      <c r="CR79" s="669"/>
      <c r="CS79" s="669"/>
      <c r="CT79" s="669"/>
      <c r="CU79" s="669"/>
      <c r="CV79" s="669"/>
      <c r="CW79" s="9"/>
      <c r="CX79" s="9"/>
      <c r="CY79" s="9"/>
      <c r="CZ79" s="9"/>
      <c r="DA79" s="9"/>
      <c r="DB79" s="9"/>
      <c r="DC79" s="9"/>
      <c r="DD79" s="9"/>
      <c r="DE79" s="9"/>
      <c r="DF79" s="9"/>
      <c r="DG79" s="9"/>
      <c r="DH79" s="9"/>
      <c r="DI79" s="9"/>
      <c r="DJ79" s="9"/>
      <c r="DK79" s="9"/>
      <c r="DL79" s="9"/>
      <c r="DM79" s="9"/>
      <c r="DN79" s="9"/>
      <c r="DO79" s="9"/>
      <c r="DP79" s="9"/>
      <c r="DQ79" s="9"/>
      <c r="DR79" s="9"/>
      <c r="DS79" s="9"/>
      <c r="DT79" s="9"/>
      <c r="DU79" s="9"/>
      <c r="DV79" s="9"/>
      <c r="DW79" s="9"/>
      <c r="DX79" s="9"/>
      <c r="DY79" s="9"/>
      <c r="DZ79" s="9"/>
      <c r="EA79" s="9"/>
      <c r="EB79" s="9"/>
      <c r="EC79" s="9"/>
      <c r="ED79" s="9"/>
      <c r="EE79" s="9"/>
      <c r="EF79" s="9"/>
      <c r="EG79" s="9"/>
      <c r="EH79" s="9"/>
      <c r="EI79" s="9"/>
      <c r="EJ79" s="9"/>
      <c r="EK79" s="9"/>
      <c r="EL79" s="9"/>
      <c r="EM79" s="9"/>
      <c r="EN79" s="9"/>
      <c r="EO79" s="9"/>
      <c r="EP79" s="9"/>
      <c r="EQ79" s="9"/>
      <c r="ER79" s="9"/>
      <c r="ES79" s="9"/>
      <c r="ET79" s="9"/>
      <c r="EU79" s="9"/>
      <c r="EV79" s="9"/>
      <c r="EW79" s="9"/>
      <c r="EX79" s="9"/>
      <c r="EY79" s="9"/>
      <c r="EZ79" s="9"/>
      <c r="FA79" s="9"/>
      <c r="FB79" s="9"/>
      <c r="FC79" s="9"/>
      <c r="FD79" s="9"/>
      <c r="FE79" s="9"/>
      <c r="FF79" s="9"/>
      <c r="FG79" s="9"/>
      <c r="FH79" s="9"/>
      <c r="FI79" s="9"/>
      <c r="FJ79" s="9"/>
      <c r="FK79" s="9"/>
      <c r="FL79" s="9"/>
      <c r="FM79" s="9"/>
      <c r="FN79" s="9"/>
      <c r="FO79" s="9"/>
      <c r="FP79" s="9"/>
      <c r="FQ79" s="9"/>
      <c r="FR79" s="9"/>
      <c r="FS79" s="9"/>
      <c r="FT79" s="9"/>
      <c r="FU79" s="9"/>
      <c r="FV79" s="9"/>
      <c r="FW79" s="9"/>
      <c r="FX79" s="9"/>
      <c r="FY79" s="9"/>
      <c r="FZ79" s="9"/>
      <c r="GA79" s="9"/>
      <c r="GB79" s="9"/>
      <c r="GC79" s="9"/>
      <c r="GD79" s="9"/>
      <c r="GE79" s="9"/>
      <c r="GF79" s="9"/>
      <c r="GG79" s="9"/>
      <c r="GH79" s="9"/>
      <c r="GI79" s="9"/>
      <c r="GJ79" s="9"/>
      <c r="GK79" s="9"/>
      <c r="GL79" s="9"/>
      <c r="GM79" s="9"/>
      <c r="GN79" s="9"/>
      <c r="GO79" s="9"/>
      <c r="GP79" s="9"/>
      <c r="GQ79" s="9"/>
      <c r="GR79" s="9"/>
      <c r="GS79" s="9"/>
      <c r="GT79" s="9"/>
      <c r="GU79" s="9"/>
      <c r="GV79" s="9"/>
      <c r="GW79" s="9"/>
      <c r="GX79" s="9"/>
      <c r="GY79" s="9"/>
      <c r="GZ79" s="9"/>
      <c r="HA79" s="9"/>
      <c r="HB79" s="9"/>
      <c r="HC79" s="9"/>
      <c r="HD79" s="9"/>
      <c r="HE79" s="9"/>
      <c r="HF79" s="9"/>
      <c r="HG79" s="9"/>
      <c r="HH79" s="9"/>
      <c r="HI79" s="9"/>
      <c r="HJ79" s="9"/>
      <c r="HK79" s="9"/>
      <c r="HL79" s="9"/>
      <c r="HM79" s="9"/>
      <c r="HN79" s="9"/>
      <c r="HO79" s="9"/>
      <c r="HP79" s="9"/>
      <c r="HQ79" s="9"/>
      <c r="HR79" s="9"/>
      <c r="HS79" s="9"/>
      <c r="HT79" s="9"/>
      <c r="HU79" s="9"/>
      <c r="HV79" s="9"/>
      <c r="HW79" s="9"/>
      <c r="HX79" s="9"/>
    </row>
    <row r="80" spans="1:232" ht="14.1" customHeight="1">
      <c r="A80" s="9"/>
      <c r="B80" s="9"/>
      <c r="C80" s="9"/>
      <c r="D80" s="9"/>
      <c r="E80" s="9"/>
      <c r="F80" s="9"/>
      <c r="G80" s="9"/>
      <c r="H80" s="9"/>
      <c r="I80" s="9"/>
      <c r="J80" s="9"/>
      <c r="K80" s="23"/>
      <c r="L80" s="943"/>
      <c r="M80" s="610"/>
      <c r="N80" s="610"/>
      <c r="O80" s="610"/>
      <c r="P80" s="610"/>
      <c r="Q80" s="610"/>
      <c r="R80" s="610"/>
      <c r="S80" s="669"/>
      <c r="T80" s="669"/>
      <c r="U80" s="669"/>
      <c r="V80" s="669"/>
      <c r="W80" s="669"/>
      <c r="X80" s="669"/>
      <c r="Y80" s="669"/>
      <c r="Z80" s="669"/>
      <c r="AA80" s="669"/>
      <c r="AB80" s="669"/>
      <c r="AC80" s="669"/>
      <c r="AD80" s="669"/>
      <c r="AE80" s="669"/>
      <c r="AF80" s="669"/>
      <c r="AG80" s="669"/>
      <c r="AH80" s="669"/>
      <c r="AI80" s="669"/>
      <c r="AJ80" s="669"/>
      <c r="AK80" s="669"/>
      <c r="AL80" s="669"/>
      <c r="AM80" s="669"/>
      <c r="AN80" s="669"/>
      <c r="AO80" s="669"/>
      <c r="AP80" s="669"/>
      <c r="AQ80" s="669"/>
      <c r="AR80" s="669"/>
      <c r="AS80" s="669"/>
      <c r="AT80" s="669"/>
      <c r="AU80" s="669"/>
      <c r="AV80" s="669"/>
      <c r="AW80" s="669"/>
      <c r="AX80" s="669"/>
      <c r="AY80" s="669"/>
      <c r="AZ80" s="669"/>
      <c r="BA80" s="669"/>
      <c r="BB80" s="669"/>
      <c r="BC80" s="669"/>
      <c r="BD80" s="669"/>
      <c r="BE80" s="669"/>
      <c r="BF80" s="669"/>
      <c r="BG80" s="669"/>
      <c r="BH80" s="669"/>
      <c r="BI80" s="669"/>
      <c r="BJ80" s="669"/>
      <c r="BK80" s="669"/>
      <c r="BL80" s="669"/>
      <c r="BM80" s="669"/>
      <c r="BN80" s="669"/>
      <c r="BO80" s="669"/>
      <c r="BP80" s="669"/>
      <c r="BQ80" s="669"/>
      <c r="BR80" s="669"/>
      <c r="BS80" s="669"/>
      <c r="BT80" s="669"/>
      <c r="BU80" s="669"/>
      <c r="BV80" s="669"/>
      <c r="BW80" s="669"/>
      <c r="BX80" s="669"/>
      <c r="BY80" s="669"/>
      <c r="BZ80" s="669"/>
      <c r="CA80" s="669"/>
      <c r="CB80" s="669"/>
      <c r="CC80" s="669"/>
      <c r="CD80" s="669"/>
      <c r="CE80" s="669"/>
      <c r="CF80" s="669"/>
      <c r="CG80" s="669"/>
      <c r="CH80" s="669"/>
      <c r="CI80" s="669"/>
      <c r="CJ80" s="669"/>
      <c r="CK80" s="669"/>
      <c r="CL80" s="669"/>
      <c r="CM80" s="669"/>
      <c r="CN80" s="669"/>
      <c r="CO80" s="669"/>
      <c r="CP80" s="669"/>
      <c r="CQ80" s="669"/>
      <c r="CR80" s="669"/>
      <c r="CS80" s="669"/>
      <c r="CT80" s="669"/>
      <c r="CU80" s="669"/>
      <c r="CV80" s="669"/>
      <c r="CW80" s="9"/>
      <c r="CX80" s="9"/>
      <c r="CY80" s="9"/>
      <c r="CZ80" s="9"/>
      <c r="DA80" s="9"/>
      <c r="DB80" s="9"/>
      <c r="DC80" s="9"/>
      <c r="DD80" s="9"/>
      <c r="DE80" s="9"/>
      <c r="DF80" s="9"/>
      <c r="DG80" s="9"/>
      <c r="DH80" s="9"/>
      <c r="DI80" s="9"/>
      <c r="DJ80" s="9"/>
      <c r="DK80" s="9"/>
      <c r="DL80" s="9"/>
      <c r="DM80" s="9"/>
      <c r="DN80" s="9"/>
      <c r="DO80" s="9"/>
      <c r="DP80" s="9"/>
      <c r="DQ80" s="9"/>
      <c r="DR80" s="9"/>
      <c r="DS80" s="9"/>
      <c r="DT80" s="9"/>
      <c r="DU80" s="9"/>
      <c r="DV80" s="9"/>
      <c r="DW80" s="9"/>
      <c r="DX80" s="9"/>
      <c r="DY80" s="9"/>
      <c r="DZ80" s="9"/>
      <c r="EA80" s="9"/>
      <c r="EB80" s="9"/>
      <c r="EC80" s="9"/>
      <c r="ED80" s="9"/>
      <c r="EE80" s="9"/>
      <c r="EF80" s="9"/>
      <c r="EG80" s="9"/>
      <c r="EH80" s="9"/>
      <c r="EI80" s="9"/>
      <c r="EJ80" s="9"/>
      <c r="EK80" s="9"/>
      <c r="EL80" s="9"/>
      <c r="EM80" s="9"/>
      <c r="EN80" s="9"/>
      <c r="EO80" s="9"/>
      <c r="EP80" s="9"/>
      <c r="EQ80" s="9"/>
      <c r="ER80" s="9"/>
      <c r="ES80" s="9"/>
      <c r="ET80" s="9"/>
      <c r="EU80" s="9"/>
      <c r="EV80" s="9"/>
      <c r="EW80" s="9"/>
      <c r="EX80" s="9"/>
      <c r="EY80" s="9"/>
      <c r="EZ80" s="9"/>
      <c r="FA80" s="9"/>
      <c r="FB80" s="9"/>
      <c r="FC80" s="9"/>
      <c r="FD80" s="9"/>
      <c r="FE80" s="9"/>
      <c r="FF80" s="9"/>
      <c r="FG80" s="9"/>
      <c r="FH80" s="9"/>
      <c r="FI80" s="9"/>
      <c r="FJ80" s="9"/>
      <c r="FK80" s="9"/>
      <c r="FL80" s="9"/>
      <c r="FM80" s="9"/>
      <c r="FN80" s="9"/>
      <c r="FO80" s="9"/>
      <c r="FP80" s="9"/>
      <c r="FQ80" s="9"/>
      <c r="FR80" s="9"/>
      <c r="FS80" s="9"/>
      <c r="FT80" s="9"/>
      <c r="FU80" s="9"/>
      <c r="FV80" s="9"/>
      <c r="FW80" s="9"/>
      <c r="FX80" s="9"/>
      <c r="FY80" s="9"/>
      <c r="FZ80" s="9"/>
      <c r="GA80" s="9"/>
      <c r="GB80" s="9"/>
      <c r="GC80" s="9"/>
      <c r="GD80" s="9"/>
      <c r="GE80" s="9"/>
      <c r="GF80" s="9"/>
      <c r="GG80" s="9"/>
      <c r="GH80" s="9"/>
      <c r="GI80" s="9"/>
      <c r="GJ80" s="9"/>
      <c r="GK80" s="9"/>
      <c r="GL80" s="9"/>
      <c r="GM80" s="9"/>
      <c r="GN80" s="9"/>
      <c r="GO80" s="9"/>
      <c r="GP80" s="9"/>
      <c r="GQ80" s="9"/>
      <c r="GR80" s="9"/>
      <c r="GS80" s="9"/>
      <c r="GT80" s="9"/>
      <c r="GU80" s="9"/>
      <c r="GV80" s="9"/>
      <c r="GW80" s="9"/>
      <c r="GX80" s="9"/>
      <c r="GY80" s="9"/>
      <c r="GZ80" s="9"/>
      <c r="HA80" s="9"/>
      <c r="HB80" s="9"/>
      <c r="HC80" s="9"/>
      <c r="HD80" s="9"/>
      <c r="HE80" s="9"/>
      <c r="HF80" s="9"/>
      <c r="HG80" s="9"/>
      <c r="HH80" s="9"/>
      <c r="HI80" s="9"/>
      <c r="HJ80" s="9"/>
      <c r="HK80" s="9"/>
      <c r="HL80" s="9"/>
      <c r="HM80" s="9"/>
      <c r="HN80" s="9"/>
      <c r="HO80" s="9"/>
      <c r="HP80" s="9"/>
      <c r="HQ80" s="9"/>
      <c r="HR80" s="9"/>
      <c r="HS80" s="9"/>
      <c r="HT80" s="9"/>
      <c r="HU80" s="9"/>
      <c r="HV80" s="9"/>
      <c r="HW80" s="9"/>
      <c r="HX80" s="9"/>
    </row>
    <row r="81" spans="1:232" ht="14.1" customHeight="1">
      <c r="A81" s="9"/>
      <c r="B81" s="9"/>
      <c r="C81" s="9"/>
      <c r="D81" s="9"/>
      <c r="E81" s="9"/>
      <c r="F81" s="9"/>
      <c r="G81" s="9"/>
      <c r="H81" s="9"/>
      <c r="I81" s="9"/>
      <c r="J81" s="9"/>
      <c r="K81" s="23"/>
      <c r="L81" s="943"/>
      <c r="M81" s="610"/>
      <c r="N81" s="610"/>
      <c r="O81" s="610"/>
      <c r="P81" s="610"/>
      <c r="Q81" s="610"/>
      <c r="R81" s="610"/>
      <c r="S81" s="669"/>
      <c r="T81" s="669"/>
      <c r="U81" s="669"/>
      <c r="V81" s="669"/>
      <c r="W81" s="669"/>
      <c r="X81" s="669"/>
      <c r="Y81" s="669"/>
      <c r="Z81" s="669"/>
      <c r="AA81" s="669"/>
      <c r="AB81" s="669"/>
      <c r="AC81" s="669"/>
      <c r="AD81" s="669"/>
      <c r="AE81" s="669"/>
      <c r="AF81" s="669"/>
      <c r="AG81" s="669"/>
      <c r="AH81" s="669"/>
      <c r="AI81" s="669"/>
      <c r="AJ81" s="669"/>
      <c r="AK81" s="669"/>
      <c r="AL81" s="669"/>
      <c r="AM81" s="669"/>
      <c r="AN81" s="669"/>
      <c r="AO81" s="669"/>
      <c r="AP81" s="669"/>
      <c r="AQ81" s="669"/>
      <c r="AR81" s="669"/>
      <c r="AS81" s="669"/>
      <c r="AT81" s="669"/>
      <c r="AU81" s="669"/>
      <c r="AV81" s="669"/>
      <c r="AW81" s="669"/>
      <c r="AX81" s="669"/>
      <c r="AY81" s="669"/>
      <c r="AZ81" s="669"/>
      <c r="BA81" s="669"/>
      <c r="BB81" s="669"/>
      <c r="BC81" s="669"/>
      <c r="BD81" s="669"/>
      <c r="BE81" s="669"/>
      <c r="BF81" s="669"/>
      <c r="BG81" s="669"/>
      <c r="BH81" s="669"/>
      <c r="BI81" s="669"/>
      <c r="BJ81" s="669"/>
      <c r="BK81" s="669"/>
      <c r="BL81" s="669"/>
      <c r="BM81" s="669"/>
      <c r="BN81" s="669"/>
      <c r="BO81" s="669"/>
      <c r="BP81" s="669"/>
      <c r="BQ81" s="669"/>
      <c r="BR81" s="669"/>
      <c r="BS81" s="669"/>
      <c r="BT81" s="669"/>
      <c r="BU81" s="669"/>
      <c r="BV81" s="669"/>
      <c r="BW81" s="669"/>
      <c r="BX81" s="669"/>
      <c r="BY81" s="669"/>
      <c r="BZ81" s="669"/>
      <c r="CA81" s="669"/>
      <c r="CB81" s="669"/>
      <c r="CC81" s="669"/>
      <c r="CD81" s="669"/>
      <c r="CE81" s="669"/>
      <c r="CF81" s="669"/>
      <c r="CG81" s="669"/>
      <c r="CH81" s="669"/>
      <c r="CI81" s="669"/>
      <c r="CJ81" s="669"/>
      <c r="CK81" s="669"/>
      <c r="CL81" s="669"/>
      <c r="CM81" s="669"/>
      <c r="CN81" s="669"/>
      <c r="CO81" s="669"/>
      <c r="CP81" s="669"/>
      <c r="CQ81" s="669"/>
      <c r="CR81" s="669"/>
      <c r="CS81" s="669"/>
      <c r="CT81" s="669"/>
      <c r="CU81" s="669"/>
      <c r="CV81" s="669"/>
      <c r="CW81" s="9"/>
      <c r="CX81" s="9"/>
      <c r="CY81" s="9"/>
      <c r="CZ81" s="9"/>
      <c r="DA81" s="9"/>
      <c r="DB81" s="9"/>
      <c r="DC81" s="9"/>
      <c r="DD81" s="9"/>
      <c r="DE81" s="9"/>
      <c r="DF81" s="9"/>
      <c r="DG81" s="9"/>
      <c r="DH81" s="9"/>
      <c r="DI81" s="9"/>
      <c r="DJ81" s="9"/>
      <c r="DK81" s="9"/>
      <c r="DL81" s="9"/>
      <c r="DM81" s="9"/>
      <c r="DN81" s="9"/>
      <c r="DO81" s="9"/>
      <c r="DP81" s="9"/>
      <c r="DQ81" s="9"/>
      <c r="DR81" s="9"/>
      <c r="DS81" s="9"/>
      <c r="DT81" s="9"/>
      <c r="DU81" s="9"/>
      <c r="DV81" s="9"/>
      <c r="DW81" s="9"/>
      <c r="DX81" s="9"/>
      <c r="DY81" s="9"/>
      <c r="DZ81" s="9"/>
      <c r="EA81" s="9"/>
      <c r="EB81" s="9"/>
      <c r="EC81" s="9"/>
      <c r="ED81" s="9"/>
      <c r="EE81" s="9"/>
      <c r="EF81" s="9"/>
      <c r="EG81" s="9"/>
      <c r="EH81" s="9"/>
      <c r="EI81" s="9"/>
      <c r="EJ81" s="9"/>
      <c r="EK81" s="9"/>
      <c r="EL81" s="9"/>
      <c r="EM81" s="9"/>
      <c r="EN81" s="9"/>
      <c r="EO81" s="9"/>
      <c r="EP81" s="9"/>
      <c r="EQ81" s="9"/>
      <c r="ER81" s="9"/>
      <c r="ES81" s="9"/>
      <c r="ET81" s="9"/>
      <c r="EU81" s="9"/>
      <c r="EV81" s="9"/>
      <c r="EW81" s="9"/>
      <c r="EX81" s="9"/>
      <c r="EY81" s="9"/>
      <c r="EZ81" s="9"/>
      <c r="FA81" s="9"/>
      <c r="FB81" s="9"/>
      <c r="FC81" s="9"/>
      <c r="FD81" s="9"/>
      <c r="FE81" s="9"/>
      <c r="FF81" s="9"/>
      <c r="FG81" s="9"/>
      <c r="FH81" s="9"/>
      <c r="FI81" s="9"/>
      <c r="FJ81" s="9"/>
      <c r="FK81" s="9"/>
      <c r="FL81" s="9"/>
      <c r="FM81" s="9"/>
      <c r="FN81" s="9"/>
      <c r="FO81" s="9"/>
      <c r="FP81" s="9"/>
      <c r="FQ81" s="9"/>
      <c r="FR81" s="9"/>
      <c r="FS81" s="9"/>
      <c r="FT81" s="9"/>
      <c r="FU81" s="9"/>
      <c r="FV81" s="9"/>
      <c r="FW81" s="9"/>
      <c r="FX81" s="9"/>
      <c r="FY81" s="9"/>
      <c r="FZ81" s="9"/>
      <c r="GA81" s="9"/>
      <c r="GB81" s="9"/>
      <c r="GC81" s="9"/>
      <c r="GD81" s="9"/>
      <c r="GE81" s="9"/>
      <c r="GF81" s="9"/>
      <c r="GG81" s="9"/>
      <c r="GH81" s="9"/>
      <c r="GI81" s="9"/>
      <c r="GJ81" s="9"/>
      <c r="GK81" s="9"/>
      <c r="GL81" s="9"/>
      <c r="GM81" s="9"/>
      <c r="GN81" s="9"/>
      <c r="GO81" s="9"/>
      <c r="GP81" s="9"/>
      <c r="GQ81" s="9"/>
      <c r="GR81" s="9"/>
      <c r="GS81" s="9"/>
      <c r="GT81" s="9"/>
      <c r="GU81" s="9"/>
      <c r="GV81" s="9"/>
      <c r="GW81" s="9"/>
      <c r="GX81" s="9"/>
      <c r="GY81" s="9"/>
      <c r="GZ81" s="9"/>
      <c r="HA81" s="9"/>
      <c r="HB81" s="9"/>
      <c r="HC81" s="9"/>
      <c r="HD81" s="9"/>
      <c r="HE81" s="9"/>
      <c r="HF81" s="9"/>
      <c r="HG81" s="9"/>
      <c r="HH81" s="9"/>
      <c r="HI81" s="9"/>
      <c r="HJ81" s="9"/>
      <c r="HK81" s="9"/>
      <c r="HL81" s="9"/>
      <c r="HM81" s="9"/>
      <c r="HN81" s="9"/>
      <c r="HO81" s="9"/>
      <c r="HP81" s="9"/>
      <c r="HQ81" s="9"/>
      <c r="HR81" s="9"/>
      <c r="HS81" s="9"/>
      <c r="HT81" s="9"/>
      <c r="HU81" s="9"/>
      <c r="HV81" s="9"/>
      <c r="HW81" s="9"/>
      <c r="HX81" s="9"/>
    </row>
    <row r="82" spans="1:232" ht="14.1" customHeight="1">
      <c r="A82" s="9"/>
      <c r="B82" s="9"/>
      <c r="C82" s="9"/>
      <c r="D82" s="9"/>
      <c r="E82" s="9"/>
      <c r="F82" s="9"/>
      <c r="G82" s="9"/>
      <c r="H82" s="9"/>
      <c r="I82" s="9"/>
      <c r="J82" s="9"/>
      <c r="K82" s="23"/>
      <c r="L82" s="943"/>
      <c r="M82" s="610"/>
      <c r="N82" s="610"/>
      <c r="O82" s="610"/>
      <c r="P82" s="610"/>
      <c r="Q82" s="610"/>
      <c r="R82" s="610"/>
      <c r="S82" s="669"/>
      <c r="T82" s="669"/>
      <c r="U82" s="669"/>
      <c r="V82" s="669"/>
      <c r="W82" s="669"/>
      <c r="X82" s="669"/>
      <c r="Y82" s="669"/>
      <c r="Z82" s="669"/>
      <c r="AA82" s="669"/>
      <c r="AB82" s="669"/>
      <c r="AC82" s="669"/>
      <c r="AD82" s="669"/>
      <c r="AE82" s="669"/>
      <c r="AF82" s="669"/>
      <c r="AG82" s="669"/>
      <c r="AH82" s="669"/>
      <c r="AI82" s="669"/>
      <c r="AJ82" s="669"/>
      <c r="AK82" s="669"/>
      <c r="AL82" s="669"/>
      <c r="AM82" s="669"/>
      <c r="AN82" s="669"/>
      <c r="AO82" s="669"/>
      <c r="AP82" s="669"/>
      <c r="AQ82" s="669"/>
      <c r="AR82" s="669"/>
      <c r="AS82" s="669"/>
      <c r="AT82" s="669"/>
      <c r="AU82" s="669"/>
      <c r="AV82" s="669"/>
      <c r="AW82" s="669"/>
      <c r="AX82" s="669"/>
      <c r="AY82" s="669"/>
      <c r="AZ82" s="669"/>
      <c r="BA82" s="669"/>
      <c r="BB82" s="669"/>
      <c r="BC82" s="669"/>
      <c r="BD82" s="669"/>
      <c r="BE82" s="669"/>
      <c r="BF82" s="669"/>
      <c r="BG82" s="669"/>
      <c r="BH82" s="669"/>
      <c r="BI82" s="669"/>
      <c r="BJ82" s="669"/>
      <c r="BK82" s="669"/>
      <c r="BL82" s="669"/>
      <c r="BM82" s="669"/>
      <c r="BN82" s="669"/>
      <c r="BO82" s="669"/>
      <c r="BP82" s="669"/>
      <c r="BQ82" s="669"/>
      <c r="BR82" s="669"/>
      <c r="BS82" s="669"/>
      <c r="BT82" s="669"/>
      <c r="BU82" s="669"/>
      <c r="BV82" s="669"/>
      <c r="BW82" s="669"/>
      <c r="BX82" s="669"/>
      <c r="BY82" s="669"/>
      <c r="BZ82" s="669"/>
      <c r="CA82" s="669"/>
      <c r="CB82" s="669"/>
      <c r="CC82" s="669"/>
      <c r="CD82" s="669"/>
      <c r="CE82" s="669"/>
      <c r="CF82" s="669"/>
      <c r="CG82" s="669"/>
      <c r="CH82" s="669"/>
      <c r="CI82" s="669"/>
      <c r="CJ82" s="669"/>
      <c r="CK82" s="669"/>
      <c r="CL82" s="669"/>
      <c r="CM82" s="669"/>
      <c r="CN82" s="669"/>
      <c r="CO82" s="669"/>
      <c r="CP82" s="669"/>
      <c r="CQ82" s="669"/>
      <c r="CR82" s="669"/>
      <c r="CS82" s="669"/>
      <c r="CT82" s="669"/>
      <c r="CU82" s="669"/>
      <c r="CV82" s="669"/>
      <c r="CW82" s="9"/>
      <c r="CX82" s="9"/>
      <c r="CY82" s="9"/>
      <c r="CZ82" s="9"/>
      <c r="DA82" s="9"/>
      <c r="DB82" s="9"/>
      <c r="DC82" s="9"/>
      <c r="DD82" s="9"/>
      <c r="DE82" s="9"/>
      <c r="DF82" s="9"/>
      <c r="DG82" s="9"/>
      <c r="DH82" s="9"/>
      <c r="DI82" s="9"/>
      <c r="DJ82" s="9"/>
      <c r="DK82" s="9"/>
      <c r="DL82" s="9"/>
      <c r="DM82" s="9"/>
      <c r="DN82" s="9"/>
      <c r="DO82" s="9"/>
      <c r="DP82" s="9"/>
      <c r="DQ82" s="9"/>
      <c r="DR82" s="9"/>
      <c r="DS82" s="9"/>
      <c r="DT82" s="9"/>
      <c r="DU82" s="9"/>
      <c r="DV82" s="9"/>
      <c r="DW82" s="9"/>
      <c r="DX82" s="9"/>
      <c r="DY82" s="9"/>
      <c r="DZ82" s="9"/>
      <c r="EA82" s="9"/>
      <c r="EB82" s="9"/>
      <c r="EC82" s="9"/>
      <c r="ED82" s="9"/>
      <c r="EE82" s="9"/>
      <c r="EF82" s="9"/>
      <c r="EG82" s="9"/>
      <c r="EH82" s="9"/>
      <c r="EI82" s="9"/>
      <c r="EJ82" s="9"/>
      <c r="EK82" s="9"/>
      <c r="EL82" s="9"/>
      <c r="EM82" s="9"/>
      <c r="EN82" s="9"/>
      <c r="EO82" s="9"/>
      <c r="EP82" s="9"/>
      <c r="EQ82" s="9"/>
      <c r="ER82" s="9"/>
      <c r="ES82" s="9"/>
      <c r="ET82" s="9"/>
      <c r="EU82" s="9"/>
      <c r="EV82" s="9"/>
      <c r="EW82" s="9"/>
      <c r="EX82" s="9"/>
      <c r="EY82" s="9"/>
      <c r="EZ82" s="9"/>
      <c r="FA82" s="9"/>
      <c r="FB82" s="9"/>
      <c r="FC82" s="9"/>
      <c r="FD82" s="9"/>
      <c r="FE82" s="9"/>
      <c r="FF82" s="9"/>
      <c r="FG82" s="9"/>
      <c r="FH82" s="9"/>
      <c r="FI82" s="9"/>
      <c r="FJ82" s="9"/>
      <c r="FK82" s="9"/>
      <c r="FL82" s="9"/>
      <c r="FM82" s="9"/>
      <c r="FN82" s="9"/>
      <c r="FO82" s="9"/>
      <c r="FP82" s="9"/>
      <c r="FQ82" s="9"/>
      <c r="FR82" s="9"/>
      <c r="FS82" s="9"/>
      <c r="FT82" s="9"/>
      <c r="FU82" s="9"/>
      <c r="FV82" s="9"/>
      <c r="FW82" s="9"/>
      <c r="FX82" s="9"/>
      <c r="FY82" s="9"/>
      <c r="FZ82" s="9"/>
      <c r="GA82" s="9"/>
      <c r="GB82" s="9"/>
      <c r="GC82" s="9"/>
      <c r="GD82" s="9"/>
      <c r="GE82" s="9"/>
      <c r="GF82" s="9"/>
      <c r="GG82" s="9"/>
      <c r="GH82" s="9"/>
      <c r="GI82" s="9"/>
      <c r="GJ82" s="9"/>
      <c r="GK82" s="9"/>
      <c r="GL82" s="9"/>
      <c r="GM82" s="9"/>
      <c r="GN82" s="9"/>
      <c r="GO82" s="9"/>
      <c r="GP82" s="9"/>
      <c r="GQ82" s="9"/>
      <c r="GR82" s="9"/>
      <c r="GS82" s="9"/>
      <c r="GT82" s="9"/>
      <c r="GU82" s="9"/>
      <c r="GV82" s="9"/>
      <c r="GW82" s="9"/>
      <c r="GX82" s="9"/>
      <c r="GY82" s="9"/>
      <c r="GZ82" s="9"/>
      <c r="HA82" s="9"/>
      <c r="HB82" s="9"/>
      <c r="HC82" s="9"/>
      <c r="HD82" s="9"/>
      <c r="HE82" s="9"/>
      <c r="HF82" s="9"/>
      <c r="HG82" s="9"/>
      <c r="HH82" s="9"/>
      <c r="HI82" s="9"/>
      <c r="HJ82" s="9"/>
      <c r="HK82" s="9"/>
      <c r="HL82" s="9"/>
      <c r="HM82" s="9"/>
      <c r="HN82" s="9"/>
      <c r="HO82" s="9"/>
      <c r="HP82" s="9"/>
      <c r="HQ82" s="9"/>
      <c r="HR82" s="9"/>
      <c r="HS82" s="9"/>
      <c r="HT82" s="9"/>
      <c r="HU82" s="9"/>
      <c r="HV82" s="9"/>
      <c r="HW82" s="9"/>
      <c r="HX82" s="9"/>
    </row>
    <row r="83" spans="1:232" ht="14.1" customHeight="1">
      <c r="A83" s="9"/>
      <c r="B83" s="9"/>
      <c r="C83" s="9"/>
      <c r="D83" s="9"/>
      <c r="E83" s="9"/>
      <c r="F83" s="9"/>
      <c r="G83" s="9"/>
      <c r="H83" s="9"/>
      <c r="I83" s="9"/>
      <c r="J83" s="9"/>
      <c r="K83" s="23"/>
      <c r="L83" s="943"/>
      <c r="M83" s="610"/>
      <c r="N83" s="610"/>
      <c r="O83" s="610"/>
      <c r="P83" s="610"/>
      <c r="Q83" s="610"/>
      <c r="R83" s="610"/>
      <c r="S83" s="669"/>
      <c r="T83" s="669"/>
      <c r="U83" s="669"/>
      <c r="V83" s="669"/>
      <c r="W83" s="669"/>
      <c r="X83" s="669"/>
      <c r="Y83" s="669"/>
      <c r="Z83" s="669"/>
      <c r="AA83" s="669"/>
      <c r="AB83" s="669"/>
      <c r="AC83" s="669"/>
      <c r="AD83" s="669"/>
      <c r="AE83" s="669"/>
      <c r="AF83" s="669"/>
      <c r="AG83" s="669"/>
      <c r="AH83" s="669"/>
      <c r="AI83" s="669"/>
      <c r="AJ83" s="669"/>
      <c r="AK83" s="669"/>
      <c r="AL83" s="669"/>
      <c r="AM83" s="669"/>
      <c r="AN83" s="669"/>
      <c r="AO83" s="669"/>
      <c r="AP83" s="669"/>
      <c r="AQ83" s="669"/>
      <c r="AR83" s="669"/>
      <c r="AS83" s="669"/>
      <c r="AT83" s="669"/>
      <c r="AU83" s="669"/>
      <c r="AV83" s="669"/>
      <c r="AW83" s="669"/>
      <c r="AX83" s="669"/>
      <c r="AY83" s="669"/>
      <c r="AZ83" s="669"/>
      <c r="BA83" s="669"/>
      <c r="BB83" s="669"/>
      <c r="BC83" s="669"/>
      <c r="BD83" s="669"/>
      <c r="BE83" s="669"/>
      <c r="BF83" s="669"/>
      <c r="BG83" s="669"/>
      <c r="BH83" s="669"/>
      <c r="BI83" s="669"/>
      <c r="BJ83" s="669"/>
      <c r="BK83" s="669"/>
      <c r="BL83" s="669"/>
      <c r="BM83" s="669"/>
      <c r="BN83" s="669"/>
      <c r="BO83" s="669"/>
      <c r="BP83" s="669"/>
      <c r="BQ83" s="669"/>
      <c r="BR83" s="669"/>
      <c r="BS83" s="669"/>
      <c r="BT83" s="669"/>
      <c r="BU83" s="669"/>
      <c r="BV83" s="669"/>
      <c r="BW83" s="669"/>
      <c r="BX83" s="669"/>
      <c r="BY83" s="669"/>
      <c r="BZ83" s="669"/>
      <c r="CA83" s="669"/>
      <c r="CB83" s="669"/>
      <c r="CC83" s="669"/>
      <c r="CD83" s="669"/>
      <c r="CE83" s="669"/>
      <c r="CF83" s="669"/>
      <c r="CG83" s="669"/>
      <c r="CH83" s="669"/>
      <c r="CI83" s="669"/>
      <c r="CJ83" s="669"/>
      <c r="CK83" s="669"/>
      <c r="CL83" s="669"/>
      <c r="CM83" s="669"/>
      <c r="CN83" s="669"/>
      <c r="CO83" s="669"/>
      <c r="CP83" s="669"/>
      <c r="CQ83" s="669"/>
      <c r="CR83" s="669"/>
      <c r="CS83" s="669"/>
      <c r="CT83" s="669"/>
      <c r="CU83" s="669"/>
      <c r="CV83" s="669"/>
      <c r="CW83" s="9"/>
      <c r="CX83" s="9"/>
      <c r="CY83" s="9"/>
      <c r="CZ83" s="9"/>
      <c r="DA83" s="9"/>
      <c r="DB83" s="9"/>
      <c r="DC83" s="9"/>
      <c r="DD83" s="9"/>
      <c r="DE83" s="9"/>
      <c r="DF83" s="9"/>
      <c r="DG83" s="9"/>
      <c r="DH83" s="9"/>
      <c r="DI83" s="9"/>
      <c r="DJ83" s="9"/>
      <c r="DK83" s="9"/>
      <c r="DL83" s="9"/>
      <c r="DM83" s="9"/>
      <c r="DN83" s="9"/>
      <c r="DO83" s="9"/>
      <c r="DP83" s="9"/>
      <c r="DQ83" s="9"/>
      <c r="DR83" s="9"/>
      <c r="DS83" s="9"/>
      <c r="DT83" s="9"/>
      <c r="DU83" s="9"/>
      <c r="DV83" s="9"/>
      <c r="DW83" s="9"/>
      <c r="DX83" s="9"/>
      <c r="DY83" s="9"/>
      <c r="DZ83" s="9"/>
      <c r="EA83" s="9"/>
      <c r="EB83" s="9"/>
      <c r="EC83" s="9"/>
      <c r="ED83" s="9"/>
      <c r="EE83" s="9"/>
      <c r="EF83" s="9"/>
      <c r="EG83" s="9"/>
      <c r="EH83" s="9"/>
      <c r="EI83" s="9"/>
      <c r="EJ83" s="9"/>
      <c r="EK83" s="9"/>
      <c r="EL83" s="9"/>
      <c r="EM83" s="9"/>
      <c r="EN83" s="9"/>
      <c r="EO83" s="9"/>
      <c r="EP83" s="9"/>
      <c r="EQ83" s="9"/>
      <c r="ER83" s="9"/>
      <c r="ES83" s="9"/>
      <c r="ET83" s="9"/>
      <c r="EU83" s="9"/>
      <c r="EV83" s="9"/>
      <c r="EW83" s="9"/>
      <c r="EX83" s="9"/>
      <c r="EY83" s="9"/>
      <c r="EZ83" s="9"/>
      <c r="FA83" s="9"/>
      <c r="FB83" s="9"/>
      <c r="FC83" s="9"/>
      <c r="FD83" s="9"/>
      <c r="FE83" s="9"/>
      <c r="FF83" s="9"/>
      <c r="FG83" s="9"/>
      <c r="FH83" s="9"/>
      <c r="FI83" s="9"/>
      <c r="FJ83" s="9"/>
      <c r="FK83" s="9"/>
      <c r="FL83" s="9"/>
      <c r="FM83" s="9"/>
      <c r="FN83" s="9"/>
      <c r="FO83" s="9"/>
      <c r="FP83" s="9"/>
      <c r="FQ83" s="9"/>
      <c r="FR83" s="9"/>
      <c r="FS83" s="9"/>
      <c r="FT83" s="9"/>
      <c r="FU83" s="9"/>
      <c r="FV83" s="9"/>
      <c r="FW83" s="9"/>
      <c r="FX83" s="9"/>
      <c r="FY83" s="9"/>
      <c r="FZ83" s="9"/>
      <c r="GA83" s="9"/>
      <c r="GB83" s="9"/>
      <c r="GC83" s="9"/>
      <c r="GD83" s="9"/>
      <c r="GE83" s="9"/>
      <c r="GF83" s="9"/>
      <c r="GG83" s="9"/>
      <c r="GH83" s="9"/>
      <c r="GI83" s="9"/>
      <c r="GJ83" s="9"/>
      <c r="GK83" s="9"/>
      <c r="GL83" s="9"/>
      <c r="GM83" s="9"/>
      <c r="GN83" s="9"/>
      <c r="GO83" s="9"/>
      <c r="GP83" s="9"/>
      <c r="GQ83" s="9"/>
      <c r="GR83" s="9"/>
      <c r="GS83" s="9"/>
      <c r="GT83" s="9"/>
      <c r="GU83" s="9"/>
      <c r="GV83" s="9"/>
      <c r="GW83" s="9"/>
      <c r="GX83" s="9"/>
      <c r="GY83" s="9"/>
      <c r="GZ83" s="9"/>
      <c r="HA83" s="9"/>
      <c r="HB83" s="9"/>
      <c r="HC83" s="9"/>
      <c r="HD83" s="9"/>
      <c r="HE83" s="9"/>
      <c r="HF83" s="9"/>
      <c r="HG83" s="9"/>
      <c r="HH83" s="9"/>
      <c r="HI83" s="9"/>
      <c r="HJ83" s="9"/>
      <c r="HK83" s="9"/>
      <c r="HL83" s="9"/>
      <c r="HM83" s="9"/>
      <c r="HN83" s="9"/>
      <c r="HO83" s="9"/>
      <c r="HP83" s="9"/>
      <c r="HQ83" s="9"/>
      <c r="HR83" s="9"/>
      <c r="HS83" s="9"/>
      <c r="HT83" s="9"/>
      <c r="HU83" s="9"/>
      <c r="HV83" s="9"/>
      <c r="HW83" s="9"/>
      <c r="HX83" s="9"/>
    </row>
    <row r="84" spans="1:232" ht="14.1" customHeight="1">
      <c r="A84" s="9"/>
      <c r="B84" s="9"/>
      <c r="C84" s="9"/>
      <c r="D84" s="9"/>
      <c r="E84" s="9"/>
      <c r="F84" s="9"/>
      <c r="G84" s="9"/>
      <c r="H84" s="9"/>
      <c r="I84" s="9"/>
      <c r="J84" s="9"/>
      <c r="K84" s="23"/>
      <c r="L84" s="943"/>
      <c r="M84" s="610"/>
      <c r="N84" s="610"/>
      <c r="O84" s="610"/>
      <c r="P84" s="610"/>
      <c r="Q84" s="610"/>
      <c r="R84" s="610"/>
      <c r="S84" s="669"/>
      <c r="T84" s="669"/>
      <c r="U84" s="669"/>
      <c r="V84" s="669"/>
      <c r="W84" s="669"/>
      <c r="X84" s="669"/>
      <c r="Y84" s="669"/>
      <c r="Z84" s="669"/>
      <c r="AA84" s="669"/>
      <c r="AB84" s="669"/>
      <c r="AC84" s="669"/>
      <c r="AD84" s="669"/>
      <c r="AE84" s="669"/>
      <c r="AF84" s="669"/>
      <c r="AG84" s="669"/>
      <c r="AH84" s="669"/>
      <c r="AI84" s="669"/>
      <c r="AJ84" s="669"/>
      <c r="AK84" s="669"/>
      <c r="AL84" s="669"/>
      <c r="AM84" s="669"/>
      <c r="AN84" s="669"/>
      <c r="AO84" s="669"/>
      <c r="AP84" s="669"/>
      <c r="AQ84" s="669"/>
      <c r="AR84" s="669"/>
      <c r="AS84" s="669"/>
      <c r="AT84" s="669"/>
      <c r="AU84" s="669"/>
      <c r="AV84" s="669"/>
      <c r="AW84" s="669"/>
      <c r="AX84" s="669"/>
      <c r="AY84" s="669"/>
      <c r="AZ84" s="669"/>
      <c r="BA84" s="669"/>
      <c r="BB84" s="669"/>
      <c r="BC84" s="669"/>
      <c r="BD84" s="669"/>
      <c r="BE84" s="669"/>
      <c r="BF84" s="669"/>
      <c r="BG84" s="669"/>
      <c r="BH84" s="669"/>
      <c r="BI84" s="669"/>
      <c r="BJ84" s="669"/>
      <c r="BK84" s="669"/>
      <c r="BL84" s="669"/>
      <c r="BM84" s="669"/>
      <c r="BN84" s="669"/>
      <c r="BO84" s="669"/>
      <c r="BP84" s="669"/>
      <c r="BQ84" s="669"/>
      <c r="BR84" s="669"/>
      <c r="BS84" s="669"/>
      <c r="BT84" s="669"/>
      <c r="BU84" s="669"/>
      <c r="BV84" s="669"/>
      <c r="BW84" s="669"/>
      <c r="BX84" s="669"/>
      <c r="BY84" s="669"/>
      <c r="BZ84" s="669"/>
      <c r="CA84" s="669"/>
      <c r="CB84" s="669"/>
      <c r="CC84" s="669"/>
      <c r="CD84" s="669"/>
      <c r="CE84" s="669"/>
      <c r="CF84" s="669"/>
      <c r="CG84" s="669"/>
      <c r="CH84" s="669"/>
      <c r="CI84" s="669"/>
      <c r="CJ84" s="669"/>
      <c r="CK84" s="669"/>
      <c r="CL84" s="669"/>
      <c r="CM84" s="669"/>
      <c r="CN84" s="669"/>
      <c r="CO84" s="669"/>
      <c r="CP84" s="669"/>
      <c r="CQ84" s="669"/>
      <c r="CR84" s="669"/>
      <c r="CS84" s="669"/>
      <c r="CT84" s="669"/>
      <c r="CU84" s="669"/>
      <c r="CV84" s="669"/>
      <c r="CW84" s="9"/>
      <c r="CX84" s="9"/>
      <c r="CY84" s="9"/>
      <c r="CZ84" s="9"/>
      <c r="DA84" s="9"/>
      <c r="DB84" s="9"/>
      <c r="DC84" s="9"/>
      <c r="DD84" s="9"/>
      <c r="DE84" s="9"/>
      <c r="DF84" s="9"/>
      <c r="DG84" s="9"/>
      <c r="DH84" s="9"/>
      <c r="DI84" s="9"/>
      <c r="DJ84" s="9"/>
      <c r="DK84" s="9"/>
      <c r="DL84" s="9"/>
      <c r="DM84" s="9"/>
      <c r="DN84" s="9"/>
      <c r="DO84" s="9"/>
      <c r="DP84" s="9"/>
      <c r="DQ84" s="9"/>
      <c r="DR84" s="9"/>
      <c r="DS84" s="9"/>
      <c r="DT84" s="9"/>
      <c r="DU84" s="9"/>
      <c r="DV84" s="9"/>
      <c r="DW84" s="9"/>
      <c r="DX84" s="9"/>
      <c r="DY84" s="9"/>
      <c r="DZ84" s="9"/>
      <c r="EA84" s="9"/>
      <c r="EB84" s="9"/>
      <c r="EC84" s="9"/>
      <c r="ED84" s="9"/>
      <c r="EE84" s="9"/>
      <c r="EF84" s="9"/>
      <c r="EG84" s="9"/>
      <c r="EH84" s="9"/>
      <c r="EI84" s="9"/>
      <c r="EJ84" s="9"/>
      <c r="EK84" s="9"/>
      <c r="EL84" s="9"/>
      <c r="EM84" s="9"/>
      <c r="EN84" s="9"/>
      <c r="EO84" s="9"/>
      <c r="EP84" s="9"/>
      <c r="EQ84" s="9"/>
      <c r="ER84" s="9"/>
      <c r="ES84" s="9"/>
      <c r="ET84" s="9"/>
      <c r="EU84" s="9"/>
      <c r="EV84" s="9"/>
      <c r="EW84" s="9"/>
      <c r="EX84" s="9"/>
      <c r="EY84" s="9"/>
      <c r="EZ84" s="9"/>
      <c r="FA84" s="9"/>
      <c r="FB84" s="9"/>
      <c r="FC84" s="9"/>
      <c r="FD84" s="9"/>
      <c r="FE84" s="9"/>
      <c r="FF84" s="9"/>
      <c r="FG84" s="9"/>
      <c r="FH84" s="9"/>
      <c r="FI84" s="9"/>
      <c r="FJ84" s="9"/>
      <c r="FK84" s="9"/>
      <c r="FL84" s="9"/>
      <c r="FM84" s="9"/>
      <c r="FN84" s="9"/>
      <c r="FO84" s="9"/>
      <c r="FP84" s="9"/>
      <c r="FQ84" s="9"/>
      <c r="FR84" s="9"/>
      <c r="FS84" s="9"/>
      <c r="FT84" s="9"/>
      <c r="FU84" s="9"/>
      <c r="FV84" s="9"/>
      <c r="FW84" s="9"/>
      <c r="FX84" s="9"/>
      <c r="FY84" s="9"/>
      <c r="FZ84" s="9"/>
      <c r="GA84" s="9"/>
      <c r="GB84" s="9"/>
      <c r="GC84" s="9"/>
      <c r="GD84" s="9"/>
      <c r="GE84" s="9"/>
      <c r="GF84" s="9"/>
      <c r="GG84" s="9"/>
      <c r="GH84" s="9"/>
      <c r="GI84" s="9"/>
      <c r="GJ84" s="9"/>
      <c r="GK84" s="9"/>
      <c r="GL84" s="9"/>
      <c r="GM84" s="9"/>
      <c r="GN84" s="9"/>
      <c r="GO84" s="9"/>
      <c r="GP84" s="9"/>
      <c r="GQ84" s="9"/>
      <c r="GR84" s="9"/>
      <c r="GS84" s="9"/>
      <c r="GT84" s="9"/>
      <c r="GU84" s="9"/>
      <c r="GV84" s="9"/>
      <c r="GW84" s="9"/>
      <c r="GX84" s="9"/>
      <c r="GY84" s="9"/>
      <c r="GZ84" s="9"/>
      <c r="HA84" s="9"/>
      <c r="HB84" s="9"/>
      <c r="HC84" s="9"/>
      <c r="HD84" s="9"/>
      <c r="HE84" s="9"/>
      <c r="HF84" s="9"/>
      <c r="HG84" s="9"/>
      <c r="HH84" s="9"/>
      <c r="HI84" s="9"/>
      <c r="HJ84" s="9"/>
      <c r="HK84" s="9"/>
      <c r="HL84" s="9"/>
      <c r="HM84" s="9"/>
      <c r="HN84" s="9"/>
      <c r="HO84" s="9"/>
      <c r="HP84" s="9"/>
      <c r="HQ84" s="9"/>
      <c r="HR84" s="9"/>
      <c r="HS84" s="9"/>
      <c r="HT84" s="9"/>
      <c r="HU84" s="9"/>
      <c r="HV84" s="9"/>
      <c r="HW84" s="9"/>
      <c r="HX84" s="9"/>
    </row>
    <row r="85" spans="1:232" ht="14.1" customHeight="1">
      <c r="A85" s="9"/>
      <c r="B85" s="9"/>
      <c r="C85" s="9"/>
      <c r="D85" s="9"/>
      <c r="E85" s="9"/>
      <c r="F85" s="9"/>
      <c r="G85" s="9"/>
      <c r="H85" s="9"/>
      <c r="I85" s="9"/>
      <c r="J85" s="9"/>
      <c r="K85" s="23"/>
      <c r="L85" s="943"/>
      <c r="M85" s="610"/>
      <c r="N85" s="610"/>
      <c r="O85" s="610"/>
      <c r="P85" s="610"/>
      <c r="Q85" s="610"/>
      <c r="R85" s="610"/>
      <c r="S85" s="669"/>
      <c r="T85" s="669"/>
      <c r="U85" s="669"/>
      <c r="V85" s="669"/>
      <c r="W85" s="669"/>
      <c r="X85" s="669"/>
      <c r="Y85" s="669"/>
      <c r="Z85" s="669"/>
      <c r="AA85" s="669"/>
      <c r="AB85" s="669"/>
      <c r="AC85" s="669"/>
      <c r="AD85" s="669"/>
      <c r="AE85" s="669"/>
      <c r="AF85" s="669"/>
      <c r="AG85" s="669"/>
      <c r="AH85" s="669"/>
      <c r="AI85" s="669"/>
      <c r="AJ85" s="669"/>
      <c r="AK85" s="669"/>
      <c r="AL85" s="669"/>
      <c r="AM85" s="669"/>
      <c r="AN85" s="669"/>
      <c r="AO85" s="669"/>
      <c r="AP85" s="669"/>
      <c r="AQ85" s="669"/>
      <c r="AR85" s="669"/>
      <c r="AS85" s="669"/>
      <c r="AT85" s="669"/>
      <c r="AU85" s="669"/>
      <c r="AV85" s="669"/>
      <c r="AW85" s="669"/>
      <c r="AX85" s="669"/>
      <c r="AY85" s="669"/>
      <c r="AZ85" s="669"/>
      <c r="BA85" s="669"/>
      <c r="BB85" s="669"/>
      <c r="BC85" s="669"/>
      <c r="BD85" s="669"/>
      <c r="BE85" s="669"/>
      <c r="BF85" s="669"/>
      <c r="BG85" s="669"/>
      <c r="BH85" s="669"/>
      <c r="BI85" s="669"/>
      <c r="BJ85" s="669"/>
      <c r="BK85" s="669"/>
      <c r="BL85" s="669"/>
      <c r="BM85" s="669"/>
      <c r="BN85" s="669"/>
      <c r="BO85" s="669"/>
      <c r="BP85" s="669"/>
      <c r="BQ85" s="669"/>
      <c r="BR85" s="669"/>
      <c r="BS85" s="669"/>
      <c r="BT85" s="669"/>
      <c r="BU85" s="669"/>
      <c r="BV85" s="669"/>
      <c r="BW85" s="669"/>
      <c r="BX85" s="669"/>
      <c r="BY85" s="669"/>
      <c r="BZ85" s="669"/>
      <c r="CA85" s="669"/>
      <c r="CB85" s="669"/>
      <c r="CC85" s="669"/>
      <c r="CD85" s="669"/>
      <c r="CE85" s="669"/>
      <c r="CF85" s="669"/>
      <c r="CG85" s="669"/>
      <c r="CH85" s="669"/>
      <c r="CI85" s="669"/>
      <c r="CJ85" s="669"/>
      <c r="CK85" s="669"/>
      <c r="CL85" s="669"/>
      <c r="CM85" s="669"/>
      <c r="CN85" s="669"/>
      <c r="CO85" s="669"/>
      <c r="CP85" s="669"/>
      <c r="CQ85" s="669"/>
      <c r="CR85" s="669"/>
      <c r="CS85" s="669"/>
      <c r="CT85" s="669"/>
      <c r="CU85" s="669"/>
      <c r="CV85" s="669"/>
      <c r="CW85" s="9"/>
      <c r="CX85" s="9"/>
      <c r="CY85" s="9"/>
      <c r="CZ85" s="9"/>
      <c r="DA85" s="9"/>
      <c r="DB85" s="9"/>
      <c r="DC85" s="9"/>
      <c r="DD85" s="9"/>
      <c r="DE85" s="9"/>
      <c r="DF85" s="9"/>
      <c r="DG85" s="9"/>
      <c r="DH85" s="9"/>
      <c r="DI85" s="9"/>
      <c r="DJ85" s="9"/>
      <c r="DK85" s="9"/>
      <c r="DL85" s="9"/>
      <c r="DM85" s="9"/>
      <c r="DN85" s="9"/>
      <c r="DO85" s="9"/>
      <c r="DP85" s="9"/>
      <c r="DQ85" s="9"/>
      <c r="DR85" s="9"/>
      <c r="DS85" s="9"/>
      <c r="DT85" s="9"/>
      <c r="DU85" s="9"/>
      <c r="DV85" s="9"/>
      <c r="DW85" s="9"/>
      <c r="DX85" s="9"/>
      <c r="DY85" s="9"/>
      <c r="DZ85" s="9"/>
      <c r="EA85" s="9"/>
      <c r="EB85" s="9"/>
      <c r="EC85" s="9"/>
      <c r="ED85" s="9"/>
      <c r="EE85" s="9"/>
      <c r="EF85" s="9"/>
      <c r="EG85" s="9"/>
      <c r="EH85" s="9"/>
      <c r="EI85" s="9"/>
      <c r="EJ85" s="9"/>
      <c r="EK85" s="9"/>
      <c r="EL85" s="9"/>
      <c r="EM85" s="9"/>
      <c r="EN85" s="9"/>
      <c r="EO85" s="9"/>
      <c r="EP85" s="9"/>
      <c r="EQ85" s="9"/>
      <c r="ER85" s="9"/>
      <c r="ES85" s="9"/>
      <c r="ET85" s="9"/>
      <c r="EU85" s="9"/>
      <c r="EV85" s="9"/>
      <c r="EW85" s="9"/>
      <c r="EX85" s="9"/>
      <c r="EY85" s="9"/>
      <c r="EZ85" s="9"/>
      <c r="FA85" s="9"/>
      <c r="FB85" s="9"/>
      <c r="FC85" s="9"/>
      <c r="FD85" s="9"/>
      <c r="FE85" s="9"/>
      <c r="FF85" s="9"/>
      <c r="FG85" s="9"/>
      <c r="FH85" s="9"/>
      <c r="FI85" s="9"/>
      <c r="FJ85" s="9"/>
      <c r="FK85" s="9"/>
      <c r="FL85" s="9"/>
      <c r="FM85" s="9"/>
      <c r="FN85" s="9"/>
      <c r="FO85" s="9"/>
      <c r="FP85" s="9"/>
      <c r="FQ85" s="9"/>
      <c r="FR85" s="9"/>
      <c r="FS85" s="9"/>
      <c r="FT85" s="9"/>
      <c r="FU85" s="9"/>
      <c r="FV85" s="9"/>
      <c r="FW85" s="9"/>
      <c r="FX85" s="9"/>
      <c r="FY85" s="9"/>
      <c r="FZ85" s="9"/>
      <c r="GA85" s="9"/>
      <c r="GB85" s="9"/>
      <c r="GC85" s="9"/>
      <c r="GD85" s="9"/>
      <c r="GE85" s="9"/>
      <c r="GF85" s="9"/>
      <c r="GG85" s="9"/>
      <c r="GH85" s="9"/>
      <c r="GI85" s="9"/>
      <c r="GJ85" s="9"/>
      <c r="GK85" s="9"/>
      <c r="GL85" s="9"/>
      <c r="GM85" s="9"/>
      <c r="GN85" s="9"/>
      <c r="GO85" s="9"/>
      <c r="GP85" s="9"/>
      <c r="GQ85" s="9"/>
      <c r="GR85" s="9"/>
      <c r="GS85" s="9"/>
      <c r="GT85" s="9"/>
      <c r="GU85" s="9"/>
      <c r="GV85" s="9"/>
      <c r="GW85" s="9"/>
      <c r="GX85" s="9"/>
      <c r="GY85" s="9"/>
      <c r="GZ85" s="9"/>
      <c r="HA85" s="9"/>
      <c r="HB85" s="9"/>
      <c r="HC85" s="9"/>
      <c r="HD85" s="9"/>
      <c r="HE85" s="9"/>
      <c r="HF85" s="9"/>
      <c r="HG85" s="9"/>
      <c r="HH85" s="9"/>
      <c r="HI85" s="9"/>
      <c r="HJ85" s="9"/>
      <c r="HK85" s="9"/>
      <c r="HL85" s="9"/>
      <c r="HM85" s="9"/>
      <c r="HN85" s="9"/>
      <c r="HO85" s="9"/>
      <c r="HP85" s="9"/>
      <c r="HQ85" s="9"/>
      <c r="HR85" s="9"/>
      <c r="HS85" s="9"/>
      <c r="HT85" s="9"/>
      <c r="HU85" s="9"/>
      <c r="HV85" s="9"/>
      <c r="HW85" s="9"/>
      <c r="HX85" s="9"/>
    </row>
    <row r="86" spans="1:232" ht="14.1" customHeight="1">
      <c r="A86" s="9"/>
      <c r="B86" s="9"/>
      <c r="C86" s="9"/>
      <c r="D86" s="9"/>
      <c r="E86" s="9"/>
      <c r="F86" s="9"/>
      <c r="G86" s="9"/>
      <c r="H86" s="9"/>
      <c r="I86" s="9"/>
      <c r="J86" s="9"/>
      <c r="K86" s="23"/>
      <c r="L86" s="943"/>
      <c r="M86" s="610"/>
      <c r="N86" s="610"/>
      <c r="O86" s="610"/>
      <c r="P86" s="610"/>
      <c r="Q86" s="610"/>
      <c r="R86" s="610"/>
      <c r="S86" s="669"/>
      <c r="T86" s="669"/>
      <c r="U86" s="669"/>
      <c r="V86" s="669"/>
      <c r="W86" s="669"/>
      <c r="X86" s="669"/>
      <c r="Y86" s="669"/>
      <c r="Z86" s="669"/>
      <c r="AA86" s="669"/>
      <c r="AB86" s="669"/>
      <c r="AC86" s="669"/>
      <c r="AD86" s="669"/>
      <c r="AE86" s="669"/>
      <c r="AF86" s="669"/>
      <c r="AG86" s="669"/>
      <c r="AH86" s="669"/>
      <c r="AI86" s="669"/>
      <c r="AJ86" s="669"/>
      <c r="AK86" s="669"/>
      <c r="AL86" s="669"/>
      <c r="AM86" s="669"/>
      <c r="AN86" s="669"/>
      <c r="AO86" s="669"/>
      <c r="AP86" s="669"/>
      <c r="AQ86" s="669"/>
      <c r="AR86" s="669"/>
      <c r="AS86" s="669"/>
      <c r="AT86" s="669"/>
      <c r="AU86" s="669"/>
      <c r="AV86" s="669"/>
      <c r="AW86" s="669"/>
      <c r="AX86" s="669"/>
      <c r="AY86" s="669"/>
      <c r="AZ86" s="669"/>
      <c r="BA86" s="669"/>
      <c r="BB86" s="669"/>
      <c r="BC86" s="669"/>
      <c r="BD86" s="669"/>
      <c r="BE86" s="669"/>
      <c r="BF86" s="669"/>
      <c r="BG86" s="669"/>
      <c r="BH86" s="669"/>
      <c r="BI86" s="669"/>
      <c r="BJ86" s="669"/>
      <c r="BK86" s="669"/>
      <c r="BL86" s="669"/>
      <c r="BM86" s="669"/>
      <c r="BN86" s="669"/>
      <c r="BO86" s="669"/>
      <c r="BP86" s="669"/>
      <c r="BQ86" s="669"/>
      <c r="BR86" s="669"/>
      <c r="BS86" s="669"/>
      <c r="BT86" s="669"/>
      <c r="BU86" s="669"/>
      <c r="BV86" s="669"/>
      <c r="BW86" s="669"/>
      <c r="BX86" s="669"/>
      <c r="BY86" s="669"/>
      <c r="BZ86" s="669"/>
      <c r="CA86" s="669"/>
      <c r="CB86" s="669"/>
      <c r="CC86" s="669"/>
      <c r="CD86" s="669"/>
      <c r="CE86" s="669"/>
      <c r="CF86" s="669"/>
      <c r="CG86" s="669"/>
      <c r="CH86" s="669"/>
      <c r="CI86" s="669"/>
      <c r="CJ86" s="669"/>
      <c r="CK86" s="669"/>
      <c r="CL86" s="669"/>
      <c r="CM86" s="669"/>
      <c r="CN86" s="669"/>
      <c r="CO86" s="669"/>
      <c r="CP86" s="669"/>
      <c r="CQ86" s="669"/>
      <c r="CR86" s="669"/>
      <c r="CS86" s="669"/>
      <c r="CT86" s="669"/>
      <c r="CU86" s="669"/>
      <c r="CV86" s="669"/>
      <c r="CW86" s="9"/>
      <c r="CX86" s="9"/>
      <c r="CY86" s="9"/>
      <c r="CZ86" s="9"/>
      <c r="DA86" s="9"/>
      <c r="DB86" s="9"/>
      <c r="DC86" s="9"/>
      <c r="DD86" s="9"/>
      <c r="DE86" s="9"/>
      <c r="DF86" s="9"/>
      <c r="DG86" s="9"/>
      <c r="DH86" s="9"/>
      <c r="DI86" s="9"/>
      <c r="DJ86" s="9"/>
      <c r="DK86" s="9"/>
      <c r="DL86" s="9"/>
      <c r="DM86" s="9"/>
      <c r="DN86" s="9"/>
      <c r="DO86" s="9"/>
      <c r="DP86" s="9"/>
      <c r="DQ86" s="9"/>
      <c r="DR86" s="9"/>
      <c r="DS86" s="9"/>
      <c r="DT86" s="9"/>
      <c r="DU86" s="9"/>
      <c r="DV86" s="9"/>
      <c r="DW86" s="9"/>
      <c r="DX86" s="9"/>
      <c r="DY86" s="9"/>
      <c r="DZ86" s="9"/>
      <c r="EA86" s="9"/>
      <c r="EB86" s="9"/>
      <c r="EC86" s="9"/>
      <c r="ED86" s="9"/>
      <c r="EE86" s="9"/>
      <c r="EF86" s="9"/>
      <c r="EG86" s="9"/>
      <c r="EH86" s="9"/>
      <c r="EI86" s="9"/>
      <c r="EJ86" s="9"/>
      <c r="EK86" s="9"/>
      <c r="EL86" s="9"/>
      <c r="EM86" s="9"/>
      <c r="EN86" s="9"/>
      <c r="EO86" s="9"/>
      <c r="EP86" s="9"/>
      <c r="EQ86" s="9"/>
      <c r="ER86" s="9"/>
      <c r="ES86" s="9"/>
      <c r="ET86" s="9"/>
      <c r="EU86" s="9"/>
      <c r="EV86" s="9"/>
      <c r="EW86" s="9"/>
      <c r="EX86" s="9"/>
      <c r="EY86" s="9"/>
      <c r="EZ86" s="9"/>
      <c r="FA86" s="9"/>
      <c r="FB86" s="9"/>
      <c r="FC86" s="9"/>
      <c r="FD86" s="9"/>
      <c r="FE86" s="9"/>
      <c r="FF86" s="9"/>
      <c r="FG86" s="9"/>
      <c r="FH86" s="9"/>
      <c r="FI86" s="9"/>
      <c r="FJ86" s="9"/>
      <c r="FK86" s="9"/>
      <c r="FL86" s="9"/>
      <c r="FM86" s="9"/>
      <c r="FN86" s="9"/>
      <c r="FO86" s="9"/>
      <c r="FP86" s="9"/>
      <c r="FQ86" s="9"/>
      <c r="FR86" s="9"/>
      <c r="FS86" s="9"/>
      <c r="FT86" s="9"/>
      <c r="FU86" s="9"/>
      <c r="FV86" s="9"/>
      <c r="FW86" s="9"/>
      <c r="FX86" s="9"/>
      <c r="FY86" s="9"/>
      <c r="FZ86" s="9"/>
      <c r="GA86" s="9"/>
      <c r="GB86" s="9"/>
      <c r="GC86" s="9"/>
      <c r="GD86" s="9"/>
      <c r="GE86" s="9"/>
      <c r="GF86" s="9"/>
      <c r="GG86" s="9"/>
      <c r="GH86" s="9"/>
      <c r="GI86" s="9"/>
      <c r="GJ86" s="9"/>
      <c r="GK86" s="9"/>
      <c r="GL86" s="9"/>
      <c r="GM86" s="9"/>
      <c r="GN86" s="9"/>
      <c r="GO86" s="9"/>
      <c r="GP86" s="9"/>
      <c r="GQ86" s="9"/>
      <c r="GR86" s="9"/>
      <c r="GS86" s="9"/>
      <c r="GT86" s="9"/>
      <c r="GU86" s="9"/>
      <c r="GV86" s="9"/>
      <c r="GW86" s="9"/>
      <c r="GX86" s="9"/>
      <c r="GY86" s="9"/>
      <c r="GZ86" s="9"/>
      <c r="HA86" s="9"/>
      <c r="HB86" s="9"/>
      <c r="HC86" s="9"/>
      <c r="HD86" s="9"/>
      <c r="HE86" s="9"/>
      <c r="HF86" s="9"/>
      <c r="HG86" s="9"/>
      <c r="HH86" s="9"/>
      <c r="HI86" s="9"/>
      <c r="HJ86" s="9"/>
      <c r="HK86" s="9"/>
      <c r="HL86" s="9"/>
      <c r="HM86" s="9"/>
      <c r="HN86" s="9"/>
      <c r="HO86" s="9"/>
      <c r="HP86" s="9"/>
      <c r="HQ86" s="9"/>
      <c r="HR86" s="9"/>
      <c r="HS86" s="9"/>
      <c r="HT86" s="9"/>
      <c r="HU86" s="9"/>
      <c r="HV86" s="9"/>
      <c r="HW86" s="9"/>
      <c r="HX86" s="9"/>
    </row>
    <row r="87" spans="1:232" ht="14.1" customHeight="1">
      <c r="A87" s="9"/>
      <c r="B87" s="9"/>
      <c r="C87" s="9"/>
      <c r="D87" s="9"/>
      <c r="E87" s="9"/>
      <c r="F87" s="9"/>
      <c r="G87" s="9"/>
      <c r="H87" s="9"/>
      <c r="I87" s="9"/>
      <c r="J87" s="9"/>
      <c r="K87" s="23"/>
      <c r="L87" s="943"/>
      <c r="M87" s="610"/>
      <c r="N87" s="610"/>
      <c r="O87" s="610"/>
      <c r="P87" s="610"/>
      <c r="Q87" s="610"/>
      <c r="R87" s="610"/>
      <c r="S87" s="669"/>
      <c r="T87" s="669"/>
      <c r="U87" s="669"/>
      <c r="V87" s="669"/>
      <c r="W87" s="669"/>
      <c r="X87" s="669"/>
      <c r="Y87" s="669"/>
      <c r="Z87" s="669"/>
      <c r="AA87" s="669"/>
      <c r="AB87" s="669"/>
      <c r="AC87" s="669"/>
      <c r="AD87" s="669"/>
      <c r="AE87" s="669"/>
      <c r="AF87" s="669"/>
      <c r="AG87" s="669"/>
      <c r="AH87" s="669"/>
      <c r="AI87" s="669"/>
      <c r="AJ87" s="669"/>
      <c r="AK87" s="669"/>
      <c r="AL87" s="669"/>
      <c r="AM87" s="669"/>
      <c r="AN87" s="669"/>
      <c r="AO87" s="669"/>
      <c r="AP87" s="669"/>
      <c r="AQ87" s="669"/>
      <c r="AR87" s="669"/>
      <c r="AS87" s="669"/>
      <c r="AT87" s="669"/>
      <c r="AU87" s="669"/>
      <c r="AV87" s="669"/>
      <c r="AW87" s="669"/>
      <c r="AX87" s="669"/>
      <c r="AY87" s="669"/>
      <c r="AZ87" s="669"/>
      <c r="BA87" s="669"/>
      <c r="BB87" s="669"/>
      <c r="BC87" s="669"/>
      <c r="BD87" s="669"/>
      <c r="BE87" s="669"/>
      <c r="BF87" s="669"/>
      <c r="BG87" s="669"/>
      <c r="BH87" s="669"/>
      <c r="BI87" s="669"/>
      <c r="BJ87" s="669"/>
      <c r="BK87" s="669"/>
      <c r="BL87" s="669"/>
      <c r="BM87" s="669"/>
      <c r="BN87" s="669"/>
      <c r="BO87" s="669"/>
      <c r="BP87" s="669"/>
      <c r="BQ87" s="669"/>
      <c r="BR87" s="669"/>
      <c r="BS87" s="669"/>
      <c r="BT87" s="669"/>
      <c r="BU87" s="669"/>
      <c r="BV87" s="669"/>
      <c r="BW87" s="669"/>
      <c r="BX87" s="669"/>
      <c r="BY87" s="669"/>
      <c r="BZ87" s="669"/>
      <c r="CA87" s="669"/>
      <c r="CB87" s="669"/>
      <c r="CC87" s="669"/>
      <c r="CD87" s="669"/>
      <c r="CE87" s="669"/>
      <c r="CF87" s="669"/>
      <c r="CG87" s="669"/>
      <c r="CH87" s="669"/>
      <c r="CI87" s="669"/>
      <c r="CJ87" s="669"/>
      <c r="CK87" s="669"/>
      <c r="CL87" s="669"/>
      <c r="CM87" s="669"/>
      <c r="CN87" s="669"/>
      <c r="CO87" s="669"/>
      <c r="CP87" s="669"/>
      <c r="CQ87" s="669"/>
      <c r="CR87" s="669"/>
      <c r="CS87" s="669"/>
      <c r="CT87" s="669"/>
      <c r="CU87" s="669"/>
      <c r="CV87" s="669"/>
      <c r="CW87" s="9"/>
      <c r="CX87" s="9"/>
      <c r="CY87" s="9"/>
      <c r="CZ87" s="9"/>
      <c r="DA87" s="9"/>
      <c r="DB87" s="9"/>
      <c r="DC87" s="9"/>
      <c r="DD87" s="9"/>
      <c r="DE87" s="9"/>
      <c r="DF87" s="9"/>
      <c r="DG87" s="9"/>
      <c r="DH87" s="9"/>
      <c r="DI87" s="9"/>
      <c r="DJ87" s="9"/>
      <c r="DK87" s="9"/>
      <c r="DL87" s="9"/>
      <c r="DM87" s="9"/>
      <c r="DN87" s="9"/>
      <c r="DO87" s="9"/>
      <c r="DP87" s="9"/>
      <c r="DQ87" s="9"/>
      <c r="DR87" s="9"/>
      <c r="DS87" s="9"/>
      <c r="DT87" s="9"/>
      <c r="DU87" s="9"/>
      <c r="DV87" s="9"/>
      <c r="DW87" s="9"/>
      <c r="DX87" s="9"/>
      <c r="DY87" s="9"/>
      <c r="DZ87" s="9"/>
      <c r="EA87" s="9"/>
      <c r="EB87" s="9"/>
      <c r="EC87" s="9"/>
      <c r="ED87" s="9"/>
      <c r="EE87" s="9"/>
      <c r="EF87" s="9"/>
      <c r="EG87" s="9"/>
      <c r="EH87" s="9"/>
      <c r="EI87" s="9"/>
      <c r="EJ87" s="9"/>
      <c r="EK87" s="9"/>
      <c r="EL87" s="9"/>
      <c r="EM87" s="9"/>
      <c r="EN87" s="9"/>
      <c r="EO87" s="9"/>
      <c r="EP87" s="9"/>
      <c r="EQ87" s="9"/>
      <c r="ER87" s="9"/>
      <c r="ES87" s="9"/>
      <c r="ET87" s="9"/>
      <c r="EU87" s="9"/>
      <c r="EV87" s="9"/>
      <c r="EW87" s="9"/>
      <c r="EX87" s="9"/>
      <c r="EY87" s="9"/>
      <c r="EZ87" s="9"/>
      <c r="FA87" s="9"/>
      <c r="FB87" s="9"/>
      <c r="FC87" s="9"/>
      <c r="FD87" s="9"/>
      <c r="FE87" s="9"/>
      <c r="FF87" s="9"/>
      <c r="FG87" s="9"/>
      <c r="FH87" s="9"/>
      <c r="FI87" s="9"/>
      <c r="FJ87" s="9"/>
      <c r="FK87" s="9"/>
      <c r="FL87" s="9"/>
      <c r="FM87" s="9"/>
      <c r="FN87" s="9"/>
      <c r="FO87" s="9"/>
      <c r="FP87" s="9"/>
      <c r="FQ87" s="9"/>
      <c r="FR87" s="9"/>
      <c r="FS87" s="9"/>
      <c r="FT87" s="9"/>
      <c r="FU87" s="9"/>
      <c r="FV87" s="9"/>
      <c r="FW87" s="9"/>
      <c r="FX87" s="9"/>
      <c r="FY87" s="9"/>
      <c r="FZ87" s="9"/>
      <c r="GA87" s="9"/>
      <c r="GB87" s="9"/>
      <c r="GC87" s="9"/>
      <c r="GD87" s="9"/>
      <c r="GE87" s="9"/>
      <c r="GF87" s="9"/>
      <c r="GG87" s="9"/>
      <c r="GH87" s="9"/>
      <c r="GI87" s="9"/>
      <c r="GJ87" s="9"/>
      <c r="GK87" s="9"/>
      <c r="GL87" s="9"/>
      <c r="GM87" s="9"/>
      <c r="GN87" s="9"/>
      <c r="GO87" s="9"/>
      <c r="GP87" s="9"/>
      <c r="GQ87" s="9"/>
      <c r="GR87" s="9"/>
      <c r="GS87" s="9"/>
      <c r="GT87" s="9"/>
      <c r="GU87" s="9"/>
      <c r="GV87" s="9"/>
      <c r="GW87" s="9"/>
      <c r="GX87" s="9"/>
      <c r="GY87" s="9"/>
      <c r="GZ87" s="9"/>
      <c r="HA87" s="9"/>
      <c r="HB87" s="9"/>
      <c r="HC87" s="9"/>
      <c r="HD87" s="9"/>
      <c r="HE87" s="9"/>
      <c r="HF87" s="9"/>
      <c r="HG87" s="9"/>
      <c r="HH87" s="9"/>
      <c r="HI87" s="9"/>
      <c r="HJ87" s="9"/>
      <c r="HK87" s="9"/>
      <c r="HL87" s="9"/>
      <c r="HM87" s="9"/>
      <c r="HN87" s="9"/>
      <c r="HO87" s="9"/>
      <c r="HP87" s="9"/>
      <c r="HQ87" s="9"/>
      <c r="HR87" s="9"/>
      <c r="HS87" s="9"/>
      <c r="HT87" s="9"/>
      <c r="HU87" s="9"/>
      <c r="HV87" s="9"/>
      <c r="HW87" s="9"/>
      <c r="HX87" s="9"/>
    </row>
    <row r="88" spans="1:232" ht="14.1" customHeight="1">
      <c r="A88" s="9"/>
      <c r="B88" s="9"/>
      <c r="C88" s="9"/>
      <c r="D88" s="9"/>
      <c r="E88" s="9"/>
      <c r="F88" s="9"/>
      <c r="G88" s="9"/>
      <c r="H88" s="9"/>
      <c r="I88" s="9"/>
      <c r="J88" s="9"/>
      <c r="K88" s="23"/>
      <c r="L88" s="943"/>
      <c r="M88" s="610"/>
      <c r="N88" s="610"/>
      <c r="O88" s="610"/>
      <c r="P88" s="610"/>
      <c r="Q88" s="610"/>
      <c r="R88" s="610"/>
      <c r="S88" s="669"/>
      <c r="T88" s="669"/>
      <c r="U88" s="669"/>
      <c r="V88" s="669"/>
      <c r="W88" s="669"/>
      <c r="X88" s="669"/>
      <c r="Y88" s="669"/>
      <c r="Z88" s="669"/>
      <c r="AA88" s="669"/>
      <c r="AB88" s="669"/>
      <c r="AC88" s="669"/>
      <c r="AD88" s="669"/>
      <c r="AE88" s="669"/>
      <c r="AF88" s="669"/>
      <c r="AG88" s="669"/>
      <c r="AH88" s="669"/>
      <c r="AI88" s="669"/>
      <c r="AJ88" s="669"/>
      <c r="AK88" s="669"/>
      <c r="AL88" s="669"/>
      <c r="AM88" s="669"/>
      <c r="AN88" s="669"/>
      <c r="AO88" s="669"/>
      <c r="AP88" s="669"/>
      <c r="AQ88" s="669"/>
      <c r="AR88" s="669"/>
      <c r="AS88" s="669"/>
      <c r="AT88" s="669"/>
      <c r="AU88" s="669"/>
      <c r="AV88" s="669"/>
      <c r="AW88" s="669"/>
      <c r="AX88" s="669"/>
      <c r="AY88" s="669"/>
      <c r="AZ88" s="669"/>
      <c r="BA88" s="669"/>
      <c r="BB88" s="669"/>
      <c r="BC88" s="669"/>
      <c r="BD88" s="669"/>
      <c r="BE88" s="669"/>
      <c r="BF88" s="669"/>
      <c r="BG88" s="669"/>
      <c r="BH88" s="669"/>
      <c r="BI88" s="669"/>
      <c r="BJ88" s="669"/>
      <c r="BK88" s="669"/>
      <c r="BL88" s="669"/>
      <c r="BM88" s="669"/>
      <c r="BN88" s="669"/>
      <c r="BO88" s="669"/>
      <c r="BP88" s="669"/>
      <c r="BQ88" s="669"/>
      <c r="BR88" s="669"/>
      <c r="BS88" s="669"/>
      <c r="BT88" s="669"/>
      <c r="BU88" s="669"/>
      <c r="BV88" s="669"/>
      <c r="BW88" s="669"/>
      <c r="BX88" s="669"/>
      <c r="BY88" s="669"/>
      <c r="BZ88" s="669"/>
      <c r="CA88" s="669"/>
      <c r="CB88" s="669"/>
      <c r="CC88" s="669"/>
      <c r="CD88" s="669"/>
      <c r="CE88" s="669"/>
      <c r="CF88" s="669"/>
      <c r="CG88" s="669"/>
      <c r="CH88" s="669"/>
      <c r="CI88" s="669"/>
      <c r="CJ88" s="669"/>
      <c r="CK88" s="669"/>
      <c r="CL88" s="669"/>
      <c r="CM88" s="669"/>
      <c r="CN88" s="669"/>
      <c r="CO88" s="669"/>
      <c r="CP88" s="669"/>
      <c r="CQ88" s="669"/>
      <c r="CR88" s="669"/>
      <c r="CS88" s="669"/>
      <c r="CT88" s="669"/>
      <c r="CU88" s="669"/>
      <c r="CV88" s="669"/>
      <c r="CW88" s="9"/>
      <c r="CX88" s="9"/>
      <c r="CY88" s="9"/>
      <c r="CZ88" s="9"/>
      <c r="DA88" s="9"/>
      <c r="DB88" s="9"/>
      <c r="DC88" s="9"/>
      <c r="DD88" s="9"/>
      <c r="DE88" s="9"/>
      <c r="DF88" s="9"/>
      <c r="DG88" s="9"/>
      <c r="DH88" s="9"/>
      <c r="DI88" s="9"/>
      <c r="DJ88" s="9"/>
      <c r="DK88" s="9"/>
      <c r="DL88" s="9"/>
      <c r="DM88" s="9"/>
      <c r="DN88" s="9"/>
      <c r="DO88" s="9"/>
      <c r="DP88" s="9"/>
      <c r="DQ88" s="9"/>
      <c r="DR88" s="9"/>
      <c r="DS88" s="9"/>
      <c r="DT88" s="9"/>
      <c r="DU88" s="9"/>
      <c r="DV88" s="9"/>
      <c r="DW88" s="9"/>
      <c r="DX88" s="9"/>
      <c r="DY88" s="9"/>
      <c r="DZ88" s="9"/>
      <c r="EA88" s="9"/>
      <c r="EB88" s="9"/>
      <c r="EC88" s="9"/>
      <c r="ED88" s="9"/>
      <c r="EE88" s="9"/>
      <c r="EF88" s="9"/>
      <c r="EG88" s="9"/>
      <c r="EH88" s="9"/>
      <c r="EI88" s="9"/>
      <c r="EJ88" s="9"/>
      <c r="EK88" s="9"/>
      <c r="EL88" s="9"/>
      <c r="EM88" s="9"/>
      <c r="EN88" s="9"/>
      <c r="EO88" s="9"/>
      <c r="EP88" s="9"/>
      <c r="EQ88" s="9"/>
      <c r="ER88" s="9"/>
      <c r="ES88" s="9"/>
      <c r="ET88" s="9"/>
      <c r="EU88" s="9"/>
      <c r="EV88" s="9"/>
      <c r="EW88" s="9"/>
      <c r="EX88" s="9"/>
      <c r="EY88" s="9"/>
      <c r="EZ88" s="9"/>
      <c r="FA88" s="9"/>
      <c r="FB88" s="9"/>
      <c r="FC88" s="9"/>
      <c r="FD88" s="9"/>
      <c r="FE88" s="9"/>
      <c r="FF88" s="9"/>
      <c r="FG88" s="9"/>
      <c r="FH88" s="9"/>
      <c r="FI88" s="9"/>
      <c r="FJ88" s="9"/>
      <c r="FK88" s="9"/>
      <c r="FL88" s="9"/>
      <c r="FM88" s="9"/>
      <c r="FN88" s="9"/>
      <c r="FO88" s="9"/>
      <c r="FP88" s="9"/>
      <c r="FQ88" s="9"/>
      <c r="FR88" s="9"/>
      <c r="FS88" s="9"/>
      <c r="FT88" s="9"/>
      <c r="FU88" s="9"/>
      <c r="FV88" s="9"/>
      <c r="FW88" s="9"/>
      <c r="FX88" s="9"/>
      <c r="FY88" s="9"/>
      <c r="FZ88" s="9"/>
      <c r="GA88" s="9"/>
      <c r="GB88" s="9"/>
      <c r="GC88" s="9"/>
      <c r="GD88" s="9"/>
      <c r="GE88" s="9"/>
      <c r="GF88" s="9"/>
      <c r="GG88" s="9"/>
      <c r="GH88" s="9"/>
      <c r="GI88" s="9"/>
      <c r="GJ88" s="9"/>
      <c r="GK88" s="9"/>
      <c r="GL88" s="9"/>
      <c r="GM88" s="9"/>
      <c r="GN88" s="9"/>
      <c r="GO88" s="9"/>
      <c r="GP88" s="9"/>
      <c r="GQ88" s="9"/>
      <c r="GR88" s="9"/>
      <c r="GS88" s="9"/>
      <c r="GT88" s="9"/>
      <c r="GU88" s="9"/>
      <c r="GV88" s="9"/>
      <c r="GW88" s="9"/>
      <c r="GX88" s="9"/>
      <c r="GY88" s="9"/>
      <c r="GZ88" s="9"/>
      <c r="HA88" s="9"/>
      <c r="HB88" s="9"/>
      <c r="HC88" s="9"/>
      <c r="HD88" s="9"/>
      <c r="HE88" s="9"/>
      <c r="HF88" s="9"/>
      <c r="HG88" s="9"/>
      <c r="HH88" s="9"/>
      <c r="HI88" s="9"/>
      <c r="HJ88" s="9"/>
      <c r="HK88" s="9"/>
      <c r="HL88" s="9"/>
      <c r="HM88" s="9"/>
      <c r="HN88" s="9"/>
      <c r="HO88" s="9"/>
      <c r="HP88" s="9"/>
      <c r="HQ88" s="9"/>
      <c r="HR88" s="9"/>
      <c r="HS88" s="9"/>
      <c r="HT88" s="9"/>
      <c r="HU88" s="9"/>
      <c r="HV88" s="9"/>
      <c r="HW88" s="9"/>
      <c r="HX88" s="9"/>
    </row>
    <row r="89" spans="1:232" ht="14.1" customHeight="1">
      <c r="A89" s="9"/>
      <c r="B89" s="9"/>
      <c r="C89" s="9"/>
      <c r="D89" s="9"/>
      <c r="E89" s="9"/>
      <c r="F89" s="9"/>
      <c r="G89" s="9"/>
      <c r="H89" s="9"/>
      <c r="I89" s="9"/>
      <c r="J89" s="9"/>
      <c r="K89" s="23"/>
      <c r="L89" s="943"/>
      <c r="M89" s="610"/>
      <c r="N89" s="610"/>
      <c r="O89" s="610"/>
      <c r="P89" s="610"/>
      <c r="Q89" s="610"/>
      <c r="R89" s="610"/>
      <c r="S89" s="669"/>
      <c r="T89" s="669"/>
      <c r="U89" s="669"/>
      <c r="V89" s="669"/>
      <c r="W89" s="669"/>
      <c r="X89" s="669"/>
      <c r="Y89" s="669"/>
      <c r="Z89" s="669"/>
      <c r="AA89" s="669"/>
      <c r="AB89" s="669"/>
      <c r="AC89" s="669"/>
      <c r="AD89" s="669"/>
      <c r="AE89" s="669"/>
      <c r="AF89" s="669"/>
      <c r="AG89" s="669"/>
      <c r="AH89" s="669"/>
      <c r="AI89" s="669"/>
      <c r="AJ89" s="669"/>
      <c r="AK89" s="669"/>
      <c r="AL89" s="669"/>
      <c r="AM89" s="669"/>
      <c r="AN89" s="669"/>
      <c r="AO89" s="669"/>
      <c r="AP89" s="669"/>
      <c r="AQ89" s="669"/>
      <c r="AR89" s="669"/>
      <c r="AS89" s="669"/>
      <c r="AT89" s="669"/>
      <c r="AU89" s="669"/>
      <c r="AV89" s="669"/>
      <c r="AW89" s="669"/>
      <c r="AX89" s="669"/>
      <c r="AY89" s="669"/>
      <c r="AZ89" s="669"/>
      <c r="BA89" s="669"/>
      <c r="BB89" s="669"/>
      <c r="BC89" s="669"/>
      <c r="BD89" s="669"/>
      <c r="BE89" s="669"/>
      <c r="BF89" s="669"/>
      <c r="BG89" s="669"/>
      <c r="BH89" s="669"/>
      <c r="BI89" s="669"/>
      <c r="BJ89" s="669"/>
      <c r="BK89" s="669"/>
      <c r="BL89" s="669"/>
      <c r="BM89" s="669"/>
      <c r="BN89" s="669"/>
      <c r="BO89" s="669"/>
      <c r="BP89" s="669"/>
      <c r="BQ89" s="669"/>
      <c r="BR89" s="669"/>
      <c r="BS89" s="669"/>
      <c r="BT89" s="669"/>
      <c r="BU89" s="669"/>
      <c r="BV89" s="669"/>
      <c r="BW89" s="669"/>
      <c r="BX89" s="669"/>
      <c r="BY89" s="669"/>
      <c r="BZ89" s="669"/>
      <c r="CA89" s="669"/>
      <c r="CB89" s="669"/>
      <c r="CC89" s="669"/>
      <c r="CD89" s="669"/>
      <c r="CE89" s="669"/>
      <c r="CF89" s="669"/>
      <c r="CG89" s="669"/>
      <c r="CH89" s="669"/>
      <c r="CI89" s="669"/>
      <c r="CJ89" s="669"/>
      <c r="CK89" s="669"/>
      <c r="CL89" s="669"/>
      <c r="CM89" s="669"/>
      <c r="CN89" s="669"/>
      <c r="CO89" s="669"/>
      <c r="CP89" s="669"/>
      <c r="CQ89" s="669"/>
      <c r="CR89" s="669"/>
      <c r="CS89" s="669"/>
      <c r="CT89" s="669"/>
      <c r="CU89" s="669"/>
      <c r="CV89" s="669"/>
      <c r="CW89" s="9"/>
      <c r="CX89" s="9"/>
      <c r="CY89" s="9"/>
      <c r="CZ89" s="9"/>
      <c r="DA89" s="9"/>
      <c r="DB89" s="9"/>
      <c r="DC89" s="9"/>
      <c r="DD89" s="9"/>
      <c r="DE89" s="9"/>
      <c r="DF89" s="9"/>
      <c r="DG89" s="9"/>
      <c r="DH89" s="9"/>
      <c r="DI89" s="9"/>
      <c r="DJ89" s="9"/>
      <c r="DK89" s="9"/>
      <c r="DL89" s="9"/>
      <c r="DM89" s="9"/>
      <c r="DN89" s="9"/>
      <c r="DO89" s="9"/>
      <c r="DP89" s="9"/>
      <c r="DQ89" s="9"/>
      <c r="DR89" s="9"/>
      <c r="DS89" s="9"/>
      <c r="DT89" s="9"/>
      <c r="DU89" s="9"/>
      <c r="DV89" s="9"/>
      <c r="DW89" s="9"/>
      <c r="DX89" s="9"/>
      <c r="DY89" s="9"/>
      <c r="DZ89" s="9"/>
      <c r="EA89" s="9"/>
      <c r="EB89" s="9"/>
      <c r="EC89" s="9"/>
      <c r="ED89" s="9"/>
      <c r="EE89" s="9"/>
      <c r="EF89" s="9"/>
      <c r="EG89" s="9"/>
      <c r="EH89" s="9"/>
      <c r="EI89" s="9"/>
      <c r="EJ89" s="9"/>
      <c r="EK89" s="9"/>
      <c r="EL89" s="9"/>
      <c r="EM89" s="9"/>
      <c r="EN89" s="9"/>
      <c r="EO89" s="9"/>
      <c r="EP89" s="9"/>
      <c r="EQ89" s="9"/>
      <c r="ER89" s="9"/>
      <c r="ES89" s="9"/>
      <c r="ET89" s="9"/>
      <c r="EU89" s="9"/>
      <c r="EV89" s="9"/>
      <c r="EW89" s="9"/>
      <c r="EX89" s="9"/>
      <c r="EY89" s="9"/>
      <c r="EZ89" s="9"/>
      <c r="FA89" s="9"/>
      <c r="FB89" s="9"/>
      <c r="FC89" s="9"/>
      <c r="FD89" s="9"/>
      <c r="FE89" s="9"/>
      <c r="FF89" s="9"/>
      <c r="FG89" s="9"/>
      <c r="FH89" s="9"/>
      <c r="FI89" s="9"/>
      <c r="FJ89" s="9"/>
      <c r="FK89" s="9"/>
      <c r="FL89" s="9"/>
      <c r="FM89" s="9"/>
      <c r="FN89" s="9"/>
      <c r="FO89" s="9"/>
      <c r="FP89" s="9"/>
      <c r="FQ89" s="9"/>
      <c r="FR89" s="9"/>
      <c r="FS89" s="9"/>
      <c r="FT89" s="9"/>
      <c r="FU89" s="9"/>
      <c r="FV89" s="9"/>
      <c r="FW89" s="9"/>
      <c r="FX89" s="9"/>
      <c r="FY89" s="9"/>
      <c r="FZ89" s="9"/>
      <c r="GA89" s="9"/>
      <c r="GB89" s="9"/>
      <c r="GC89" s="9"/>
      <c r="GD89" s="9"/>
      <c r="GE89" s="9"/>
      <c r="GF89" s="9"/>
      <c r="GG89" s="9"/>
      <c r="GH89" s="9"/>
      <c r="GI89" s="9"/>
      <c r="GJ89" s="9"/>
      <c r="GK89" s="9"/>
      <c r="GL89" s="9"/>
      <c r="GM89" s="9"/>
      <c r="GN89" s="9"/>
      <c r="GO89" s="9"/>
      <c r="GP89" s="9"/>
      <c r="GQ89" s="9"/>
      <c r="GR89" s="9"/>
      <c r="GS89" s="9"/>
      <c r="GT89" s="9"/>
      <c r="GU89" s="9"/>
      <c r="GV89" s="9"/>
      <c r="GW89" s="9"/>
      <c r="GX89" s="9"/>
      <c r="GY89" s="9"/>
      <c r="GZ89" s="9"/>
      <c r="HA89" s="9"/>
      <c r="HB89" s="9"/>
      <c r="HC89" s="9"/>
      <c r="HD89" s="9"/>
      <c r="HE89" s="9"/>
      <c r="HF89" s="9"/>
      <c r="HG89" s="9"/>
      <c r="HH89" s="9"/>
      <c r="HI89" s="9"/>
      <c r="HJ89" s="9"/>
      <c r="HK89" s="9"/>
      <c r="HL89" s="9"/>
      <c r="HM89" s="9"/>
      <c r="HN89" s="9"/>
      <c r="HO89" s="9"/>
      <c r="HP89" s="9"/>
      <c r="HQ89" s="9"/>
      <c r="HR89" s="9"/>
      <c r="HS89" s="9"/>
      <c r="HT89" s="9"/>
      <c r="HU89" s="9"/>
      <c r="HV89" s="9"/>
      <c r="HW89" s="9"/>
      <c r="HX89" s="9"/>
    </row>
    <row r="90" spans="1:232" ht="14.1" customHeight="1">
      <c r="A90" s="9"/>
      <c r="B90" s="9"/>
      <c r="C90" s="9"/>
      <c r="D90" s="9"/>
      <c r="E90" s="9"/>
      <c r="F90" s="9"/>
      <c r="G90" s="9"/>
      <c r="H90" s="9"/>
      <c r="I90" s="9"/>
      <c r="J90" s="9"/>
      <c r="K90" s="23"/>
      <c r="L90" s="943"/>
      <c r="M90" s="610"/>
      <c r="N90" s="610"/>
      <c r="O90" s="610"/>
      <c r="P90" s="610"/>
      <c r="Q90" s="610"/>
      <c r="R90" s="610"/>
      <c r="S90" s="669"/>
      <c r="T90" s="669"/>
      <c r="U90" s="669"/>
      <c r="V90" s="669"/>
      <c r="W90" s="669"/>
      <c r="X90" s="669"/>
      <c r="Y90" s="669"/>
      <c r="Z90" s="669"/>
      <c r="AA90" s="669"/>
      <c r="AB90" s="669"/>
      <c r="AC90" s="669"/>
      <c r="AD90" s="669"/>
      <c r="AE90" s="669"/>
      <c r="AF90" s="669"/>
      <c r="AG90" s="669"/>
      <c r="AH90" s="669"/>
      <c r="AI90" s="669"/>
      <c r="AJ90" s="669"/>
      <c r="AK90" s="669"/>
      <c r="AL90" s="669"/>
      <c r="AM90" s="669"/>
      <c r="AN90" s="669"/>
      <c r="AO90" s="669"/>
      <c r="AP90" s="669"/>
      <c r="AQ90" s="669"/>
      <c r="AR90" s="669"/>
      <c r="AS90" s="669"/>
      <c r="AT90" s="669"/>
      <c r="AU90" s="669"/>
      <c r="AV90" s="669"/>
      <c r="AW90" s="669"/>
      <c r="AX90" s="669"/>
      <c r="AY90" s="669"/>
      <c r="AZ90" s="669"/>
      <c r="BA90" s="669"/>
      <c r="BB90" s="669"/>
      <c r="BC90" s="669"/>
      <c r="BD90" s="669"/>
      <c r="BE90" s="669"/>
      <c r="BF90" s="669"/>
      <c r="BG90" s="669"/>
      <c r="BH90" s="669"/>
      <c r="BI90" s="669"/>
      <c r="BJ90" s="669"/>
      <c r="BK90" s="669"/>
      <c r="BL90" s="669"/>
      <c r="BM90" s="669"/>
      <c r="BN90" s="669"/>
      <c r="BO90" s="669"/>
      <c r="BP90" s="669"/>
      <c r="BQ90" s="669"/>
      <c r="BR90" s="669"/>
      <c r="BS90" s="669"/>
      <c r="BT90" s="669"/>
      <c r="BU90" s="669"/>
      <c r="BV90" s="669"/>
      <c r="BW90" s="669"/>
      <c r="BX90" s="669"/>
      <c r="BY90" s="669"/>
      <c r="BZ90" s="669"/>
      <c r="CA90" s="669"/>
      <c r="CB90" s="669"/>
      <c r="CC90" s="669"/>
      <c r="CD90" s="669"/>
      <c r="CE90" s="669"/>
      <c r="CF90" s="669"/>
      <c r="CG90" s="669"/>
      <c r="CH90" s="669"/>
      <c r="CI90" s="669"/>
      <c r="CJ90" s="669"/>
      <c r="CK90" s="669"/>
      <c r="CL90" s="669"/>
      <c r="CM90" s="669"/>
      <c r="CN90" s="669"/>
      <c r="CO90" s="669"/>
      <c r="CP90" s="669"/>
      <c r="CQ90" s="669"/>
      <c r="CR90" s="669"/>
      <c r="CS90" s="669"/>
      <c r="CT90" s="669"/>
      <c r="CU90" s="669"/>
      <c r="CV90" s="669"/>
      <c r="CW90" s="9"/>
      <c r="CX90" s="9"/>
      <c r="CY90" s="9"/>
      <c r="CZ90" s="9"/>
      <c r="DA90" s="9"/>
      <c r="DB90" s="9"/>
      <c r="DC90" s="9"/>
      <c r="DD90" s="9"/>
      <c r="DE90" s="9"/>
      <c r="DF90" s="9"/>
      <c r="DG90" s="9"/>
      <c r="DH90" s="9"/>
      <c r="DI90" s="9"/>
      <c r="DJ90" s="9"/>
      <c r="DK90" s="9"/>
      <c r="DL90" s="9"/>
      <c r="DM90" s="9"/>
      <c r="DN90" s="9"/>
      <c r="DO90" s="9"/>
      <c r="DP90" s="9"/>
      <c r="DQ90" s="9"/>
      <c r="DR90" s="9"/>
      <c r="DS90" s="9"/>
      <c r="DT90" s="9"/>
      <c r="DU90" s="9"/>
      <c r="DV90" s="9"/>
      <c r="DW90" s="9"/>
      <c r="DX90" s="9"/>
      <c r="DY90" s="9"/>
      <c r="DZ90" s="9"/>
      <c r="EA90" s="9"/>
      <c r="EB90" s="9"/>
      <c r="EC90" s="9"/>
      <c r="ED90" s="9"/>
      <c r="EE90" s="9"/>
      <c r="EF90" s="9"/>
      <c r="EG90" s="9"/>
      <c r="EH90" s="9"/>
      <c r="EI90" s="9"/>
      <c r="EJ90" s="9"/>
      <c r="EK90" s="9"/>
      <c r="EL90" s="9"/>
      <c r="EM90" s="9"/>
      <c r="EN90" s="9"/>
      <c r="EO90" s="9"/>
      <c r="EP90" s="9"/>
      <c r="EQ90" s="9"/>
      <c r="ER90" s="9"/>
      <c r="ES90" s="9"/>
      <c r="ET90" s="9"/>
      <c r="EU90" s="9"/>
      <c r="EV90" s="9"/>
      <c r="EW90" s="9"/>
      <c r="EX90" s="9"/>
      <c r="EY90" s="9"/>
      <c r="EZ90" s="9"/>
      <c r="FA90" s="9"/>
      <c r="FB90" s="9"/>
      <c r="FC90" s="9"/>
      <c r="FD90" s="9"/>
      <c r="FE90" s="9"/>
      <c r="FF90" s="9"/>
      <c r="FG90" s="9"/>
      <c r="FH90" s="9"/>
      <c r="FI90" s="9"/>
      <c r="FJ90" s="9"/>
      <c r="FK90" s="9"/>
      <c r="FL90" s="9"/>
      <c r="FM90" s="9"/>
      <c r="FN90" s="9"/>
      <c r="FO90" s="9"/>
      <c r="FP90" s="9"/>
      <c r="FQ90" s="9"/>
      <c r="FR90" s="9"/>
      <c r="FS90" s="9"/>
      <c r="FT90" s="9"/>
      <c r="FU90" s="9"/>
      <c r="FV90" s="9"/>
      <c r="FW90" s="9"/>
      <c r="FX90" s="9"/>
      <c r="FY90" s="9"/>
      <c r="FZ90" s="9"/>
      <c r="GA90" s="9"/>
      <c r="GB90" s="9"/>
      <c r="GC90" s="9"/>
      <c r="GD90" s="9"/>
      <c r="GE90" s="9"/>
      <c r="GF90" s="9"/>
      <c r="GG90" s="9"/>
      <c r="GH90" s="9"/>
      <c r="GI90" s="9"/>
      <c r="GJ90" s="9"/>
      <c r="GK90" s="9"/>
      <c r="GL90" s="9"/>
      <c r="GM90" s="9"/>
      <c r="GN90" s="9"/>
      <c r="GO90" s="9"/>
      <c r="GP90" s="9"/>
      <c r="GQ90" s="9"/>
      <c r="GR90" s="9"/>
      <c r="GS90" s="9"/>
      <c r="GT90" s="9"/>
      <c r="GU90" s="9"/>
      <c r="GV90" s="9"/>
      <c r="GW90" s="9"/>
      <c r="GX90" s="9"/>
      <c r="GY90" s="9"/>
      <c r="GZ90" s="9"/>
      <c r="HA90" s="9"/>
      <c r="HB90" s="9"/>
      <c r="HC90" s="9"/>
      <c r="HD90" s="9"/>
      <c r="HE90" s="9"/>
      <c r="HF90" s="9"/>
      <c r="HG90" s="9"/>
      <c r="HH90" s="9"/>
      <c r="HI90" s="9"/>
      <c r="HJ90" s="9"/>
      <c r="HK90" s="9"/>
      <c r="HL90" s="9"/>
      <c r="HM90" s="9"/>
      <c r="HN90" s="9"/>
      <c r="HO90" s="9"/>
      <c r="HP90" s="9"/>
      <c r="HQ90" s="9"/>
      <c r="HR90" s="9"/>
      <c r="HS90" s="9"/>
      <c r="HT90" s="9"/>
      <c r="HU90" s="9"/>
      <c r="HV90" s="9"/>
      <c r="HW90" s="9"/>
      <c r="HX90" s="9"/>
    </row>
    <row r="91" spans="1:232" ht="14.1" customHeight="1">
      <c r="A91" s="9"/>
      <c r="B91" s="9"/>
      <c r="C91" s="9"/>
      <c r="D91" s="9"/>
      <c r="E91" s="9"/>
      <c r="F91" s="9"/>
      <c r="G91" s="9"/>
      <c r="H91" s="9"/>
      <c r="I91" s="9"/>
      <c r="J91" s="9"/>
      <c r="K91" s="23"/>
      <c r="L91" s="943"/>
      <c r="M91" s="610"/>
      <c r="N91" s="610"/>
      <c r="O91" s="610"/>
      <c r="P91" s="610"/>
      <c r="Q91" s="610"/>
      <c r="R91" s="610"/>
      <c r="S91" s="669"/>
      <c r="T91" s="669"/>
      <c r="U91" s="669"/>
      <c r="V91" s="669"/>
      <c r="W91" s="669"/>
      <c r="X91" s="669"/>
      <c r="Y91" s="669"/>
      <c r="Z91" s="669"/>
      <c r="AA91" s="669"/>
      <c r="AB91" s="669"/>
      <c r="AC91" s="669"/>
      <c r="AD91" s="669"/>
      <c r="AE91" s="669"/>
      <c r="AF91" s="669"/>
      <c r="AG91" s="669"/>
      <c r="AH91" s="669"/>
      <c r="AI91" s="669"/>
      <c r="AJ91" s="669"/>
      <c r="AK91" s="669"/>
      <c r="AL91" s="669"/>
      <c r="AM91" s="669"/>
      <c r="AN91" s="669"/>
      <c r="AO91" s="669"/>
      <c r="AP91" s="669"/>
      <c r="AQ91" s="669"/>
      <c r="AR91" s="669"/>
      <c r="AS91" s="669"/>
      <c r="AT91" s="669"/>
      <c r="AU91" s="669"/>
      <c r="AV91" s="669"/>
      <c r="AW91" s="669"/>
      <c r="AX91" s="669"/>
      <c r="AY91" s="669"/>
      <c r="AZ91" s="669"/>
      <c r="BA91" s="669"/>
      <c r="BB91" s="669"/>
      <c r="BC91" s="669"/>
      <c r="BD91" s="669"/>
      <c r="BE91" s="669"/>
      <c r="BF91" s="669"/>
      <c r="BG91" s="669"/>
      <c r="BH91" s="669"/>
      <c r="BI91" s="669"/>
      <c r="BJ91" s="669"/>
      <c r="BK91" s="669"/>
      <c r="BL91" s="669"/>
      <c r="BM91" s="669"/>
      <c r="BN91" s="669"/>
      <c r="BO91" s="669"/>
      <c r="BP91" s="669"/>
      <c r="BQ91" s="669"/>
      <c r="BR91" s="669"/>
      <c r="BS91" s="669"/>
      <c r="BT91" s="669"/>
      <c r="BU91" s="669"/>
      <c r="BV91" s="669"/>
      <c r="BW91" s="669"/>
      <c r="BX91" s="669"/>
      <c r="BY91" s="669"/>
      <c r="BZ91" s="669"/>
      <c r="CA91" s="669"/>
      <c r="CB91" s="669"/>
      <c r="CC91" s="669"/>
      <c r="CD91" s="669"/>
      <c r="CE91" s="669"/>
      <c r="CF91" s="669"/>
      <c r="CG91" s="669"/>
      <c r="CH91" s="669"/>
      <c r="CI91" s="669"/>
      <c r="CJ91" s="669"/>
      <c r="CK91" s="669"/>
      <c r="CL91" s="669"/>
      <c r="CM91" s="669"/>
      <c r="CN91" s="669"/>
      <c r="CO91" s="669"/>
      <c r="CP91" s="669"/>
      <c r="CQ91" s="669"/>
      <c r="CR91" s="669"/>
      <c r="CS91" s="669"/>
      <c r="CT91" s="669"/>
      <c r="CU91" s="669"/>
      <c r="CV91" s="669"/>
      <c r="CW91" s="9"/>
      <c r="CX91" s="9"/>
      <c r="CY91" s="9"/>
      <c r="CZ91" s="9"/>
      <c r="DA91" s="9"/>
      <c r="DB91" s="9"/>
      <c r="DC91" s="9"/>
      <c r="DD91" s="9"/>
      <c r="DE91" s="9"/>
      <c r="DF91" s="9"/>
      <c r="DG91" s="9"/>
      <c r="DH91" s="9"/>
      <c r="DI91" s="9"/>
      <c r="DJ91" s="9"/>
      <c r="DK91" s="9"/>
      <c r="DL91" s="9"/>
      <c r="DM91" s="9"/>
      <c r="DN91" s="9"/>
      <c r="DO91" s="9"/>
      <c r="DP91" s="9"/>
      <c r="DQ91" s="9"/>
      <c r="DR91" s="9"/>
      <c r="DS91" s="9"/>
      <c r="DT91" s="9"/>
      <c r="DU91" s="9"/>
      <c r="DV91" s="9"/>
      <c r="DW91" s="9"/>
      <c r="DX91" s="9"/>
      <c r="DY91" s="9"/>
      <c r="DZ91" s="9"/>
      <c r="EA91" s="9"/>
      <c r="EB91" s="9"/>
      <c r="EC91" s="9"/>
      <c r="ED91" s="9"/>
      <c r="EE91" s="9"/>
      <c r="EF91" s="9"/>
      <c r="EG91" s="9"/>
      <c r="EH91" s="9"/>
      <c r="EI91" s="9"/>
      <c r="EJ91" s="9"/>
      <c r="EK91" s="9"/>
      <c r="EL91" s="9"/>
      <c r="EM91" s="9"/>
      <c r="EN91" s="9"/>
      <c r="EO91" s="9"/>
      <c r="EP91" s="9"/>
      <c r="EQ91" s="9"/>
      <c r="ER91" s="9"/>
      <c r="ES91" s="9"/>
      <c r="ET91" s="9"/>
      <c r="EU91" s="9"/>
      <c r="EV91" s="9"/>
      <c r="EW91" s="9"/>
      <c r="EX91" s="9"/>
      <c r="EY91" s="9"/>
      <c r="EZ91" s="9"/>
      <c r="FA91" s="9"/>
      <c r="FB91" s="9"/>
      <c r="FC91" s="9"/>
      <c r="FD91" s="9"/>
      <c r="FE91" s="9"/>
      <c r="FF91" s="9"/>
      <c r="FG91" s="9"/>
      <c r="FH91" s="9"/>
      <c r="FI91" s="9"/>
      <c r="FJ91" s="9"/>
      <c r="FK91" s="9"/>
      <c r="FL91" s="9"/>
      <c r="FM91" s="9"/>
      <c r="FN91" s="9"/>
      <c r="FO91" s="9"/>
      <c r="FP91" s="9"/>
      <c r="FQ91" s="9"/>
      <c r="FR91" s="9"/>
      <c r="FS91" s="9"/>
      <c r="FT91" s="9"/>
      <c r="FU91" s="9"/>
      <c r="FV91" s="9"/>
      <c r="FW91" s="9"/>
      <c r="FX91" s="9"/>
      <c r="FY91" s="9"/>
      <c r="FZ91" s="9"/>
      <c r="GA91" s="9"/>
      <c r="GB91" s="9"/>
      <c r="GC91" s="9"/>
      <c r="GD91" s="9"/>
      <c r="GE91" s="9"/>
      <c r="GF91" s="9"/>
      <c r="GG91" s="9"/>
      <c r="GH91" s="9"/>
      <c r="GI91" s="9"/>
      <c r="GJ91" s="9"/>
      <c r="GK91" s="9"/>
      <c r="GL91" s="9"/>
      <c r="GM91" s="9"/>
      <c r="GN91" s="9"/>
      <c r="GO91" s="9"/>
      <c r="GP91" s="9"/>
      <c r="GQ91" s="9"/>
      <c r="GR91" s="9"/>
      <c r="GS91" s="9"/>
      <c r="GT91" s="9"/>
      <c r="GU91" s="9"/>
      <c r="GV91" s="9"/>
      <c r="GW91" s="9"/>
      <c r="GX91" s="9"/>
      <c r="GY91" s="9"/>
      <c r="GZ91" s="9"/>
      <c r="HA91" s="9"/>
      <c r="HB91" s="9"/>
      <c r="HC91" s="9"/>
      <c r="HD91" s="9"/>
      <c r="HE91" s="9"/>
      <c r="HF91" s="9"/>
      <c r="HG91" s="9"/>
      <c r="HH91" s="9"/>
      <c r="HI91" s="9"/>
      <c r="HJ91" s="9"/>
      <c r="HK91" s="9"/>
      <c r="HL91" s="9"/>
      <c r="HM91" s="9"/>
      <c r="HN91" s="9"/>
      <c r="HO91" s="9"/>
      <c r="HP91" s="9"/>
      <c r="HQ91" s="9"/>
      <c r="HR91" s="9"/>
      <c r="HS91" s="9"/>
      <c r="HT91" s="9"/>
      <c r="HU91" s="9"/>
      <c r="HV91" s="9"/>
      <c r="HW91" s="9"/>
      <c r="HX91" s="9"/>
    </row>
    <row r="92" spans="1:232" ht="14.1" customHeight="1">
      <c r="A92" s="9"/>
      <c r="B92" s="9"/>
      <c r="C92" s="9"/>
      <c r="D92" s="9"/>
      <c r="E92" s="9"/>
      <c r="F92" s="9"/>
      <c r="G92" s="9"/>
      <c r="H92" s="9"/>
      <c r="I92" s="9"/>
      <c r="J92" s="9"/>
      <c r="K92" s="23"/>
      <c r="L92" s="943"/>
      <c r="M92" s="610"/>
      <c r="N92" s="610"/>
      <c r="O92" s="610"/>
      <c r="P92" s="610"/>
      <c r="Q92" s="610"/>
      <c r="R92" s="610"/>
      <c r="S92" s="669"/>
      <c r="T92" s="669"/>
      <c r="U92" s="669"/>
      <c r="V92" s="669"/>
      <c r="W92" s="669"/>
      <c r="X92" s="669"/>
      <c r="Y92" s="669"/>
      <c r="Z92" s="669"/>
      <c r="AA92" s="669"/>
      <c r="AB92" s="669"/>
      <c r="AC92" s="669"/>
      <c r="AD92" s="669"/>
      <c r="AE92" s="669"/>
      <c r="AF92" s="669"/>
      <c r="AG92" s="669"/>
      <c r="AH92" s="669"/>
      <c r="AI92" s="669"/>
      <c r="AJ92" s="669"/>
      <c r="AK92" s="669"/>
      <c r="AL92" s="669"/>
      <c r="AM92" s="669"/>
      <c r="AN92" s="669"/>
      <c r="AO92" s="669"/>
      <c r="AP92" s="669"/>
      <c r="AQ92" s="669"/>
      <c r="AR92" s="669"/>
      <c r="AS92" s="669"/>
      <c r="AT92" s="669"/>
      <c r="AU92" s="669"/>
      <c r="AV92" s="669"/>
      <c r="AW92" s="669"/>
      <c r="AX92" s="669"/>
      <c r="AY92" s="669"/>
      <c r="AZ92" s="669"/>
      <c r="BA92" s="669"/>
      <c r="BB92" s="669"/>
      <c r="BC92" s="669"/>
      <c r="BD92" s="669"/>
      <c r="BE92" s="669"/>
      <c r="BF92" s="669"/>
      <c r="BG92" s="669"/>
      <c r="BH92" s="669"/>
      <c r="BI92" s="669"/>
      <c r="BJ92" s="669"/>
      <c r="BK92" s="669"/>
      <c r="BL92" s="669"/>
      <c r="BM92" s="669"/>
      <c r="BN92" s="669"/>
      <c r="BO92" s="669"/>
      <c r="BP92" s="669"/>
      <c r="BQ92" s="669"/>
      <c r="BR92" s="669"/>
      <c r="BS92" s="669"/>
      <c r="BT92" s="669"/>
      <c r="BU92" s="669"/>
      <c r="BV92" s="669"/>
      <c r="BW92" s="669"/>
      <c r="BX92" s="669"/>
      <c r="BY92" s="669"/>
      <c r="BZ92" s="669"/>
      <c r="CA92" s="669"/>
      <c r="CB92" s="669"/>
      <c r="CC92" s="669"/>
      <c r="CD92" s="669"/>
      <c r="CE92" s="669"/>
      <c r="CF92" s="669"/>
      <c r="CG92" s="669"/>
      <c r="CH92" s="669"/>
      <c r="CI92" s="669"/>
      <c r="CJ92" s="669"/>
      <c r="CK92" s="669"/>
      <c r="CL92" s="669"/>
      <c r="CM92" s="669"/>
      <c r="CN92" s="669"/>
      <c r="CO92" s="669"/>
      <c r="CP92" s="669"/>
      <c r="CQ92" s="669"/>
      <c r="CR92" s="669"/>
      <c r="CS92" s="669"/>
      <c r="CT92" s="669"/>
      <c r="CU92" s="669"/>
      <c r="CV92" s="669"/>
      <c r="CW92" s="9"/>
      <c r="CX92" s="9"/>
      <c r="CY92" s="9"/>
      <c r="CZ92" s="9"/>
      <c r="DA92" s="9"/>
      <c r="DB92" s="9"/>
      <c r="DC92" s="9"/>
      <c r="DD92" s="9"/>
      <c r="DE92" s="9"/>
      <c r="DF92" s="9"/>
      <c r="DG92" s="9"/>
      <c r="DH92" s="9"/>
      <c r="DI92" s="9"/>
      <c r="DJ92" s="9"/>
      <c r="DK92" s="9"/>
      <c r="DL92" s="9"/>
      <c r="DM92" s="9"/>
      <c r="DN92" s="9"/>
      <c r="DO92" s="9"/>
      <c r="DP92" s="9"/>
      <c r="DQ92" s="9"/>
      <c r="DR92" s="9"/>
      <c r="DS92" s="9"/>
      <c r="DT92" s="9"/>
      <c r="DU92" s="9"/>
      <c r="DV92" s="9"/>
      <c r="DW92" s="9"/>
      <c r="DX92" s="9"/>
      <c r="DY92" s="9"/>
      <c r="DZ92" s="9"/>
      <c r="EA92" s="9"/>
      <c r="EB92" s="9"/>
      <c r="EC92" s="9"/>
      <c r="ED92" s="9"/>
      <c r="EE92" s="9"/>
      <c r="EF92" s="9"/>
      <c r="EG92" s="9"/>
      <c r="EH92" s="9"/>
      <c r="EI92" s="9"/>
      <c r="EJ92" s="9"/>
      <c r="EK92" s="9"/>
      <c r="EL92" s="9"/>
      <c r="EM92" s="9"/>
      <c r="EN92" s="9"/>
      <c r="EO92" s="9"/>
      <c r="EP92" s="9"/>
      <c r="EQ92" s="9"/>
      <c r="ER92" s="9"/>
      <c r="ES92" s="9"/>
      <c r="ET92" s="9"/>
      <c r="EU92" s="9"/>
      <c r="EV92" s="9"/>
      <c r="EW92" s="9"/>
      <c r="EX92" s="9"/>
      <c r="EY92" s="9"/>
      <c r="EZ92" s="9"/>
      <c r="FA92" s="9"/>
      <c r="FB92" s="9"/>
      <c r="FC92" s="9"/>
      <c r="FD92" s="9"/>
      <c r="FE92" s="9"/>
      <c r="FF92" s="9"/>
      <c r="FG92" s="9"/>
      <c r="FH92" s="9"/>
      <c r="FI92" s="9"/>
      <c r="FJ92" s="9"/>
      <c r="FK92" s="9"/>
      <c r="FL92" s="9"/>
      <c r="FM92" s="9"/>
      <c r="FN92" s="9"/>
      <c r="FO92" s="9"/>
      <c r="FP92" s="9"/>
      <c r="FQ92" s="9"/>
      <c r="FR92" s="9"/>
      <c r="FS92" s="9"/>
      <c r="FT92" s="9"/>
      <c r="FU92" s="9"/>
      <c r="FV92" s="9"/>
      <c r="FW92" s="9"/>
      <c r="FX92" s="9"/>
      <c r="FY92" s="9"/>
      <c r="FZ92" s="9"/>
      <c r="GA92" s="9"/>
      <c r="GB92" s="9"/>
      <c r="GC92" s="9"/>
      <c r="GD92" s="9"/>
      <c r="GE92" s="9"/>
      <c r="GF92" s="9"/>
      <c r="GG92" s="9"/>
      <c r="GH92" s="9"/>
      <c r="GI92" s="9"/>
      <c r="GJ92" s="9"/>
      <c r="GK92" s="9"/>
      <c r="GL92" s="9"/>
      <c r="GM92" s="9"/>
      <c r="GN92" s="9"/>
      <c r="GO92" s="9"/>
      <c r="GP92" s="9"/>
      <c r="GQ92" s="9"/>
      <c r="GR92" s="9"/>
      <c r="GS92" s="9"/>
      <c r="GT92" s="9"/>
      <c r="GU92" s="9"/>
      <c r="GV92" s="9"/>
      <c r="GW92" s="9"/>
      <c r="GX92" s="9"/>
      <c r="GY92" s="9"/>
      <c r="GZ92" s="9"/>
      <c r="HA92" s="9"/>
      <c r="HB92" s="9"/>
      <c r="HC92" s="9"/>
      <c r="HD92" s="9"/>
      <c r="HE92" s="9"/>
      <c r="HF92" s="9"/>
      <c r="HG92" s="9"/>
      <c r="HH92" s="9"/>
      <c r="HI92" s="9"/>
      <c r="HJ92" s="9"/>
      <c r="HK92" s="9"/>
      <c r="HL92" s="9"/>
      <c r="HM92" s="9"/>
      <c r="HN92" s="9"/>
      <c r="HO92" s="9"/>
      <c r="HP92" s="9"/>
      <c r="HQ92" s="9"/>
      <c r="HR92" s="9"/>
      <c r="HS92" s="9"/>
      <c r="HT92" s="9"/>
      <c r="HU92" s="9"/>
      <c r="HV92" s="9"/>
      <c r="HW92" s="9"/>
      <c r="HX92" s="9"/>
    </row>
    <row r="93" spans="1:232" ht="14.1" customHeight="1">
      <c r="A93" s="9"/>
      <c r="B93" s="9"/>
      <c r="C93" s="9"/>
      <c r="D93" s="9"/>
      <c r="E93" s="9"/>
      <c r="F93" s="9"/>
      <c r="G93" s="9"/>
      <c r="H93" s="9"/>
      <c r="I93" s="9"/>
      <c r="J93" s="9"/>
      <c r="K93" s="23"/>
      <c r="L93" s="943"/>
      <c r="M93" s="610"/>
      <c r="N93" s="610"/>
      <c r="O93" s="610"/>
      <c r="P93" s="610"/>
      <c r="Q93" s="610"/>
      <c r="R93" s="610"/>
      <c r="S93" s="669"/>
      <c r="T93" s="669"/>
      <c r="U93" s="669"/>
      <c r="V93" s="669"/>
      <c r="W93" s="669"/>
      <c r="X93" s="669"/>
      <c r="Y93" s="669"/>
      <c r="Z93" s="669"/>
      <c r="AA93" s="669"/>
      <c r="AB93" s="669"/>
      <c r="AC93" s="669"/>
      <c r="AD93" s="669"/>
      <c r="AE93" s="669"/>
      <c r="AF93" s="669"/>
      <c r="AG93" s="669"/>
      <c r="AH93" s="669"/>
      <c r="AI93" s="669"/>
      <c r="AJ93" s="669"/>
      <c r="AK93" s="669"/>
      <c r="AL93" s="669"/>
      <c r="AM93" s="669"/>
      <c r="AN93" s="669"/>
      <c r="AO93" s="669"/>
      <c r="AP93" s="669"/>
      <c r="AQ93" s="669"/>
      <c r="AR93" s="669"/>
      <c r="AS93" s="669"/>
      <c r="AT93" s="669"/>
      <c r="AU93" s="669"/>
      <c r="AV93" s="669"/>
      <c r="AW93" s="669"/>
      <c r="AX93" s="669"/>
      <c r="AY93" s="669"/>
      <c r="AZ93" s="669"/>
      <c r="BA93" s="669"/>
      <c r="BB93" s="669"/>
      <c r="BC93" s="669"/>
      <c r="BD93" s="669"/>
      <c r="BE93" s="669"/>
      <c r="BF93" s="669"/>
      <c r="BG93" s="669"/>
      <c r="BH93" s="669"/>
      <c r="BI93" s="669"/>
      <c r="BJ93" s="669"/>
      <c r="BK93" s="669"/>
      <c r="BL93" s="669"/>
      <c r="BM93" s="669"/>
      <c r="BN93" s="669"/>
      <c r="BO93" s="669"/>
      <c r="BP93" s="669"/>
      <c r="BQ93" s="669"/>
      <c r="BR93" s="669"/>
      <c r="BS93" s="669"/>
      <c r="BT93" s="669"/>
      <c r="BU93" s="669"/>
      <c r="BV93" s="669"/>
      <c r="BW93" s="669"/>
      <c r="BX93" s="669"/>
      <c r="BY93" s="669"/>
      <c r="BZ93" s="669"/>
      <c r="CA93" s="669"/>
      <c r="CB93" s="669"/>
      <c r="CC93" s="669"/>
      <c r="CD93" s="669"/>
      <c r="CE93" s="669"/>
      <c r="CF93" s="669"/>
      <c r="CG93" s="669"/>
      <c r="CH93" s="669"/>
      <c r="CI93" s="669"/>
      <c r="CJ93" s="669"/>
      <c r="CK93" s="669"/>
      <c r="CL93" s="669"/>
      <c r="CM93" s="669"/>
      <c r="CN93" s="669"/>
      <c r="CO93" s="669"/>
      <c r="CP93" s="669"/>
      <c r="CQ93" s="669"/>
      <c r="CR93" s="669"/>
      <c r="CS93" s="669"/>
      <c r="CT93" s="669"/>
      <c r="CU93" s="669"/>
      <c r="CV93" s="669"/>
      <c r="CW93" s="9"/>
      <c r="CX93" s="9"/>
      <c r="CY93" s="9"/>
      <c r="CZ93" s="9"/>
      <c r="DA93" s="9"/>
      <c r="DB93" s="9"/>
      <c r="DC93" s="9"/>
      <c r="DD93" s="9"/>
      <c r="DE93" s="9"/>
      <c r="DF93" s="9"/>
      <c r="DG93" s="9"/>
      <c r="DH93" s="9"/>
      <c r="DI93" s="9"/>
      <c r="DJ93" s="9"/>
      <c r="DK93" s="9"/>
      <c r="DL93" s="9"/>
      <c r="DM93" s="9"/>
      <c r="DN93" s="9"/>
      <c r="DO93" s="9"/>
      <c r="DP93" s="9"/>
      <c r="DQ93" s="9"/>
      <c r="DR93" s="9"/>
      <c r="DS93" s="9"/>
      <c r="DT93" s="9"/>
      <c r="DU93" s="9"/>
      <c r="DV93" s="9"/>
      <c r="DW93" s="9"/>
      <c r="DX93" s="9"/>
      <c r="DY93" s="9"/>
      <c r="DZ93" s="9"/>
      <c r="EA93" s="9"/>
      <c r="EB93" s="9"/>
      <c r="EC93" s="9"/>
      <c r="ED93" s="9"/>
      <c r="EE93" s="9"/>
      <c r="EF93" s="9"/>
      <c r="EG93" s="9"/>
      <c r="EH93" s="9"/>
      <c r="EI93" s="9"/>
      <c r="EJ93" s="9"/>
      <c r="EK93" s="9"/>
      <c r="EL93" s="9"/>
      <c r="EM93" s="9"/>
      <c r="EN93" s="9"/>
      <c r="EO93" s="9"/>
      <c r="EP93" s="9"/>
      <c r="EQ93" s="9"/>
      <c r="ER93" s="9"/>
      <c r="ES93" s="9"/>
      <c r="ET93" s="9"/>
      <c r="EU93" s="9"/>
      <c r="EV93" s="9"/>
      <c r="EW93" s="9"/>
      <c r="EX93" s="9"/>
      <c r="EY93" s="9"/>
      <c r="EZ93" s="9"/>
      <c r="FA93" s="9"/>
      <c r="FB93" s="9"/>
      <c r="FC93" s="9"/>
      <c r="FD93" s="9"/>
      <c r="FE93" s="9"/>
      <c r="FF93" s="9"/>
      <c r="FG93" s="9"/>
      <c r="FH93" s="9"/>
      <c r="FI93" s="9"/>
      <c r="FJ93" s="9"/>
      <c r="FK93" s="9"/>
      <c r="FL93" s="9"/>
      <c r="FM93" s="9"/>
      <c r="FN93" s="9"/>
      <c r="FO93" s="9"/>
      <c r="FP93" s="9"/>
      <c r="FQ93" s="9"/>
      <c r="FR93" s="9"/>
      <c r="FS93" s="9"/>
      <c r="FT93" s="9"/>
      <c r="FU93" s="9"/>
      <c r="FV93" s="9"/>
      <c r="FW93" s="9"/>
      <c r="FX93" s="9"/>
      <c r="FY93" s="9"/>
      <c r="FZ93" s="9"/>
      <c r="GA93" s="9"/>
      <c r="GB93" s="9"/>
      <c r="GC93" s="9"/>
      <c r="GD93" s="9"/>
      <c r="GE93" s="9"/>
      <c r="GF93" s="9"/>
      <c r="GG93" s="9"/>
      <c r="GH93" s="9"/>
      <c r="GI93" s="9"/>
      <c r="GJ93" s="9"/>
      <c r="GK93" s="9"/>
      <c r="GL93" s="9"/>
      <c r="GM93" s="9"/>
      <c r="GN93" s="9"/>
      <c r="GO93" s="9"/>
      <c r="GP93" s="9"/>
      <c r="GQ93" s="9"/>
      <c r="GR93" s="9"/>
      <c r="GS93" s="9"/>
      <c r="GT93" s="9"/>
      <c r="GU93" s="9"/>
      <c r="GV93" s="9"/>
      <c r="GW93" s="9"/>
      <c r="GX93" s="9"/>
      <c r="GY93" s="9"/>
      <c r="GZ93" s="9"/>
      <c r="HA93" s="9"/>
      <c r="HB93" s="9"/>
      <c r="HC93" s="9"/>
      <c r="HD93" s="9"/>
      <c r="HE93" s="9"/>
      <c r="HF93" s="9"/>
      <c r="HG93" s="9"/>
      <c r="HH93" s="9"/>
      <c r="HI93" s="9"/>
      <c r="HJ93" s="9"/>
      <c r="HK93" s="9"/>
      <c r="HL93" s="9"/>
      <c r="HM93" s="9"/>
      <c r="HN93" s="9"/>
      <c r="HO93" s="9"/>
      <c r="HP93" s="9"/>
      <c r="HQ93" s="9"/>
      <c r="HR93" s="9"/>
      <c r="HS93" s="9"/>
      <c r="HT93" s="9"/>
      <c r="HU93" s="9"/>
      <c r="HV93" s="9"/>
      <c r="HW93" s="9"/>
      <c r="HX93" s="9"/>
    </row>
    <row r="94" spans="1:232" ht="14.1" customHeight="1">
      <c r="A94" s="9"/>
      <c r="B94" s="9"/>
      <c r="C94" s="9"/>
      <c r="D94" s="9"/>
      <c r="E94" s="9"/>
      <c r="F94" s="9"/>
      <c r="G94" s="9"/>
      <c r="H94" s="9"/>
      <c r="I94" s="9"/>
      <c r="J94" s="9"/>
      <c r="K94" s="23"/>
      <c r="L94" s="943"/>
      <c r="M94" s="610"/>
      <c r="N94" s="610"/>
      <c r="O94" s="610"/>
      <c r="P94" s="610"/>
      <c r="Q94" s="610"/>
      <c r="R94" s="610"/>
      <c r="S94" s="669"/>
      <c r="T94" s="669"/>
      <c r="U94" s="669"/>
      <c r="V94" s="669"/>
      <c r="W94" s="669"/>
      <c r="X94" s="669"/>
      <c r="Y94" s="669"/>
      <c r="Z94" s="669"/>
      <c r="AA94" s="669"/>
      <c r="AB94" s="669"/>
      <c r="AC94" s="669"/>
      <c r="AD94" s="669"/>
      <c r="AE94" s="669"/>
      <c r="AF94" s="669"/>
      <c r="AG94" s="669"/>
      <c r="AH94" s="669"/>
      <c r="AI94" s="669"/>
      <c r="AJ94" s="669"/>
      <c r="AK94" s="669"/>
      <c r="AL94" s="669"/>
      <c r="AM94" s="669"/>
      <c r="AN94" s="669"/>
      <c r="AO94" s="669"/>
      <c r="AP94" s="669"/>
      <c r="AQ94" s="669"/>
      <c r="AR94" s="669"/>
      <c r="AS94" s="669"/>
      <c r="AT94" s="669"/>
      <c r="AU94" s="669"/>
      <c r="AV94" s="669"/>
      <c r="AW94" s="669"/>
      <c r="AX94" s="669"/>
      <c r="AY94" s="669"/>
      <c r="AZ94" s="669"/>
      <c r="BA94" s="669"/>
      <c r="BB94" s="669"/>
      <c r="BC94" s="669"/>
      <c r="BD94" s="669"/>
      <c r="BE94" s="669"/>
      <c r="BF94" s="669"/>
      <c r="BG94" s="669"/>
      <c r="BH94" s="669"/>
      <c r="BI94" s="669"/>
      <c r="BJ94" s="669"/>
      <c r="BK94" s="669"/>
      <c r="BL94" s="669"/>
      <c r="BM94" s="669"/>
      <c r="BN94" s="669"/>
      <c r="BO94" s="669"/>
      <c r="BP94" s="669"/>
      <c r="BQ94" s="669"/>
      <c r="BR94" s="669"/>
      <c r="BS94" s="669"/>
      <c r="BT94" s="669"/>
      <c r="BU94" s="669"/>
      <c r="BV94" s="669"/>
      <c r="BW94" s="669"/>
      <c r="BX94" s="669"/>
      <c r="BY94" s="669"/>
      <c r="BZ94" s="669"/>
      <c r="CA94" s="669"/>
      <c r="CB94" s="669"/>
      <c r="CC94" s="669"/>
      <c r="CD94" s="669"/>
      <c r="CE94" s="669"/>
      <c r="CF94" s="669"/>
      <c r="CG94" s="669"/>
      <c r="CH94" s="669"/>
      <c r="CI94" s="669"/>
      <c r="CJ94" s="669"/>
      <c r="CK94" s="669"/>
      <c r="CL94" s="669"/>
      <c r="CM94" s="669"/>
      <c r="CN94" s="669"/>
      <c r="CO94" s="669"/>
      <c r="CP94" s="669"/>
      <c r="CQ94" s="669"/>
      <c r="CR94" s="669"/>
      <c r="CS94" s="669"/>
      <c r="CT94" s="669"/>
      <c r="CU94" s="669"/>
      <c r="CV94" s="669"/>
      <c r="CW94" s="9"/>
      <c r="CX94" s="9"/>
      <c r="CY94" s="9"/>
      <c r="CZ94" s="9"/>
      <c r="DA94" s="9"/>
      <c r="DB94" s="9"/>
      <c r="DC94" s="9"/>
      <c r="DD94" s="9"/>
      <c r="DE94" s="9"/>
      <c r="DF94" s="9"/>
      <c r="DG94" s="9"/>
      <c r="DH94" s="9"/>
      <c r="DI94" s="9"/>
      <c r="DJ94" s="9"/>
      <c r="DK94" s="9"/>
      <c r="DL94" s="9"/>
      <c r="DM94" s="9"/>
      <c r="DN94" s="9"/>
      <c r="DO94" s="9"/>
      <c r="DP94" s="9"/>
      <c r="DQ94" s="9"/>
      <c r="DR94" s="9"/>
      <c r="DS94" s="9"/>
      <c r="DT94" s="9"/>
      <c r="DU94" s="9"/>
      <c r="DV94" s="9"/>
      <c r="DW94" s="9"/>
      <c r="DX94" s="9"/>
      <c r="DY94" s="9"/>
      <c r="DZ94" s="9"/>
      <c r="EA94" s="9"/>
      <c r="EB94" s="9"/>
      <c r="EC94" s="9"/>
      <c r="ED94" s="9"/>
      <c r="EE94" s="9"/>
      <c r="EF94" s="9"/>
      <c r="EG94" s="9"/>
      <c r="EH94" s="9"/>
      <c r="EI94" s="9"/>
      <c r="EJ94" s="9"/>
      <c r="EK94" s="9"/>
      <c r="EL94" s="9"/>
      <c r="EM94" s="9"/>
      <c r="EN94" s="9"/>
      <c r="EO94" s="9"/>
      <c r="EP94" s="9"/>
      <c r="EQ94" s="9"/>
      <c r="ER94" s="9"/>
      <c r="ES94" s="9"/>
      <c r="ET94" s="9"/>
      <c r="EU94" s="9"/>
      <c r="EV94" s="9"/>
      <c r="EW94" s="9"/>
      <c r="EX94" s="9"/>
      <c r="EY94" s="9"/>
      <c r="EZ94" s="9"/>
      <c r="FA94" s="9"/>
      <c r="FB94" s="9"/>
      <c r="FC94" s="9"/>
      <c r="FD94" s="9"/>
      <c r="FE94" s="9"/>
      <c r="FF94" s="9"/>
      <c r="FG94" s="9"/>
      <c r="FH94" s="9"/>
      <c r="FI94" s="9"/>
      <c r="FJ94" s="9"/>
      <c r="FK94" s="9"/>
      <c r="FL94" s="9"/>
      <c r="FM94" s="9"/>
      <c r="FN94" s="9"/>
      <c r="FO94" s="9"/>
      <c r="FP94" s="9"/>
      <c r="FQ94" s="9"/>
      <c r="FR94" s="9"/>
      <c r="FS94" s="9"/>
      <c r="FT94" s="9"/>
      <c r="FU94" s="9"/>
      <c r="FV94" s="9"/>
      <c r="FW94" s="9"/>
      <c r="FX94" s="9"/>
      <c r="FY94" s="9"/>
      <c r="FZ94" s="9"/>
      <c r="GA94" s="9"/>
      <c r="GB94" s="9"/>
      <c r="GC94" s="9"/>
      <c r="GD94" s="9"/>
      <c r="GE94" s="9"/>
      <c r="GF94" s="9"/>
      <c r="GG94" s="9"/>
      <c r="GH94" s="9"/>
      <c r="GI94" s="9"/>
      <c r="GJ94" s="9"/>
      <c r="GK94" s="9"/>
      <c r="GL94" s="9"/>
      <c r="GM94" s="9"/>
      <c r="GN94" s="9"/>
      <c r="GO94" s="9"/>
      <c r="GP94" s="9"/>
      <c r="GQ94" s="9"/>
      <c r="GR94" s="9"/>
      <c r="GS94" s="9"/>
      <c r="GT94" s="9"/>
      <c r="GU94" s="9"/>
      <c r="GV94" s="9"/>
      <c r="GW94" s="9"/>
      <c r="GX94" s="9"/>
      <c r="GY94" s="9"/>
      <c r="GZ94" s="9"/>
      <c r="HA94" s="9"/>
      <c r="HB94" s="9"/>
      <c r="HC94" s="9"/>
      <c r="HD94" s="9"/>
      <c r="HE94" s="9"/>
      <c r="HF94" s="9"/>
      <c r="HG94" s="9"/>
      <c r="HH94" s="9"/>
      <c r="HI94" s="9"/>
      <c r="HJ94" s="9"/>
      <c r="HK94" s="9"/>
      <c r="HL94" s="9"/>
      <c r="HM94" s="9"/>
      <c r="HN94" s="9"/>
      <c r="HO94" s="9"/>
      <c r="HP94" s="9"/>
      <c r="HQ94" s="9"/>
      <c r="HR94" s="9"/>
      <c r="HS94" s="9"/>
      <c r="HT94" s="9"/>
      <c r="HU94" s="9"/>
      <c r="HV94" s="9"/>
      <c r="HW94" s="9"/>
      <c r="HX94" s="9"/>
    </row>
    <row r="95" spans="1:232" ht="14.1" customHeight="1">
      <c r="A95" s="9"/>
      <c r="B95" s="9"/>
      <c r="C95" s="9"/>
      <c r="D95" s="9"/>
      <c r="E95" s="9"/>
      <c r="F95" s="9"/>
      <c r="G95" s="9"/>
      <c r="H95" s="9"/>
      <c r="I95" s="9"/>
      <c r="J95" s="9"/>
      <c r="K95" s="23"/>
      <c r="L95" s="943"/>
      <c r="M95" s="610"/>
      <c r="N95" s="610"/>
      <c r="O95" s="610"/>
      <c r="P95" s="610"/>
      <c r="Q95" s="610"/>
      <c r="R95" s="610"/>
      <c r="S95" s="669"/>
      <c r="T95" s="669"/>
      <c r="U95" s="669"/>
      <c r="V95" s="669"/>
      <c r="W95" s="669"/>
      <c r="X95" s="669"/>
      <c r="Y95" s="669"/>
      <c r="Z95" s="669"/>
      <c r="AA95" s="669"/>
      <c r="AB95" s="669"/>
      <c r="AC95" s="669"/>
      <c r="AD95" s="669"/>
      <c r="AE95" s="669"/>
      <c r="AF95" s="669"/>
      <c r="AG95" s="669"/>
      <c r="AH95" s="669"/>
      <c r="AI95" s="669"/>
      <c r="AJ95" s="669"/>
      <c r="AK95" s="669"/>
      <c r="AL95" s="669"/>
      <c r="AM95" s="669"/>
      <c r="AN95" s="669"/>
      <c r="AO95" s="669"/>
      <c r="AP95" s="669"/>
      <c r="AQ95" s="669"/>
      <c r="AR95" s="669"/>
      <c r="AS95" s="669"/>
      <c r="AT95" s="669"/>
      <c r="AU95" s="669"/>
      <c r="AV95" s="669"/>
      <c r="AW95" s="669"/>
      <c r="AX95" s="669"/>
      <c r="AY95" s="669"/>
      <c r="AZ95" s="669"/>
      <c r="BA95" s="669"/>
      <c r="BB95" s="669"/>
      <c r="BC95" s="669"/>
      <c r="BD95" s="669"/>
      <c r="BE95" s="669"/>
      <c r="BF95" s="669"/>
      <c r="BG95" s="669"/>
      <c r="BH95" s="669"/>
      <c r="BI95" s="669"/>
      <c r="BJ95" s="669"/>
      <c r="BK95" s="669"/>
      <c r="BL95" s="669"/>
      <c r="BM95" s="669"/>
      <c r="BN95" s="669"/>
      <c r="BO95" s="669"/>
      <c r="BP95" s="669"/>
      <c r="BQ95" s="669"/>
      <c r="BR95" s="669"/>
      <c r="BS95" s="669"/>
      <c r="BT95" s="669"/>
      <c r="BU95" s="669"/>
      <c r="BV95" s="669"/>
      <c r="BW95" s="669"/>
      <c r="BX95" s="669"/>
      <c r="BY95" s="669"/>
      <c r="BZ95" s="669"/>
      <c r="CA95" s="669"/>
      <c r="CB95" s="669"/>
      <c r="CC95" s="669"/>
      <c r="CD95" s="669"/>
      <c r="CE95" s="669"/>
      <c r="CF95" s="669"/>
      <c r="CG95" s="669"/>
      <c r="CH95" s="669"/>
      <c r="CI95" s="669"/>
      <c r="CJ95" s="669"/>
      <c r="CK95" s="669"/>
      <c r="CL95" s="669"/>
      <c r="CM95" s="669"/>
      <c r="CN95" s="669"/>
      <c r="CO95" s="669"/>
      <c r="CP95" s="669"/>
      <c r="CQ95" s="669"/>
      <c r="CR95" s="669"/>
      <c r="CS95" s="669"/>
      <c r="CT95" s="669"/>
      <c r="CU95" s="669"/>
      <c r="CV95" s="669"/>
      <c r="CW95" s="9"/>
      <c r="CX95" s="9"/>
      <c r="CY95" s="9"/>
      <c r="CZ95" s="9"/>
      <c r="DA95" s="9"/>
      <c r="DB95" s="9"/>
      <c r="DC95" s="9"/>
      <c r="DD95" s="9"/>
      <c r="DE95" s="9"/>
      <c r="DF95" s="9"/>
      <c r="DG95" s="9"/>
      <c r="DH95" s="9"/>
      <c r="DI95" s="9"/>
      <c r="DJ95" s="9"/>
      <c r="DK95" s="9"/>
      <c r="DL95" s="9"/>
      <c r="DM95" s="9"/>
      <c r="DN95" s="9"/>
      <c r="DO95" s="9"/>
      <c r="DP95" s="9"/>
      <c r="DQ95" s="9"/>
      <c r="DR95" s="9"/>
      <c r="DS95" s="9"/>
      <c r="DT95" s="9"/>
      <c r="DU95" s="9"/>
      <c r="DV95" s="9"/>
      <c r="DW95" s="9"/>
      <c r="DX95" s="9"/>
      <c r="DY95" s="9"/>
      <c r="DZ95" s="9"/>
      <c r="EA95" s="9"/>
      <c r="EB95" s="9"/>
      <c r="EC95" s="9"/>
      <c r="ED95" s="9"/>
      <c r="EE95" s="9"/>
      <c r="EF95" s="9"/>
      <c r="EG95" s="9"/>
      <c r="EH95" s="9"/>
      <c r="EI95" s="9"/>
      <c r="EJ95" s="9"/>
      <c r="EK95" s="9"/>
      <c r="EL95" s="9"/>
      <c r="EM95" s="9"/>
      <c r="EN95" s="9"/>
      <c r="EO95" s="9"/>
      <c r="EP95" s="9"/>
      <c r="EQ95" s="9"/>
      <c r="ER95" s="9"/>
      <c r="ES95" s="9"/>
      <c r="ET95" s="9"/>
      <c r="EU95" s="9"/>
      <c r="EV95" s="9"/>
      <c r="EW95" s="9"/>
      <c r="EX95" s="9"/>
      <c r="EY95" s="9"/>
      <c r="EZ95" s="9"/>
      <c r="FA95" s="9"/>
      <c r="FB95" s="9"/>
      <c r="FC95" s="9"/>
      <c r="FD95" s="9"/>
      <c r="FE95" s="9"/>
      <c r="FF95" s="9"/>
      <c r="FG95" s="9"/>
      <c r="FH95" s="9"/>
      <c r="FI95" s="9"/>
      <c r="FJ95" s="9"/>
      <c r="FK95" s="9"/>
      <c r="FL95" s="9"/>
      <c r="FM95" s="9"/>
      <c r="FN95" s="9"/>
      <c r="FO95" s="9"/>
      <c r="FP95" s="9"/>
      <c r="FQ95" s="9"/>
      <c r="FR95" s="9"/>
      <c r="FS95" s="9"/>
      <c r="FT95" s="9"/>
      <c r="FU95" s="9"/>
      <c r="FV95" s="9"/>
      <c r="FW95" s="9"/>
      <c r="FX95" s="9"/>
      <c r="FY95" s="9"/>
      <c r="FZ95" s="9"/>
      <c r="GA95" s="9"/>
      <c r="GB95" s="9"/>
      <c r="GC95" s="9"/>
      <c r="GD95" s="9"/>
      <c r="GE95" s="9"/>
      <c r="GF95" s="9"/>
      <c r="GG95" s="9"/>
      <c r="GH95" s="9"/>
      <c r="GI95" s="9"/>
      <c r="GJ95" s="9"/>
      <c r="GK95" s="9"/>
      <c r="GL95" s="9"/>
      <c r="GM95" s="9"/>
      <c r="GN95" s="9"/>
      <c r="GO95" s="9"/>
      <c r="GP95" s="9"/>
      <c r="GQ95" s="9"/>
      <c r="GR95" s="9"/>
      <c r="GS95" s="9"/>
      <c r="GT95" s="9"/>
      <c r="GU95" s="9"/>
      <c r="GV95" s="9"/>
      <c r="GW95" s="9"/>
      <c r="GX95" s="9"/>
      <c r="GY95" s="9"/>
      <c r="GZ95" s="9"/>
      <c r="HA95" s="9"/>
      <c r="HB95" s="9"/>
      <c r="HC95" s="9"/>
      <c r="HD95" s="9"/>
      <c r="HE95" s="9"/>
      <c r="HF95" s="9"/>
      <c r="HG95" s="9"/>
      <c r="HH95" s="9"/>
      <c r="HI95" s="9"/>
      <c r="HJ95" s="9"/>
      <c r="HK95" s="9"/>
      <c r="HL95" s="9"/>
      <c r="HM95" s="9"/>
      <c r="HN95" s="9"/>
      <c r="HO95" s="9"/>
      <c r="HP95" s="9"/>
      <c r="HQ95" s="9"/>
      <c r="HR95" s="9"/>
      <c r="HS95" s="9"/>
      <c r="HT95" s="9"/>
      <c r="HU95" s="9"/>
      <c r="HV95" s="9"/>
      <c r="HW95" s="9"/>
      <c r="HX95" s="9"/>
    </row>
    <row r="96" spans="1:232" ht="14.1" customHeight="1">
      <c r="A96" s="9"/>
      <c r="B96" s="9"/>
      <c r="C96" s="9"/>
      <c r="D96" s="9"/>
      <c r="E96" s="9"/>
      <c r="F96" s="9"/>
      <c r="G96" s="9"/>
      <c r="H96" s="9"/>
      <c r="I96" s="9"/>
      <c r="J96" s="9"/>
      <c r="K96" s="23"/>
      <c r="L96" s="943"/>
      <c r="M96" s="610"/>
      <c r="N96" s="610"/>
      <c r="O96" s="610"/>
      <c r="P96" s="610"/>
      <c r="Q96" s="610"/>
      <c r="R96" s="610"/>
      <c r="S96" s="669"/>
      <c r="T96" s="669"/>
      <c r="U96" s="669"/>
      <c r="V96" s="669"/>
      <c r="W96" s="669"/>
      <c r="X96" s="669"/>
      <c r="Y96" s="669"/>
      <c r="Z96" s="669"/>
      <c r="AA96" s="669"/>
      <c r="AB96" s="669"/>
      <c r="AC96" s="669"/>
      <c r="AD96" s="669"/>
      <c r="AE96" s="669"/>
      <c r="AF96" s="669"/>
      <c r="AG96" s="669"/>
      <c r="AH96" s="669"/>
      <c r="AI96" s="669"/>
      <c r="AJ96" s="669"/>
      <c r="AK96" s="669"/>
      <c r="AL96" s="669"/>
      <c r="AM96" s="669"/>
      <c r="AN96" s="669"/>
      <c r="AO96" s="669"/>
      <c r="AP96" s="669"/>
      <c r="AQ96" s="669"/>
      <c r="AR96" s="669"/>
      <c r="AS96" s="669"/>
      <c r="AT96" s="669"/>
      <c r="AU96" s="669"/>
      <c r="AV96" s="669"/>
      <c r="AW96" s="669"/>
      <c r="AX96" s="669"/>
      <c r="AY96" s="669"/>
      <c r="AZ96" s="669"/>
      <c r="BA96" s="669"/>
      <c r="BB96" s="669"/>
      <c r="BC96" s="669"/>
      <c r="BD96" s="669"/>
      <c r="BE96" s="669"/>
      <c r="BF96" s="669"/>
      <c r="BG96" s="669"/>
      <c r="BH96" s="669"/>
      <c r="BI96" s="669"/>
      <c r="BJ96" s="669"/>
      <c r="BK96" s="669"/>
      <c r="BL96" s="669"/>
      <c r="BM96" s="669"/>
      <c r="BN96" s="669"/>
      <c r="BO96" s="669"/>
      <c r="BP96" s="669"/>
      <c r="BQ96" s="669"/>
      <c r="BR96" s="669"/>
      <c r="BS96" s="669"/>
      <c r="BT96" s="669"/>
      <c r="BU96" s="669"/>
      <c r="BV96" s="669"/>
      <c r="BW96" s="669"/>
      <c r="BX96" s="669"/>
      <c r="BY96" s="669"/>
      <c r="BZ96" s="669"/>
      <c r="CA96" s="669"/>
      <c r="CB96" s="669"/>
      <c r="CC96" s="669"/>
      <c r="CD96" s="669"/>
      <c r="CE96" s="669"/>
      <c r="CF96" s="669"/>
      <c r="CG96" s="669"/>
      <c r="CH96" s="669"/>
      <c r="CI96" s="669"/>
      <c r="CJ96" s="669"/>
      <c r="CK96" s="669"/>
      <c r="CL96" s="669"/>
      <c r="CM96" s="669"/>
      <c r="CN96" s="669"/>
      <c r="CO96" s="669"/>
      <c r="CP96" s="669"/>
      <c r="CQ96" s="669"/>
      <c r="CR96" s="669"/>
      <c r="CS96" s="669"/>
      <c r="CT96" s="669"/>
      <c r="CU96" s="669"/>
      <c r="CV96" s="669"/>
      <c r="CW96" s="9"/>
      <c r="CX96" s="9"/>
      <c r="CY96" s="9"/>
      <c r="CZ96" s="9"/>
      <c r="DA96" s="9"/>
      <c r="DB96" s="9"/>
      <c r="DC96" s="9"/>
      <c r="DD96" s="9"/>
      <c r="DE96" s="9"/>
      <c r="DF96" s="9"/>
      <c r="DG96" s="9"/>
      <c r="DH96" s="9"/>
      <c r="DI96" s="9"/>
      <c r="DJ96" s="9"/>
      <c r="DK96" s="9"/>
      <c r="DL96" s="9"/>
      <c r="DM96" s="9"/>
      <c r="DN96" s="9"/>
      <c r="DO96" s="9"/>
      <c r="DP96" s="9"/>
      <c r="DQ96" s="9"/>
      <c r="DR96" s="9"/>
      <c r="DS96" s="9"/>
      <c r="DT96" s="9"/>
      <c r="DU96" s="9"/>
      <c r="DV96" s="9"/>
      <c r="DW96" s="9"/>
      <c r="DX96" s="9"/>
      <c r="DY96" s="9"/>
      <c r="DZ96" s="9"/>
      <c r="EA96" s="9"/>
      <c r="EB96" s="9"/>
      <c r="EC96" s="9"/>
      <c r="ED96" s="9"/>
      <c r="EE96" s="9"/>
      <c r="EF96" s="9"/>
      <c r="EG96" s="9"/>
      <c r="EH96" s="9"/>
      <c r="EI96" s="9"/>
      <c r="EJ96" s="9"/>
      <c r="EK96" s="9"/>
      <c r="EL96" s="9"/>
      <c r="EM96" s="9"/>
      <c r="EN96" s="9"/>
      <c r="EO96" s="9"/>
      <c r="EP96" s="9"/>
      <c r="EQ96" s="9"/>
      <c r="ER96" s="9"/>
      <c r="ES96" s="9"/>
      <c r="ET96" s="9"/>
      <c r="EU96" s="9"/>
      <c r="EV96" s="9"/>
      <c r="EW96" s="9"/>
      <c r="EX96" s="9"/>
      <c r="EY96" s="9"/>
      <c r="EZ96" s="9"/>
      <c r="FA96" s="9"/>
      <c r="FB96" s="9"/>
      <c r="FC96" s="9"/>
      <c r="FD96" s="9"/>
      <c r="FE96" s="9"/>
      <c r="FF96" s="9"/>
      <c r="FG96" s="9"/>
      <c r="FH96" s="9"/>
      <c r="FI96" s="9"/>
      <c r="FJ96" s="9"/>
      <c r="FK96" s="9"/>
      <c r="FL96" s="9"/>
      <c r="FM96" s="9"/>
      <c r="FN96" s="9"/>
      <c r="FO96" s="9"/>
      <c r="FP96" s="9"/>
      <c r="FQ96" s="9"/>
      <c r="FR96" s="9"/>
      <c r="FS96" s="9"/>
      <c r="FT96" s="9"/>
      <c r="FU96" s="9"/>
      <c r="FV96" s="9"/>
      <c r="FW96" s="9"/>
      <c r="FX96" s="9"/>
      <c r="FY96" s="9"/>
      <c r="FZ96" s="9"/>
      <c r="GA96" s="9"/>
      <c r="GB96" s="9"/>
      <c r="GC96" s="9"/>
      <c r="GD96" s="9"/>
      <c r="GE96" s="9"/>
      <c r="GF96" s="9"/>
      <c r="GG96" s="9"/>
      <c r="GH96" s="9"/>
      <c r="GI96" s="9"/>
      <c r="GJ96" s="9"/>
      <c r="GK96" s="9"/>
      <c r="GL96" s="9"/>
      <c r="GM96" s="9"/>
      <c r="GN96" s="9"/>
      <c r="GO96" s="9"/>
      <c r="GP96" s="9"/>
      <c r="GQ96" s="9"/>
      <c r="GR96" s="9"/>
      <c r="GS96" s="9"/>
      <c r="GT96" s="9"/>
      <c r="GU96" s="9"/>
      <c r="GV96" s="9"/>
      <c r="GW96" s="9"/>
      <c r="GX96" s="9"/>
      <c r="GY96" s="9"/>
      <c r="GZ96" s="9"/>
      <c r="HA96" s="9"/>
      <c r="HB96" s="9"/>
      <c r="HC96" s="9"/>
      <c r="HD96" s="9"/>
      <c r="HE96" s="9"/>
      <c r="HF96" s="9"/>
      <c r="HG96" s="9"/>
      <c r="HH96" s="9"/>
      <c r="HI96" s="9"/>
      <c r="HJ96" s="9"/>
      <c r="HK96" s="9"/>
      <c r="HL96" s="9"/>
      <c r="HM96" s="9"/>
      <c r="HN96" s="9"/>
      <c r="HO96" s="9"/>
      <c r="HP96" s="9"/>
      <c r="HQ96" s="9"/>
      <c r="HR96" s="9"/>
      <c r="HS96" s="9"/>
      <c r="HT96" s="9"/>
      <c r="HU96" s="9"/>
      <c r="HV96" s="9"/>
      <c r="HW96" s="9"/>
      <c r="HX96" s="9"/>
    </row>
    <row r="97" spans="1:232" ht="14.1" customHeight="1">
      <c r="A97" s="9"/>
      <c r="B97" s="9"/>
      <c r="C97" s="9"/>
      <c r="D97" s="9"/>
      <c r="E97" s="9"/>
      <c r="F97" s="9"/>
      <c r="G97" s="9"/>
      <c r="H97" s="9"/>
      <c r="I97" s="9"/>
      <c r="J97" s="9"/>
      <c r="K97" s="23"/>
      <c r="L97" s="943"/>
      <c r="M97" s="610"/>
      <c r="N97" s="610"/>
      <c r="O97" s="610"/>
      <c r="P97" s="610"/>
      <c r="Q97" s="610"/>
      <c r="R97" s="610"/>
      <c r="S97" s="669"/>
      <c r="T97" s="669"/>
      <c r="U97" s="669"/>
      <c r="V97" s="669"/>
      <c r="W97" s="669"/>
      <c r="X97" s="669"/>
      <c r="Y97" s="669"/>
      <c r="Z97" s="669"/>
      <c r="AA97" s="669"/>
      <c r="AB97" s="669"/>
      <c r="AC97" s="669"/>
      <c r="AD97" s="669"/>
      <c r="AE97" s="669"/>
      <c r="AF97" s="669"/>
      <c r="AG97" s="669"/>
      <c r="AH97" s="669"/>
      <c r="AI97" s="669"/>
      <c r="AJ97" s="669"/>
      <c r="AK97" s="669"/>
      <c r="AL97" s="669"/>
      <c r="AM97" s="669"/>
      <c r="AN97" s="669"/>
      <c r="AO97" s="669"/>
      <c r="AP97" s="669"/>
      <c r="AQ97" s="669"/>
      <c r="AR97" s="669"/>
      <c r="AS97" s="669"/>
      <c r="AT97" s="669"/>
      <c r="AU97" s="669"/>
      <c r="AV97" s="669"/>
      <c r="AW97" s="669"/>
      <c r="AX97" s="669"/>
      <c r="AY97" s="669"/>
      <c r="AZ97" s="669"/>
      <c r="BA97" s="669"/>
      <c r="BB97" s="669"/>
      <c r="BC97" s="669"/>
      <c r="BD97" s="669"/>
      <c r="BE97" s="669"/>
      <c r="BF97" s="669"/>
      <c r="BG97" s="669"/>
      <c r="BH97" s="669"/>
      <c r="BI97" s="669"/>
      <c r="BJ97" s="669"/>
      <c r="BK97" s="669"/>
      <c r="BL97" s="669"/>
      <c r="BM97" s="669"/>
      <c r="BN97" s="669"/>
      <c r="BO97" s="669"/>
      <c r="BP97" s="669"/>
      <c r="BQ97" s="669"/>
      <c r="BR97" s="669"/>
      <c r="BS97" s="669"/>
      <c r="BT97" s="669"/>
      <c r="BU97" s="669"/>
      <c r="BV97" s="669"/>
      <c r="BW97" s="669"/>
      <c r="BX97" s="669"/>
      <c r="BY97" s="669"/>
      <c r="BZ97" s="669"/>
      <c r="CA97" s="669"/>
      <c r="CB97" s="669"/>
      <c r="CC97" s="669"/>
      <c r="CD97" s="669"/>
      <c r="CE97" s="669"/>
      <c r="CF97" s="669"/>
      <c r="CG97" s="669"/>
      <c r="CH97" s="669"/>
      <c r="CI97" s="669"/>
      <c r="CJ97" s="669"/>
      <c r="CK97" s="669"/>
      <c r="CL97" s="669"/>
      <c r="CM97" s="669"/>
      <c r="CN97" s="669"/>
      <c r="CO97" s="669"/>
      <c r="CP97" s="669"/>
      <c r="CQ97" s="669"/>
      <c r="CR97" s="669"/>
      <c r="CS97" s="669"/>
      <c r="CT97" s="669"/>
      <c r="CU97" s="669"/>
      <c r="CV97" s="669"/>
      <c r="CW97" s="9"/>
      <c r="CX97" s="9"/>
      <c r="CY97" s="9"/>
      <c r="CZ97" s="9"/>
      <c r="DA97" s="9"/>
      <c r="DB97" s="9"/>
      <c r="DC97" s="9"/>
      <c r="DD97" s="9"/>
      <c r="DE97" s="9"/>
      <c r="DF97" s="9"/>
      <c r="DG97" s="9"/>
      <c r="DH97" s="9"/>
      <c r="DI97" s="9"/>
      <c r="DJ97" s="9"/>
      <c r="DK97" s="9"/>
      <c r="DL97" s="9"/>
      <c r="DM97" s="9"/>
      <c r="DN97" s="9"/>
      <c r="DO97" s="9"/>
      <c r="DP97" s="9"/>
      <c r="DQ97" s="9"/>
      <c r="DR97" s="9"/>
      <c r="DS97" s="9"/>
      <c r="DT97" s="9"/>
      <c r="DU97" s="9"/>
      <c r="DV97" s="9"/>
      <c r="DW97" s="9"/>
      <c r="DX97" s="9"/>
      <c r="DY97" s="9"/>
      <c r="DZ97" s="9"/>
      <c r="EA97" s="9"/>
      <c r="EB97" s="9"/>
      <c r="EC97" s="9"/>
      <c r="ED97" s="9"/>
      <c r="EE97" s="9"/>
      <c r="EF97" s="9"/>
      <c r="EG97" s="9"/>
      <c r="EH97" s="9"/>
      <c r="EI97" s="9"/>
      <c r="EJ97" s="9"/>
      <c r="EK97" s="9"/>
      <c r="EL97" s="9"/>
      <c r="EM97" s="9"/>
      <c r="EN97" s="9"/>
      <c r="EO97" s="9"/>
      <c r="EP97" s="9"/>
      <c r="EQ97" s="9"/>
      <c r="ER97" s="9"/>
      <c r="ES97" s="9"/>
      <c r="ET97" s="9"/>
      <c r="EU97" s="9"/>
      <c r="EV97" s="9"/>
      <c r="EW97" s="9"/>
      <c r="EX97" s="9"/>
      <c r="EY97" s="9"/>
      <c r="EZ97" s="9"/>
      <c r="FA97" s="9"/>
      <c r="FB97" s="9"/>
      <c r="FC97" s="9"/>
      <c r="FD97" s="9"/>
      <c r="FE97" s="9"/>
      <c r="FF97" s="9"/>
      <c r="FG97" s="9"/>
      <c r="FH97" s="9"/>
      <c r="FI97" s="9"/>
      <c r="FJ97" s="9"/>
      <c r="FK97" s="9"/>
      <c r="FL97" s="9"/>
      <c r="FM97" s="9"/>
      <c r="FN97" s="9"/>
      <c r="FO97" s="9"/>
      <c r="FP97" s="9"/>
      <c r="FQ97" s="9"/>
      <c r="FR97" s="9"/>
      <c r="FS97" s="9"/>
      <c r="FT97" s="9"/>
      <c r="FU97" s="9"/>
      <c r="FV97" s="9"/>
      <c r="FW97" s="9"/>
      <c r="FX97" s="9"/>
      <c r="FY97" s="9"/>
      <c r="FZ97" s="9"/>
      <c r="GA97" s="9"/>
      <c r="GB97" s="9"/>
      <c r="GC97" s="9"/>
      <c r="GD97" s="9"/>
      <c r="GE97" s="9"/>
      <c r="GF97" s="9"/>
      <c r="GG97" s="9"/>
      <c r="GH97" s="9"/>
      <c r="GI97" s="9"/>
      <c r="GJ97" s="9"/>
      <c r="GK97" s="9"/>
      <c r="GL97" s="9"/>
      <c r="GM97" s="9"/>
      <c r="GN97" s="9"/>
      <c r="GO97" s="9"/>
      <c r="GP97" s="9"/>
      <c r="GQ97" s="9"/>
      <c r="GR97" s="9"/>
      <c r="GS97" s="9"/>
      <c r="GT97" s="9"/>
      <c r="GU97" s="9"/>
      <c r="GV97" s="9"/>
      <c r="GW97" s="9"/>
      <c r="GX97" s="9"/>
      <c r="GY97" s="9"/>
      <c r="GZ97" s="9"/>
      <c r="HA97" s="9"/>
      <c r="HB97" s="9"/>
      <c r="HC97" s="9"/>
      <c r="HD97" s="9"/>
      <c r="HE97" s="9"/>
      <c r="HF97" s="9"/>
      <c r="HG97" s="9"/>
      <c r="HH97" s="9"/>
      <c r="HI97" s="9"/>
      <c r="HJ97" s="9"/>
      <c r="HK97" s="9"/>
      <c r="HL97" s="9"/>
      <c r="HM97" s="9"/>
      <c r="HN97" s="9"/>
      <c r="HO97" s="9"/>
      <c r="HP97" s="9"/>
      <c r="HQ97" s="9"/>
      <c r="HR97" s="9"/>
      <c r="HS97" s="9"/>
      <c r="HT97" s="9"/>
      <c r="HU97" s="9"/>
      <c r="HV97" s="9"/>
      <c r="HW97" s="9"/>
      <c r="HX97" s="9"/>
    </row>
    <row r="98" spans="1:232" ht="14.1" customHeight="1">
      <c r="A98" s="9"/>
      <c r="B98" s="9"/>
      <c r="C98" s="9"/>
      <c r="D98" s="9"/>
      <c r="E98" s="9"/>
      <c r="F98" s="9"/>
      <c r="G98" s="9"/>
      <c r="H98" s="9"/>
      <c r="I98" s="9"/>
      <c r="J98" s="9"/>
      <c r="K98" s="23"/>
      <c r="L98" s="943"/>
      <c r="M98" s="610"/>
      <c r="N98" s="610"/>
      <c r="O98" s="610"/>
      <c r="P98" s="610"/>
      <c r="Q98" s="610"/>
      <c r="R98" s="610"/>
      <c r="S98" s="669"/>
      <c r="T98" s="669"/>
      <c r="U98" s="669"/>
      <c r="V98" s="669"/>
      <c r="W98" s="669"/>
      <c r="X98" s="669"/>
      <c r="Y98" s="669"/>
      <c r="Z98" s="669"/>
      <c r="AA98" s="669"/>
      <c r="AB98" s="669"/>
      <c r="AC98" s="669"/>
      <c r="AD98" s="669"/>
      <c r="AE98" s="669"/>
      <c r="AF98" s="669"/>
      <c r="AG98" s="669"/>
      <c r="AH98" s="669"/>
      <c r="AI98" s="669"/>
      <c r="AJ98" s="669"/>
      <c r="AK98" s="669"/>
      <c r="AL98" s="669"/>
      <c r="AM98" s="669"/>
      <c r="AN98" s="669"/>
      <c r="AO98" s="669"/>
      <c r="AP98" s="669"/>
      <c r="AQ98" s="669"/>
      <c r="AR98" s="669"/>
      <c r="AS98" s="669"/>
      <c r="AT98" s="669"/>
      <c r="AU98" s="669"/>
      <c r="AV98" s="669"/>
      <c r="AW98" s="669"/>
      <c r="AX98" s="669"/>
      <c r="AY98" s="669"/>
      <c r="AZ98" s="669"/>
      <c r="BA98" s="669"/>
      <c r="BB98" s="669"/>
      <c r="BC98" s="669"/>
      <c r="BD98" s="669"/>
      <c r="BE98" s="669"/>
      <c r="BF98" s="669"/>
      <c r="BG98" s="669"/>
      <c r="BH98" s="669"/>
      <c r="BI98" s="669"/>
      <c r="BJ98" s="669"/>
      <c r="BK98" s="669"/>
      <c r="BL98" s="669"/>
      <c r="BM98" s="669"/>
      <c r="BN98" s="669"/>
      <c r="BO98" s="669"/>
      <c r="BP98" s="669"/>
      <c r="BQ98" s="669"/>
      <c r="BR98" s="669"/>
      <c r="BS98" s="669"/>
      <c r="BT98" s="669"/>
      <c r="BU98" s="669"/>
      <c r="BV98" s="669"/>
      <c r="BW98" s="669"/>
      <c r="BX98" s="669"/>
      <c r="BY98" s="669"/>
      <c r="BZ98" s="669"/>
      <c r="CA98" s="669"/>
      <c r="CB98" s="669"/>
      <c r="CC98" s="669"/>
      <c r="CD98" s="669"/>
      <c r="CE98" s="669"/>
      <c r="CF98" s="669"/>
      <c r="CG98" s="669"/>
      <c r="CH98" s="669"/>
      <c r="CI98" s="669"/>
      <c r="CJ98" s="669"/>
      <c r="CK98" s="669"/>
      <c r="CL98" s="669"/>
      <c r="CM98" s="669"/>
      <c r="CN98" s="669"/>
      <c r="CO98" s="669"/>
      <c r="CP98" s="669"/>
      <c r="CQ98" s="669"/>
      <c r="CR98" s="669"/>
      <c r="CS98" s="669"/>
      <c r="CT98" s="669"/>
      <c r="CU98" s="669"/>
      <c r="CV98" s="669"/>
      <c r="CW98" s="9"/>
      <c r="CX98" s="9"/>
      <c r="CY98" s="9"/>
      <c r="CZ98" s="9"/>
      <c r="DA98" s="9"/>
      <c r="DB98" s="9"/>
      <c r="DC98" s="9"/>
      <c r="DD98" s="9"/>
      <c r="DE98" s="9"/>
      <c r="DF98" s="9"/>
      <c r="DG98" s="9"/>
      <c r="DH98" s="9"/>
      <c r="DI98" s="9"/>
      <c r="DJ98" s="9"/>
      <c r="DK98" s="9"/>
      <c r="DL98" s="9"/>
      <c r="DM98" s="9"/>
      <c r="DN98" s="9"/>
      <c r="DO98" s="9"/>
      <c r="DP98" s="9"/>
      <c r="DQ98" s="9"/>
      <c r="DR98" s="9"/>
      <c r="DS98" s="9"/>
      <c r="DT98" s="9"/>
      <c r="DU98" s="9"/>
      <c r="DV98" s="9"/>
      <c r="DW98" s="9"/>
      <c r="DX98" s="9"/>
      <c r="DY98" s="9"/>
      <c r="DZ98" s="9"/>
      <c r="EA98" s="9"/>
      <c r="EB98" s="9"/>
      <c r="EC98" s="9"/>
      <c r="ED98" s="9"/>
      <c r="EE98" s="9"/>
      <c r="EF98" s="9"/>
      <c r="EG98" s="9"/>
      <c r="EH98" s="9"/>
      <c r="EI98" s="9"/>
      <c r="EJ98" s="9"/>
      <c r="EK98" s="9"/>
      <c r="EL98" s="9"/>
      <c r="EM98" s="9"/>
      <c r="EN98" s="9"/>
      <c r="EO98" s="9"/>
      <c r="EP98" s="9"/>
      <c r="EQ98" s="9"/>
      <c r="ER98" s="9"/>
      <c r="ES98" s="9"/>
      <c r="ET98" s="9"/>
      <c r="EU98" s="9"/>
      <c r="EV98" s="9"/>
      <c r="EW98" s="9"/>
      <c r="EX98" s="9"/>
      <c r="EY98" s="9"/>
      <c r="EZ98" s="9"/>
      <c r="FA98" s="9"/>
      <c r="FB98" s="9"/>
      <c r="FC98" s="9"/>
      <c r="FD98" s="9"/>
      <c r="FE98" s="9"/>
      <c r="FF98" s="9"/>
      <c r="FG98" s="9"/>
      <c r="FH98" s="9"/>
      <c r="FI98" s="9"/>
      <c r="FJ98" s="9"/>
      <c r="FK98" s="9"/>
      <c r="FL98" s="9"/>
      <c r="FM98" s="9"/>
      <c r="FN98" s="9"/>
      <c r="FO98" s="9"/>
      <c r="FP98" s="9"/>
      <c r="FQ98" s="9"/>
      <c r="FR98" s="9"/>
      <c r="FS98" s="9"/>
      <c r="FT98" s="9"/>
      <c r="FU98" s="9"/>
      <c r="FV98" s="9"/>
      <c r="FW98" s="9"/>
      <c r="FX98" s="9"/>
      <c r="FY98" s="9"/>
      <c r="FZ98" s="9"/>
      <c r="GA98" s="9"/>
      <c r="GB98" s="9"/>
      <c r="GC98" s="9"/>
      <c r="GD98" s="9"/>
      <c r="GE98" s="9"/>
      <c r="GF98" s="9"/>
      <c r="GG98" s="9"/>
      <c r="GH98" s="9"/>
      <c r="GI98" s="9"/>
      <c r="GJ98" s="9"/>
      <c r="GK98" s="9"/>
      <c r="GL98" s="9"/>
      <c r="GM98" s="9"/>
      <c r="GN98" s="9"/>
      <c r="GO98" s="9"/>
      <c r="GP98" s="9"/>
      <c r="GQ98" s="9"/>
      <c r="GR98" s="9"/>
      <c r="GS98" s="9"/>
      <c r="GT98" s="9"/>
      <c r="GU98" s="9"/>
      <c r="GV98" s="9"/>
      <c r="GW98" s="9"/>
      <c r="GX98" s="9"/>
      <c r="GY98" s="9"/>
      <c r="GZ98" s="9"/>
      <c r="HA98" s="9"/>
      <c r="HB98" s="9"/>
      <c r="HC98" s="9"/>
      <c r="HD98" s="9"/>
      <c r="HE98" s="9"/>
      <c r="HF98" s="9"/>
      <c r="HG98" s="9"/>
      <c r="HH98" s="9"/>
      <c r="HI98" s="9"/>
      <c r="HJ98" s="9"/>
      <c r="HK98" s="9"/>
      <c r="HL98" s="9"/>
      <c r="HM98" s="9"/>
      <c r="HN98" s="9"/>
      <c r="HO98" s="9"/>
      <c r="HP98" s="9"/>
      <c r="HQ98" s="9"/>
      <c r="HR98" s="9"/>
      <c r="HS98" s="9"/>
      <c r="HT98" s="9"/>
      <c r="HU98" s="9"/>
      <c r="HV98" s="9"/>
      <c r="HW98" s="9"/>
      <c r="HX98" s="9"/>
    </row>
    <row r="99" spans="1:232" ht="14.1" customHeight="1">
      <c r="A99" s="9"/>
      <c r="B99" s="9"/>
      <c r="C99" s="9"/>
      <c r="D99" s="9"/>
      <c r="E99" s="9"/>
      <c r="F99" s="9"/>
      <c r="G99" s="9"/>
      <c r="H99" s="9"/>
      <c r="I99" s="9"/>
      <c r="J99" s="9"/>
      <c r="K99" s="23"/>
      <c r="L99" s="943"/>
      <c r="M99" s="610"/>
      <c r="N99" s="610"/>
      <c r="O99" s="610"/>
      <c r="P99" s="610"/>
      <c r="Q99" s="610"/>
      <c r="R99" s="610"/>
      <c r="S99" s="669"/>
      <c r="T99" s="669"/>
      <c r="U99" s="669"/>
      <c r="V99" s="669"/>
      <c r="W99" s="669"/>
      <c r="X99" s="669"/>
      <c r="Y99" s="669"/>
      <c r="Z99" s="669"/>
      <c r="AA99" s="669"/>
      <c r="AB99" s="669"/>
      <c r="AC99" s="669"/>
      <c r="AD99" s="669"/>
      <c r="AE99" s="669"/>
      <c r="AF99" s="669"/>
      <c r="AG99" s="669"/>
      <c r="AH99" s="669"/>
      <c r="AI99" s="669"/>
      <c r="AJ99" s="669"/>
      <c r="AK99" s="669"/>
      <c r="AL99" s="669"/>
      <c r="AM99" s="669"/>
      <c r="AN99" s="669"/>
      <c r="AO99" s="669"/>
      <c r="AP99" s="669"/>
      <c r="AQ99" s="669"/>
      <c r="AR99" s="669"/>
      <c r="AS99" s="669"/>
      <c r="AT99" s="669"/>
      <c r="AU99" s="669"/>
      <c r="AV99" s="669"/>
      <c r="AW99" s="669"/>
      <c r="AX99" s="669"/>
      <c r="AY99" s="669"/>
      <c r="AZ99" s="669"/>
      <c r="BA99" s="669"/>
      <c r="BB99" s="669"/>
      <c r="BC99" s="669"/>
      <c r="BD99" s="669"/>
      <c r="BE99" s="669"/>
      <c r="BF99" s="669"/>
      <c r="BG99" s="669"/>
      <c r="BH99" s="669"/>
      <c r="BI99" s="669"/>
      <c r="BJ99" s="669"/>
      <c r="BK99" s="669"/>
      <c r="BL99" s="669"/>
      <c r="BM99" s="669"/>
      <c r="BN99" s="669"/>
      <c r="BO99" s="669"/>
      <c r="BP99" s="669"/>
      <c r="BQ99" s="669"/>
      <c r="BR99" s="669"/>
      <c r="BS99" s="669"/>
      <c r="BT99" s="669"/>
      <c r="BU99" s="669"/>
      <c r="BV99" s="669"/>
      <c r="BW99" s="669"/>
      <c r="BX99" s="669"/>
      <c r="BY99" s="669"/>
      <c r="BZ99" s="669"/>
      <c r="CA99" s="669"/>
      <c r="CB99" s="669"/>
      <c r="CC99" s="669"/>
      <c r="CD99" s="669"/>
      <c r="CE99" s="669"/>
      <c r="CF99" s="669"/>
      <c r="CG99" s="669"/>
      <c r="CH99" s="669"/>
      <c r="CI99" s="669"/>
      <c r="CJ99" s="669"/>
      <c r="CK99" s="669"/>
      <c r="CL99" s="669"/>
      <c r="CM99" s="669"/>
      <c r="CN99" s="669"/>
      <c r="CO99" s="669"/>
      <c r="CP99" s="669"/>
      <c r="CQ99" s="669"/>
      <c r="CR99" s="669"/>
      <c r="CS99" s="669"/>
      <c r="CT99" s="669"/>
      <c r="CU99" s="669"/>
      <c r="CV99" s="669"/>
      <c r="CW99" s="9"/>
      <c r="CX99" s="9"/>
      <c r="CY99" s="9"/>
      <c r="CZ99" s="9"/>
      <c r="DA99" s="9"/>
      <c r="DB99" s="9"/>
      <c r="DC99" s="9"/>
      <c r="DD99" s="9"/>
      <c r="DE99" s="9"/>
      <c r="DF99" s="9"/>
      <c r="DG99" s="9"/>
      <c r="DH99" s="9"/>
      <c r="DI99" s="9"/>
      <c r="DJ99" s="9"/>
      <c r="DK99" s="9"/>
      <c r="DL99" s="9"/>
      <c r="DM99" s="9"/>
      <c r="DN99" s="9"/>
      <c r="DO99" s="9"/>
      <c r="DP99" s="9"/>
      <c r="DQ99" s="9"/>
      <c r="DR99" s="9"/>
      <c r="DS99" s="9"/>
      <c r="DT99" s="9"/>
      <c r="DU99" s="9"/>
      <c r="DV99" s="9"/>
      <c r="DW99" s="9"/>
      <c r="DX99" s="9"/>
      <c r="DY99" s="9"/>
      <c r="DZ99" s="9"/>
      <c r="EA99" s="9"/>
      <c r="EB99" s="9"/>
      <c r="EC99" s="9"/>
      <c r="ED99" s="9"/>
      <c r="EE99" s="9"/>
      <c r="EF99" s="9"/>
      <c r="EG99" s="9"/>
      <c r="EH99" s="9"/>
      <c r="EI99" s="9"/>
      <c r="EJ99" s="9"/>
      <c r="EK99" s="9"/>
      <c r="EL99" s="9"/>
      <c r="EM99" s="9"/>
      <c r="EN99" s="9"/>
      <c r="EO99" s="9"/>
      <c r="EP99" s="9"/>
      <c r="EQ99" s="9"/>
      <c r="ER99" s="9"/>
      <c r="ES99" s="9"/>
      <c r="ET99" s="9"/>
      <c r="EU99" s="9"/>
      <c r="EV99" s="9"/>
      <c r="EW99" s="9"/>
      <c r="EX99" s="9"/>
      <c r="EY99" s="9"/>
      <c r="EZ99" s="9"/>
      <c r="FA99" s="9"/>
      <c r="FB99" s="9"/>
      <c r="FC99" s="9"/>
      <c r="FD99" s="9"/>
      <c r="FE99" s="9"/>
      <c r="FF99" s="9"/>
      <c r="FG99" s="9"/>
      <c r="FH99" s="9"/>
      <c r="FI99" s="9"/>
      <c r="FJ99" s="9"/>
      <c r="FK99" s="9"/>
      <c r="FL99" s="9"/>
      <c r="FM99" s="9"/>
      <c r="FN99" s="9"/>
      <c r="FO99" s="9"/>
      <c r="FP99" s="9"/>
      <c r="FQ99" s="9"/>
      <c r="FR99" s="9"/>
      <c r="FS99" s="9"/>
      <c r="FT99" s="9"/>
      <c r="FU99" s="9"/>
      <c r="FV99" s="9"/>
      <c r="FW99" s="9"/>
      <c r="FX99" s="9"/>
      <c r="FY99" s="9"/>
      <c r="FZ99" s="9"/>
      <c r="GA99" s="9"/>
      <c r="GB99" s="9"/>
      <c r="GC99" s="9"/>
      <c r="GD99" s="9"/>
      <c r="GE99" s="9"/>
      <c r="GF99" s="9"/>
      <c r="GG99" s="9"/>
      <c r="GH99" s="9"/>
      <c r="GI99" s="9"/>
      <c r="GJ99" s="9"/>
      <c r="GK99" s="9"/>
      <c r="GL99" s="9"/>
      <c r="GM99" s="9"/>
      <c r="GN99" s="9"/>
      <c r="GO99" s="9"/>
      <c r="GP99" s="9"/>
      <c r="GQ99" s="9"/>
      <c r="GR99" s="9"/>
      <c r="GS99" s="9"/>
      <c r="GT99" s="9"/>
      <c r="GU99" s="9"/>
      <c r="GV99" s="9"/>
      <c r="GW99" s="9"/>
      <c r="GX99" s="9"/>
      <c r="GY99" s="9"/>
      <c r="GZ99" s="9"/>
      <c r="HA99" s="9"/>
      <c r="HB99" s="9"/>
      <c r="HC99" s="9"/>
      <c r="HD99" s="9"/>
      <c r="HE99" s="9"/>
      <c r="HF99" s="9"/>
      <c r="HG99" s="9"/>
      <c r="HH99" s="9"/>
      <c r="HI99" s="9"/>
      <c r="HJ99" s="9"/>
      <c r="HK99" s="9"/>
      <c r="HL99" s="9"/>
      <c r="HM99" s="9"/>
      <c r="HN99" s="9"/>
      <c r="HO99" s="9"/>
      <c r="HP99" s="9"/>
      <c r="HQ99" s="9"/>
      <c r="HR99" s="9"/>
      <c r="HS99" s="9"/>
      <c r="HT99" s="9"/>
      <c r="HU99" s="9"/>
      <c r="HV99" s="9"/>
      <c r="HW99" s="9"/>
      <c r="HX99" s="9"/>
    </row>
    <row r="100" spans="1:232" ht="14.1" customHeight="1">
      <c r="A100" s="9"/>
      <c r="B100" s="9"/>
      <c r="C100" s="9"/>
      <c r="D100" s="9"/>
      <c r="E100" s="9"/>
      <c r="F100" s="9"/>
      <c r="G100" s="9"/>
      <c r="H100" s="9"/>
      <c r="I100" s="9"/>
      <c r="J100" s="9"/>
      <c r="K100" s="23"/>
      <c r="L100" s="943"/>
      <c r="M100" s="610"/>
      <c r="N100" s="610"/>
      <c r="O100" s="610"/>
      <c r="P100" s="610"/>
      <c r="Q100" s="610"/>
      <c r="R100" s="610"/>
      <c r="S100" s="669"/>
      <c r="T100" s="669"/>
      <c r="U100" s="669"/>
      <c r="V100" s="669"/>
      <c r="W100" s="669"/>
      <c r="X100" s="669"/>
      <c r="Y100" s="669"/>
      <c r="Z100" s="669"/>
      <c r="AA100" s="669"/>
      <c r="AB100" s="669"/>
      <c r="AC100" s="669"/>
      <c r="AD100" s="669"/>
      <c r="AE100" s="669"/>
      <c r="AF100" s="669"/>
      <c r="AG100" s="669"/>
      <c r="AH100" s="669"/>
      <c r="AI100" s="669"/>
      <c r="AJ100" s="669"/>
      <c r="AK100" s="669"/>
      <c r="AL100" s="669"/>
      <c r="AM100" s="669"/>
      <c r="AN100" s="669"/>
      <c r="AO100" s="669"/>
      <c r="AP100" s="669"/>
      <c r="AQ100" s="669"/>
      <c r="AR100" s="669"/>
      <c r="AS100" s="669"/>
      <c r="AT100" s="669"/>
      <c r="AU100" s="669"/>
      <c r="AV100" s="669"/>
      <c r="AW100" s="669"/>
      <c r="AX100" s="669"/>
      <c r="AY100" s="669"/>
      <c r="AZ100" s="669"/>
      <c r="BA100" s="669"/>
      <c r="BB100" s="669"/>
      <c r="BC100" s="669"/>
      <c r="BD100" s="669"/>
      <c r="BE100" s="669"/>
      <c r="BF100" s="669"/>
      <c r="BG100" s="669"/>
      <c r="BH100" s="669"/>
      <c r="BI100" s="669"/>
      <c r="BJ100" s="669"/>
      <c r="BK100" s="669"/>
      <c r="BL100" s="669"/>
      <c r="BM100" s="669"/>
      <c r="BN100" s="669"/>
      <c r="BO100" s="669"/>
      <c r="BP100" s="669"/>
      <c r="BQ100" s="669"/>
      <c r="BR100" s="669"/>
      <c r="BS100" s="669"/>
      <c r="BT100" s="669"/>
      <c r="BU100" s="669"/>
      <c r="BV100" s="669"/>
      <c r="BW100" s="669"/>
      <c r="BX100" s="669"/>
      <c r="BY100" s="669"/>
      <c r="BZ100" s="669"/>
      <c r="CA100" s="669"/>
      <c r="CB100" s="669"/>
      <c r="CC100" s="669"/>
      <c r="CD100" s="669"/>
      <c r="CE100" s="669"/>
      <c r="CF100" s="669"/>
      <c r="CG100" s="669"/>
      <c r="CH100" s="669"/>
      <c r="CI100" s="669"/>
      <c r="CJ100" s="669"/>
      <c r="CK100" s="669"/>
      <c r="CL100" s="669"/>
      <c r="CM100" s="669"/>
      <c r="CN100" s="669"/>
      <c r="CO100" s="669"/>
      <c r="CP100" s="669"/>
      <c r="CQ100" s="669"/>
      <c r="CR100" s="669"/>
      <c r="CS100" s="669"/>
      <c r="CT100" s="669"/>
      <c r="CU100" s="669"/>
      <c r="CV100" s="669"/>
      <c r="CW100" s="9"/>
      <c r="CX100" s="9"/>
      <c r="CY100" s="9"/>
      <c r="CZ100" s="9"/>
      <c r="DA100" s="9"/>
      <c r="DB100" s="9"/>
      <c r="DC100" s="9"/>
      <c r="DD100" s="9"/>
      <c r="DE100" s="9"/>
      <c r="DF100" s="9"/>
      <c r="DG100" s="9"/>
      <c r="DH100" s="9"/>
      <c r="DI100" s="9"/>
      <c r="DJ100" s="9"/>
      <c r="DK100" s="9"/>
      <c r="DL100" s="9"/>
      <c r="DM100" s="9"/>
      <c r="DN100" s="9"/>
      <c r="DO100" s="9"/>
      <c r="DP100" s="9"/>
      <c r="DQ100" s="9"/>
      <c r="DR100" s="9"/>
      <c r="DS100" s="9"/>
      <c r="DT100" s="9"/>
      <c r="DU100" s="9"/>
      <c r="DV100" s="9"/>
      <c r="DW100" s="9"/>
      <c r="DX100" s="9"/>
      <c r="DY100" s="9"/>
      <c r="DZ100" s="9"/>
      <c r="EA100" s="9"/>
      <c r="EB100" s="9"/>
      <c r="EC100" s="9"/>
      <c r="ED100" s="9"/>
      <c r="EE100" s="9"/>
      <c r="EF100" s="9"/>
      <c r="EG100" s="9"/>
      <c r="EH100" s="9"/>
      <c r="EI100" s="9"/>
      <c r="EJ100" s="9"/>
      <c r="EK100" s="9"/>
      <c r="EL100" s="9"/>
      <c r="EM100" s="9"/>
      <c r="EN100" s="9"/>
      <c r="EO100" s="9"/>
      <c r="EP100" s="9"/>
      <c r="EQ100" s="9"/>
      <c r="ER100" s="9"/>
      <c r="ES100" s="9"/>
      <c r="ET100" s="9"/>
      <c r="EU100" s="9"/>
      <c r="EV100" s="9"/>
      <c r="EW100" s="9"/>
      <c r="EX100" s="9"/>
      <c r="EY100" s="9"/>
      <c r="EZ100" s="9"/>
      <c r="FA100" s="9"/>
      <c r="FB100" s="9"/>
      <c r="FC100" s="9"/>
      <c r="FD100" s="9"/>
      <c r="FE100" s="9"/>
      <c r="FF100" s="9"/>
      <c r="FG100" s="9"/>
      <c r="FH100" s="9"/>
      <c r="FI100" s="9"/>
      <c r="FJ100" s="9"/>
      <c r="FK100" s="9"/>
      <c r="FL100" s="9"/>
      <c r="FM100" s="9"/>
      <c r="FN100" s="9"/>
      <c r="FO100" s="9"/>
      <c r="FP100" s="9"/>
      <c r="FQ100" s="9"/>
      <c r="FR100" s="9"/>
      <c r="FS100" s="9"/>
      <c r="FT100" s="9"/>
      <c r="FU100" s="9"/>
      <c r="FV100" s="9"/>
      <c r="FW100" s="9"/>
      <c r="FX100" s="9"/>
      <c r="FY100" s="9"/>
      <c r="FZ100" s="9"/>
      <c r="GA100" s="9"/>
      <c r="GB100" s="9"/>
      <c r="GC100" s="9"/>
      <c r="GD100" s="9"/>
      <c r="GE100" s="9"/>
      <c r="GF100" s="9"/>
      <c r="GG100" s="9"/>
      <c r="GH100" s="9"/>
      <c r="GI100" s="9"/>
      <c r="GJ100" s="9"/>
      <c r="GK100" s="9"/>
      <c r="GL100" s="9"/>
      <c r="GM100" s="9"/>
      <c r="GN100" s="9"/>
      <c r="GO100" s="9"/>
      <c r="GP100" s="9"/>
      <c r="GQ100" s="9"/>
      <c r="GR100" s="9"/>
      <c r="GS100" s="9"/>
      <c r="GT100" s="9"/>
      <c r="GU100" s="9"/>
      <c r="GV100" s="9"/>
      <c r="GW100" s="9"/>
      <c r="GX100" s="9"/>
      <c r="GY100" s="9"/>
      <c r="GZ100" s="9"/>
      <c r="HA100" s="9"/>
      <c r="HB100" s="9"/>
      <c r="HC100" s="9"/>
      <c r="HD100" s="9"/>
      <c r="HE100" s="9"/>
      <c r="HF100" s="9"/>
      <c r="HG100" s="9"/>
      <c r="HH100" s="9"/>
      <c r="HI100" s="9"/>
      <c r="HJ100" s="9"/>
      <c r="HK100" s="9"/>
      <c r="HL100" s="9"/>
      <c r="HM100" s="9"/>
      <c r="HN100" s="9"/>
      <c r="HO100" s="9"/>
      <c r="HP100" s="9"/>
      <c r="HQ100" s="9"/>
      <c r="HR100" s="9"/>
      <c r="HS100" s="9"/>
      <c r="HT100" s="9"/>
      <c r="HU100" s="9"/>
      <c r="HV100" s="9"/>
      <c r="HW100" s="9"/>
      <c r="HX100" s="9"/>
    </row>
    <row r="101" spans="1:232" ht="14.1" customHeight="1">
      <c r="A101" s="9"/>
      <c r="B101" s="9"/>
      <c r="C101" s="9"/>
      <c r="D101" s="9"/>
      <c r="E101" s="9"/>
      <c r="F101" s="9"/>
      <c r="G101" s="9"/>
      <c r="H101" s="9"/>
      <c r="I101" s="9"/>
      <c r="J101" s="9"/>
      <c r="K101" s="23"/>
      <c r="L101" s="943"/>
      <c r="M101" s="610"/>
      <c r="N101" s="610"/>
      <c r="O101" s="610"/>
      <c r="P101" s="610"/>
      <c r="Q101" s="610"/>
      <c r="R101" s="610"/>
      <c r="S101" s="669"/>
      <c r="T101" s="669"/>
      <c r="U101" s="669"/>
      <c r="V101" s="669"/>
      <c r="W101" s="669"/>
      <c r="X101" s="669"/>
      <c r="Y101" s="669"/>
      <c r="Z101" s="669"/>
      <c r="AA101" s="669"/>
      <c r="AB101" s="669"/>
      <c r="AC101" s="669"/>
      <c r="AD101" s="669"/>
      <c r="AE101" s="669"/>
      <c r="AF101" s="669"/>
      <c r="AG101" s="669"/>
      <c r="AH101" s="669"/>
      <c r="AI101" s="669"/>
      <c r="AJ101" s="669"/>
      <c r="AK101" s="669"/>
      <c r="AL101" s="669"/>
      <c r="AM101" s="669"/>
      <c r="AN101" s="669"/>
      <c r="AO101" s="669"/>
      <c r="AP101" s="669"/>
      <c r="AQ101" s="669"/>
      <c r="AR101" s="669"/>
      <c r="AS101" s="669"/>
      <c r="AT101" s="669"/>
      <c r="AU101" s="669"/>
      <c r="AV101" s="669"/>
      <c r="AW101" s="669"/>
      <c r="AX101" s="669"/>
      <c r="AY101" s="669"/>
      <c r="AZ101" s="669"/>
      <c r="BA101" s="669"/>
      <c r="BB101" s="669"/>
      <c r="BC101" s="669"/>
      <c r="BD101" s="669"/>
      <c r="BE101" s="669"/>
      <c r="BF101" s="669"/>
      <c r="BG101" s="669"/>
      <c r="BH101" s="669"/>
      <c r="BI101" s="669"/>
      <c r="BJ101" s="669"/>
      <c r="BK101" s="669"/>
      <c r="BL101" s="669"/>
      <c r="BM101" s="669"/>
      <c r="BN101" s="669"/>
      <c r="BO101" s="669"/>
      <c r="BP101" s="669"/>
      <c r="BQ101" s="669"/>
      <c r="BR101" s="669"/>
      <c r="BS101" s="669"/>
      <c r="BT101" s="669"/>
      <c r="BU101" s="669"/>
      <c r="BV101" s="669"/>
      <c r="BW101" s="669"/>
      <c r="BX101" s="669"/>
      <c r="BY101" s="669"/>
      <c r="BZ101" s="669"/>
      <c r="CA101" s="669"/>
      <c r="CB101" s="669"/>
      <c r="CC101" s="669"/>
      <c r="CD101" s="669"/>
      <c r="CE101" s="669"/>
      <c r="CF101" s="669"/>
      <c r="CG101" s="669"/>
      <c r="CH101" s="669"/>
      <c r="CI101" s="669"/>
      <c r="CJ101" s="669"/>
      <c r="CK101" s="669"/>
      <c r="CL101" s="669"/>
      <c r="CM101" s="669"/>
      <c r="CN101" s="669"/>
      <c r="CO101" s="669"/>
      <c r="CP101" s="669"/>
      <c r="CQ101" s="669"/>
      <c r="CR101" s="669"/>
      <c r="CS101" s="669"/>
      <c r="CT101" s="669"/>
      <c r="CU101" s="669"/>
      <c r="CV101" s="669"/>
      <c r="CW101" s="9"/>
      <c r="CX101" s="9"/>
      <c r="CY101" s="9"/>
      <c r="CZ101" s="9"/>
      <c r="DA101" s="9"/>
      <c r="DB101" s="9"/>
      <c r="DC101" s="9"/>
      <c r="DD101" s="9"/>
      <c r="DE101" s="9"/>
      <c r="DF101" s="9"/>
      <c r="DG101" s="9"/>
      <c r="DH101" s="9"/>
      <c r="DI101" s="9"/>
      <c r="DJ101" s="9"/>
      <c r="DK101" s="9"/>
      <c r="DL101" s="9"/>
      <c r="DM101" s="9"/>
      <c r="DN101" s="9"/>
      <c r="DO101" s="9"/>
      <c r="DP101" s="9"/>
      <c r="DQ101" s="9"/>
      <c r="DR101" s="9"/>
      <c r="DS101" s="9"/>
      <c r="DT101" s="9"/>
      <c r="DU101" s="9"/>
      <c r="DV101" s="9"/>
      <c r="DW101" s="9"/>
      <c r="DX101" s="9"/>
      <c r="DY101" s="9"/>
      <c r="DZ101" s="9"/>
      <c r="EA101" s="9"/>
      <c r="EB101" s="9"/>
      <c r="EC101" s="9"/>
      <c r="ED101" s="9"/>
      <c r="EE101" s="9"/>
      <c r="EF101" s="9"/>
      <c r="EG101" s="9"/>
      <c r="EH101" s="9"/>
      <c r="EI101" s="9"/>
      <c r="EJ101" s="9"/>
      <c r="EK101" s="9"/>
      <c r="EL101" s="9"/>
      <c r="EM101" s="9"/>
      <c r="EN101" s="9"/>
      <c r="EO101" s="9"/>
      <c r="EP101" s="9"/>
      <c r="EQ101" s="9"/>
      <c r="ER101" s="9"/>
      <c r="ES101" s="9"/>
      <c r="ET101" s="9"/>
      <c r="EU101" s="9"/>
      <c r="EV101" s="9"/>
      <c r="EW101" s="9"/>
      <c r="EX101" s="9"/>
      <c r="EY101" s="9"/>
      <c r="EZ101" s="9"/>
      <c r="FA101" s="9"/>
      <c r="FB101" s="9"/>
      <c r="FC101" s="9"/>
      <c r="FD101" s="9"/>
      <c r="FE101" s="9"/>
      <c r="FF101" s="9"/>
      <c r="FG101" s="9"/>
      <c r="FH101" s="9"/>
      <c r="FI101" s="9"/>
      <c r="FJ101" s="9"/>
      <c r="FK101" s="9"/>
      <c r="FL101" s="9"/>
      <c r="FM101" s="9"/>
      <c r="FN101" s="9"/>
      <c r="FO101" s="9"/>
      <c r="FP101" s="9"/>
      <c r="FQ101" s="9"/>
      <c r="FR101" s="9"/>
      <c r="FS101" s="9"/>
      <c r="FT101" s="9"/>
      <c r="FU101" s="9"/>
      <c r="FV101" s="9"/>
      <c r="FW101" s="9"/>
      <c r="FX101" s="9"/>
      <c r="FY101" s="9"/>
      <c r="FZ101" s="9"/>
      <c r="GA101" s="9"/>
      <c r="GB101" s="9"/>
      <c r="GC101" s="9"/>
      <c r="GD101" s="9"/>
      <c r="GE101" s="9"/>
      <c r="GF101" s="9"/>
      <c r="GG101" s="9"/>
      <c r="GH101" s="9"/>
      <c r="GI101" s="9"/>
      <c r="GJ101" s="9"/>
      <c r="GK101" s="9"/>
      <c r="GL101" s="9"/>
      <c r="GM101" s="9"/>
      <c r="GN101" s="9"/>
      <c r="GO101" s="9"/>
      <c r="GP101" s="9"/>
      <c r="GQ101" s="9"/>
      <c r="GR101" s="9"/>
      <c r="GS101" s="9"/>
      <c r="GT101" s="9"/>
      <c r="GU101" s="9"/>
      <c r="GV101" s="9"/>
      <c r="GW101" s="9"/>
      <c r="GX101" s="9"/>
      <c r="GY101" s="9"/>
      <c r="GZ101" s="9"/>
      <c r="HA101" s="9"/>
      <c r="HB101" s="9"/>
      <c r="HC101" s="9"/>
      <c r="HD101" s="9"/>
      <c r="HE101" s="9"/>
      <c r="HF101" s="9"/>
      <c r="HG101" s="9"/>
      <c r="HH101" s="9"/>
      <c r="HI101" s="9"/>
      <c r="HJ101" s="9"/>
      <c r="HK101" s="9"/>
      <c r="HL101" s="9"/>
      <c r="HM101" s="9"/>
      <c r="HN101" s="9"/>
      <c r="HO101" s="9"/>
      <c r="HP101" s="9"/>
      <c r="HQ101" s="9"/>
      <c r="HR101" s="9"/>
      <c r="HS101" s="9"/>
      <c r="HT101" s="9"/>
      <c r="HU101" s="9"/>
      <c r="HV101" s="9"/>
      <c r="HW101" s="9"/>
      <c r="HX101" s="9"/>
    </row>
    <row r="102" spans="1:232" ht="14.1" customHeight="1">
      <c r="A102" s="9"/>
      <c r="B102" s="9"/>
      <c r="C102" s="9"/>
      <c r="D102" s="9"/>
      <c r="E102" s="9"/>
      <c r="F102" s="9"/>
      <c r="G102" s="9"/>
      <c r="H102" s="9"/>
      <c r="I102" s="9"/>
      <c r="J102" s="9"/>
      <c r="K102" s="23"/>
      <c r="L102" s="943"/>
      <c r="M102" s="610"/>
      <c r="N102" s="610"/>
      <c r="O102" s="610"/>
      <c r="P102" s="610"/>
      <c r="Q102" s="610"/>
      <c r="R102" s="610"/>
      <c r="S102" s="669"/>
      <c r="T102" s="669"/>
      <c r="U102" s="669"/>
      <c r="V102" s="669"/>
      <c r="W102" s="669"/>
      <c r="X102" s="669"/>
      <c r="Y102" s="669"/>
      <c r="Z102" s="669"/>
      <c r="AA102" s="669"/>
      <c r="AB102" s="669"/>
      <c r="AC102" s="669"/>
      <c r="AD102" s="669"/>
      <c r="AE102" s="669"/>
      <c r="AF102" s="669"/>
      <c r="AG102" s="669"/>
      <c r="AH102" s="669"/>
      <c r="AI102" s="669"/>
      <c r="AJ102" s="669"/>
      <c r="AK102" s="669"/>
      <c r="AL102" s="669"/>
      <c r="AM102" s="669"/>
      <c r="AN102" s="669"/>
      <c r="AO102" s="669"/>
      <c r="AP102" s="669"/>
      <c r="AQ102" s="669"/>
      <c r="AR102" s="669"/>
      <c r="AS102" s="669"/>
      <c r="AT102" s="669"/>
      <c r="AU102" s="669"/>
      <c r="AV102" s="669"/>
      <c r="AW102" s="669"/>
      <c r="AX102" s="669"/>
      <c r="AY102" s="669"/>
      <c r="AZ102" s="669"/>
      <c r="BA102" s="669"/>
      <c r="BB102" s="669"/>
      <c r="BC102" s="669"/>
      <c r="BD102" s="669"/>
      <c r="BE102" s="669"/>
      <c r="BF102" s="669"/>
      <c r="BG102" s="669"/>
      <c r="BH102" s="669"/>
      <c r="BI102" s="669"/>
      <c r="BJ102" s="669"/>
      <c r="BK102" s="669"/>
      <c r="BL102" s="669"/>
      <c r="BM102" s="669"/>
      <c r="BN102" s="669"/>
      <c r="BO102" s="669"/>
      <c r="BP102" s="669"/>
      <c r="BQ102" s="669"/>
      <c r="BR102" s="669"/>
      <c r="BS102" s="669"/>
      <c r="BT102" s="669"/>
      <c r="BU102" s="669"/>
      <c r="BV102" s="669"/>
      <c r="BW102" s="669"/>
      <c r="BX102" s="669"/>
      <c r="BY102" s="669"/>
      <c r="BZ102" s="669"/>
      <c r="CA102" s="669"/>
      <c r="CB102" s="669"/>
      <c r="CC102" s="669"/>
      <c r="CD102" s="669"/>
      <c r="CE102" s="669"/>
      <c r="CF102" s="669"/>
      <c r="CG102" s="669"/>
      <c r="CH102" s="669"/>
      <c r="CI102" s="669"/>
      <c r="CJ102" s="669"/>
      <c r="CK102" s="669"/>
      <c r="CL102" s="669"/>
      <c r="CM102" s="669"/>
      <c r="CN102" s="669"/>
      <c r="CO102" s="669"/>
      <c r="CP102" s="669"/>
      <c r="CQ102" s="669"/>
      <c r="CR102" s="669"/>
      <c r="CS102" s="669"/>
      <c r="CT102" s="669"/>
      <c r="CU102" s="669"/>
      <c r="CV102" s="669"/>
      <c r="CW102" s="9"/>
      <c r="CX102" s="9"/>
      <c r="CY102" s="9"/>
      <c r="CZ102" s="9"/>
      <c r="DA102" s="9"/>
      <c r="DB102" s="9"/>
      <c r="DC102" s="9"/>
      <c r="DD102" s="9"/>
      <c r="DE102" s="9"/>
      <c r="DF102" s="9"/>
      <c r="DG102" s="9"/>
      <c r="DH102" s="9"/>
      <c r="DI102" s="9"/>
      <c r="DJ102" s="9"/>
      <c r="DK102" s="9"/>
      <c r="DL102" s="9"/>
      <c r="DM102" s="9"/>
      <c r="DN102" s="9"/>
      <c r="DO102" s="9"/>
      <c r="DP102" s="9"/>
      <c r="DQ102" s="9"/>
      <c r="DR102" s="9"/>
      <c r="DS102" s="9"/>
      <c r="DT102" s="9"/>
      <c r="DU102" s="9"/>
      <c r="DV102" s="9"/>
      <c r="DW102" s="9"/>
      <c r="DX102" s="9"/>
      <c r="DY102" s="9"/>
      <c r="DZ102" s="9"/>
      <c r="EA102" s="9"/>
      <c r="EB102" s="9"/>
      <c r="EC102" s="9"/>
      <c r="ED102" s="9"/>
      <c r="EE102" s="9"/>
      <c r="EF102" s="9"/>
      <c r="EG102" s="9"/>
      <c r="EH102" s="9"/>
      <c r="EI102" s="9"/>
      <c r="EJ102" s="9"/>
      <c r="EK102" s="9"/>
      <c r="EL102" s="9"/>
      <c r="EM102" s="9"/>
      <c r="EN102" s="9"/>
      <c r="EO102" s="9"/>
      <c r="EP102" s="9"/>
      <c r="EQ102" s="9"/>
      <c r="ER102" s="9"/>
      <c r="ES102" s="9"/>
      <c r="ET102" s="9"/>
      <c r="EU102" s="9"/>
      <c r="EV102" s="9"/>
      <c r="EW102" s="9"/>
      <c r="EX102" s="9"/>
      <c r="EY102" s="9"/>
      <c r="EZ102" s="9"/>
      <c r="FA102" s="9"/>
      <c r="FB102" s="9"/>
      <c r="FC102" s="9"/>
      <c r="FD102" s="9"/>
      <c r="FE102" s="9"/>
      <c r="FF102" s="9"/>
      <c r="FG102" s="9"/>
      <c r="FH102" s="9"/>
      <c r="FI102" s="9"/>
      <c r="FJ102" s="9"/>
      <c r="FK102" s="9"/>
      <c r="FL102" s="9"/>
      <c r="FM102" s="9"/>
      <c r="FN102" s="9"/>
      <c r="FO102" s="9"/>
      <c r="FP102" s="9"/>
      <c r="FQ102" s="9"/>
      <c r="FR102" s="9"/>
      <c r="FS102" s="9"/>
      <c r="FT102" s="9"/>
      <c r="FU102" s="9"/>
      <c r="FV102" s="9"/>
      <c r="FW102" s="9"/>
      <c r="FX102" s="9"/>
      <c r="FY102" s="9"/>
      <c r="FZ102" s="9"/>
      <c r="GA102" s="9"/>
      <c r="GB102" s="9"/>
      <c r="GC102" s="9"/>
      <c r="GD102" s="9"/>
      <c r="GE102" s="9"/>
      <c r="GF102" s="9"/>
      <c r="GG102" s="9"/>
      <c r="GH102" s="9"/>
      <c r="GI102" s="9"/>
      <c r="GJ102" s="9"/>
      <c r="GK102" s="9"/>
      <c r="GL102" s="9"/>
      <c r="GM102" s="9"/>
      <c r="GN102" s="9"/>
      <c r="GO102" s="9"/>
      <c r="GP102" s="9"/>
      <c r="GQ102" s="9"/>
      <c r="GR102" s="9"/>
      <c r="GS102" s="9"/>
      <c r="GT102" s="9"/>
      <c r="GU102" s="9"/>
      <c r="GV102" s="9"/>
      <c r="GW102" s="9"/>
      <c r="GX102" s="9"/>
      <c r="GY102" s="9"/>
      <c r="GZ102" s="9"/>
      <c r="HA102" s="9"/>
      <c r="HB102" s="9"/>
      <c r="HC102" s="9"/>
      <c r="HD102" s="9"/>
      <c r="HE102" s="9"/>
      <c r="HF102" s="9"/>
      <c r="HG102" s="9"/>
      <c r="HH102" s="9"/>
      <c r="HI102" s="9"/>
      <c r="HJ102" s="9"/>
      <c r="HK102" s="9"/>
      <c r="HL102" s="9"/>
      <c r="HM102" s="9"/>
      <c r="HN102" s="9"/>
      <c r="HO102" s="9"/>
      <c r="HP102" s="9"/>
      <c r="HQ102" s="9"/>
      <c r="HR102" s="9"/>
      <c r="HS102" s="9"/>
      <c r="HT102" s="9"/>
      <c r="HU102" s="9"/>
      <c r="HV102" s="9"/>
      <c r="HW102" s="9"/>
      <c r="HX102" s="9"/>
    </row>
    <row r="103" spans="1:232" ht="14.1" customHeight="1">
      <c r="A103" s="9"/>
      <c r="B103" s="9"/>
      <c r="C103" s="9"/>
      <c r="D103" s="9"/>
      <c r="E103" s="9"/>
      <c r="F103" s="9"/>
      <c r="G103" s="9"/>
      <c r="H103" s="9"/>
      <c r="I103" s="9"/>
      <c r="J103" s="9"/>
      <c r="K103" s="23"/>
      <c r="L103" s="943"/>
      <c r="M103" s="610"/>
      <c r="N103" s="610"/>
      <c r="O103" s="610"/>
      <c r="P103" s="610"/>
      <c r="Q103" s="610"/>
      <c r="R103" s="610"/>
      <c r="S103" s="669"/>
      <c r="T103" s="669"/>
      <c r="U103" s="669"/>
      <c r="V103" s="669"/>
      <c r="W103" s="669"/>
      <c r="X103" s="669"/>
      <c r="Y103" s="669"/>
      <c r="Z103" s="669"/>
      <c r="AA103" s="669"/>
      <c r="AB103" s="669"/>
      <c r="AC103" s="669"/>
      <c r="AD103" s="669"/>
      <c r="AE103" s="669"/>
      <c r="AF103" s="669"/>
      <c r="AG103" s="669"/>
      <c r="AH103" s="669"/>
      <c r="AI103" s="669"/>
      <c r="AJ103" s="669"/>
      <c r="AK103" s="669"/>
      <c r="AL103" s="669"/>
      <c r="AM103" s="669"/>
      <c r="AN103" s="669"/>
      <c r="AO103" s="669"/>
      <c r="AP103" s="669"/>
      <c r="AQ103" s="669"/>
      <c r="AR103" s="669"/>
      <c r="AS103" s="669"/>
      <c r="AT103" s="669"/>
      <c r="AU103" s="669"/>
      <c r="AV103" s="669"/>
      <c r="AW103" s="669"/>
      <c r="AX103" s="669"/>
      <c r="AY103" s="669"/>
      <c r="AZ103" s="669"/>
      <c r="BA103" s="669"/>
      <c r="BB103" s="669"/>
      <c r="BC103" s="669"/>
      <c r="BD103" s="669"/>
      <c r="BE103" s="669"/>
      <c r="BF103" s="669"/>
      <c r="BG103" s="669"/>
      <c r="BH103" s="669"/>
      <c r="BI103" s="669"/>
      <c r="BJ103" s="669"/>
      <c r="BK103" s="669"/>
      <c r="BL103" s="669"/>
      <c r="BM103" s="669"/>
      <c r="BN103" s="669"/>
      <c r="BO103" s="669"/>
      <c r="BP103" s="669"/>
      <c r="BQ103" s="669"/>
      <c r="BR103" s="669"/>
      <c r="BS103" s="669"/>
      <c r="BT103" s="669"/>
      <c r="BU103" s="669"/>
      <c r="BV103" s="669"/>
      <c r="BW103" s="669"/>
      <c r="BX103" s="669"/>
      <c r="BY103" s="669"/>
      <c r="BZ103" s="669"/>
      <c r="CA103" s="669"/>
      <c r="CB103" s="669"/>
      <c r="CC103" s="669"/>
      <c r="CD103" s="669"/>
      <c r="CE103" s="669"/>
      <c r="CF103" s="669"/>
      <c r="CG103" s="669"/>
      <c r="CH103" s="669"/>
      <c r="CI103" s="669"/>
      <c r="CJ103" s="669"/>
      <c r="CK103" s="669"/>
      <c r="CL103" s="669"/>
      <c r="CM103" s="669"/>
      <c r="CN103" s="669"/>
      <c r="CO103" s="669"/>
      <c r="CP103" s="669"/>
      <c r="CQ103" s="669"/>
      <c r="CR103" s="669"/>
      <c r="CS103" s="669"/>
      <c r="CT103" s="669"/>
      <c r="CU103" s="669"/>
      <c r="CV103" s="669"/>
      <c r="CW103" s="9"/>
      <c r="CX103" s="9"/>
      <c r="CY103" s="9"/>
      <c r="CZ103" s="9"/>
      <c r="DA103" s="9"/>
      <c r="DB103" s="9"/>
      <c r="DC103" s="9"/>
      <c r="DD103" s="9"/>
      <c r="DE103" s="9"/>
      <c r="DF103" s="9"/>
      <c r="DG103" s="9"/>
      <c r="DH103" s="9"/>
      <c r="DI103" s="9"/>
      <c r="DJ103" s="9"/>
      <c r="DK103" s="9"/>
      <c r="DL103" s="9"/>
      <c r="DM103" s="9"/>
      <c r="DN103" s="9"/>
      <c r="DO103" s="9"/>
      <c r="DP103" s="9"/>
      <c r="DQ103" s="9"/>
      <c r="DR103" s="9"/>
      <c r="DS103" s="9"/>
      <c r="DT103" s="9"/>
      <c r="DU103" s="9"/>
      <c r="DV103" s="9"/>
      <c r="DW103" s="9"/>
      <c r="DX103" s="9"/>
      <c r="DY103" s="9"/>
      <c r="DZ103" s="9"/>
      <c r="EA103" s="9"/>
      <c r="EB103" s="9"/>
      <c r="EC103" s="9"/>
      <c r="ED103" s="9"/>
      <c r="EE103" s="9"/>
      <c r="EF103" s="9"/>
      <c r="EG103" s="9"/>
      <c r="EH103" s="9"/>
      <c r="EI103" s="9"/>
      <c r="EJ103" s="9"/>
      <c r="EK103" s="9"/>
      <c r="EL103" s="9"/>
      <c r="EM103" s="9"/>
      <c r="EN103" s="9"/>
      <c r="EO103" s="9"/>
      <c r="EP103" s="9"/>
      <c r="EQ103" s="9"/>
      <c r="ER103" s="9"/>
      <c r="ES103" s="9"/>
      <c r="ET103" s="9"/>
      <c r="EU103" s="9"/>
      <c r="EV103" s="9"/>
      <c r="EW103" s="9"/>
      <c r="EX103" s="9"/>
      <c r="EY103" s="9"/>
      <c r="EZ103" s="9"/>
      <c r="FA103" s="9"/>
      <c r="FB103" s="9"/>
      <c r="FC103" s="9"/>
      <c r="FD103" s="9"/>
      <c r="FE103" s="9"/>
      <c r="FF103" s="9"/>
      <c r="FG103" s="9"/>
      <c r="FH103" s="9"/>
      <c r="FI103" s="9"/>
      <c r="FJ103" s="9"/>
      <c r="FK103" s="9"/>
      <c r="FL103" s="9"/>
      <c r="FM103" s="9"/>
      <c r="FN103" s="9"/>
      <c r="FO103" s="9"/>
      <c r="FP103" s="9"/>
      <c r="FQ103" s="9"/>
      <c r="FR103" s="9"/>
      <c r="FS103" s="9"/>
      <c r="FT103" s="9"/>
      <c r="FU103" s="9"/>
      <c r="FV103" s="9"/>
      <c r="FW103" s="9"/>
      <c r="FX103" s="9"/>
      <c r="FY103" s="9"/>
      <c r="FZ103" s="9"/>
      <c r="GA103" s="9"/>
      <c r="GB103" s="9"/>
      <c r="GC103" s="9"/>
      <c r="GD103" s="9"/>
      <c r="GE103" s="9"/>
      <c r="GF103" s="9"/>
      <c r="GG103" s="9"/>
      <c r="GH103" s="9"/>
      <c r="GI103" s="9"/>
      <c r="GJ103" s="9"/>
      <c r="GK103" s="9"/>
      <c r="GL103" s="9"/>
      <c r="GM103" s="9"/>
      <c r="GN103" s="9"/>
      <c r="GO103" s="9"/>
      <c r="GP103" s="9"/>
      <c r="GQ103" s="9"/>
      <c r="GR103" s="9"/>
      <c r="GS103" s="9"/>
      <c r="GT103" s="9"/>
      <c r="GU103" s="9"/>
      <c r="GV103" s="9"/>
      <c r="GW103" s="9"/>
      <c r="GX103" s="9"/>
      <c r="GY103" s="9"/>
      <c r="GZ103" s="9"/>
      <c r="HA103" s="9"/>
      <c r="HB103" s="9"/>
      <c r="HC103" s="9"/>
      <c r="HD103" s="9"/>
      <c r="HE103" s="9"/>
      <c r="HF103" s="9"/>
      <c r="HG103" s="9"/>
      <c r="HH103" s="9"/>
      <c r="HI103" s="9"/>
      <c r="HJ103" s="9"/>
      <c r="HK103" s="9"/>
      <c r="HL103" s="9"/>
      <c r="HM103" s="9"/>
      <c r="HN103" s="9"/>
      <c r="HO103" s="9"/>
      <c r="HP103" s="9"/>
      <c r="HQ103" s="9"/>
      <c r="HR103" s="9"/>
      <c r="HS103" s="9"/>
      <c r="HT103" s="9"/>
      <c r="HU103" s="9"/>
      <c r="HV103" s="9"/>
      <c r="HW103" s="9"/>
      <c r="HX103" s="9"/>
    </row>
    <row r="104" spans="1:232" ht="14.1" customHeight="1">
      <c r="A104" s="9"/>
      <c r="B104" s="9"/>
      <c r="C104" s="9"/>
      <c r="D104" s="9"/>
      <c r="E104" s="9"/>
      <c r="F104" s="9"/>
      <c r="G104" s="9"/>
      <c r="H104" s="9"/>
      <c r="I104" s="9"/>
      <c r="J104" s="9"/>
      <c r="K104" s="23"/>
      <c r="L104" s="943"/>
      <c r="M104" s="610"/>
      <c r="N104" s="610"/>
      <c r="O104" s="610"/>
      <c r="P104" s="610"/>
      <c r="Q104" s="610"/>
      <c r="R104" s="610"/>
      <c r="S104" s="669"/>
      <c r="T104" s="669"/>
      <c r="U104" s="669"/>
      <c r="V104" s="669"/>
      <c r="W104" s="669"/>
      <c r="X104" s="669"/>
      <c r="Y104" s="669"/>
      <c r="Z104" s="669"/>
      <c r="AA104" s="669"/>
      <c r="AB104" s="669"/>
      <c r="AC104" s="669"/>
      <c r="AD104" s="669"/>
      <c r="AE104" s="669"/>
      <c r="AF104" s="669"/>
      <c r="AG104" s="669"/>
      <c r="AH104" s="669"/>
      <c r="AI104" s="669"/>
      <c r="AJ104" s="669"/>
      <c r="AK104" s="669"/>
      <c r="AL104" s="669"/>
      <c r="AM104" s="669"/>
      <c r="AN104" s="669"/>
      <c r="AO104" s="669"/>
      <c r="AP104" s="669"/>
      <c r="AQ104" s="669"/>
      <c r="AR104" s="669"/>
      <c r="AS104" s="669"/>
      <c r="AT104" s="669"/>
      <c r="AU104" s="669"/>
      <c r="AV104" s="669"/>
      <c r="AW104" s="669"/>
      <c r="AX104" s="669"/>
      <c r="AY104" s="669"/>
      <c r="AZ104" s="669"/>
      <c r="BA104" s="669"/>
      <c r="BB104" s="669"/>
      <c r="BC104" s="669"/>
      <c r="BD104" s="669"/>
      <c r="BE104" s="669"/>
      <c r="BF104" s="669"/>
      <c r="BG104" s="669"/>
      <c r="BH104" s="669"/>
      <c r="BI104" s="669"/>
      <c r="BJ104" s="669"/>
      <c r="BK104" s="669"/>
      <c r="BL104" s="669"/>
      <c r="BM104" s="669"/>
      <c r="BN104" s="669"/>
      <c r="BO104" s="669"/>
      <c r="BP104" s="669"/>
      <c r="BQ104" s="669"/>
      <c r="BR104" s="669"/>
      <c r="BS104" s="669"/>
      <c r="BT104" s="669"/>
      <c r="BU104" s="669"/>
      <c r="BV104" s="669"/>
      <c r="BW104" s="669"/>
      <c r="BX104" s="669"/>
      <c r="BY104" s="669"/>
      <c r="BZ104" s="669"/>
      <c r="CA104" s="669"/>
      <c r="CB104" s="669"/>
      <c r="CC104" s="669"/>
      <c r="CD104" s="669"/>
      <c r="CE104" s="669"/>
      <c r="CF104" s="669"/>
      <c r="CG104" s="669"/>
      <c r="CH104" s="669"/>
      <c r="CI104" s="669"/>
      <c r="CJ104" s="669"/>
      <c r="CK104" s="669"/>
      <c r="CL104" s="669"/>
      <c r="CM104" s="669"/>
      <c r="CN104" s="669"/>
      <c r="CO104" s="669"/>
      <c r="CP104" s="669"/>
      <c r="CQ104" s="669"/>
      <c r="CR104" s="669"/>
      <c r="CS104" s="669"/>
      <c r="CT104" s="669"/>
      <c r="CU104" s="669"/>
      <c r="CV104" s="669"/>
      <c r="CW104" s="9"/>
      <c r="CX104" s="9"/>
      <c r="CY104" s="9"/>
      <c r="CZ104" s="9"/>
      <c r="DA104" s="9"/>
      <c r="DB104" s="9"/>
      <c r="DC104" s="9"/>
      <c r="DD104" s="9"/>
      <c r="DE104" s="9"/>
      <c r="DF104" s="9"/>
      <c r="DG104" s="9"/>
      <c r="DH104" s="9"/>
      <c r="DI104" s="9"/>
      <c r="DJ104" s="9"/>
      <c r="DK104" s="9"/>
      <c r="DL104" s="9"/>
      <c r="DM104" s="9"/>
      <c r="DN104" s="9"/>
      <c r="DO104" s="9"/>
      <c r="DP104" s="9"/>
      <c r="DQ104" s="9"/>
      <c r="DR104" s="9"/>
      <c r="DS104" s="9"/>
      <c r="DT104" s="9"/>
      <c r="DU104" s="9"/>
      <c r="DV104" s="9"/>
      <c r="DW104" s="9"/>
      <c r="DX104" s="9"/>
      <c r="DY104" s="9"/>
      <c r="DZ104" s="9"/>
      <c r="EA104" s="9"/>
      <c r="EB104" s="9"/>
      <c r="EC104" s="9"/>
      <c r="ED104" s="9"/>
      <c r="EE104" s="9"/>
      <c r="EF104" s="9"/>
      <c r="EG104" s="9"/>
      <c r="EH104" s="9"/>
      <c r="EI104" s="9"/>
      <c r="EJ104" s="9"/>
      <c r="EK104" s="9"/>
      <c r="EL104" s="9"/>
      <c r="EM104" s="9"/>
      <c r="EN104" s="9"/>
      <c r="EO104" s="9"/>
      <c r="EP104" s="9"/>
      <c r="EQ104" s="9"/>
      <c r="ER104" s="9"/>
      <c r="ES104" s="9"/>
      <c r="ET104" s="9"/>
      <c r="EU104" s="9"/>
      <c r="EV104" s="9"/>
      <c r="EW104" s="9"/>
      <c r="EX104" s="9"/>
      <c r="EY104" s="9"/>
      <c r="EZ104" s="9"/>
      <c r="FA104" s="9"/>
      <c r="FB104" s="9"/>
      <c r="FC104" s="9"/>
      <c r="FD104" s="9"/>
      <c r="FE104" s="9"/>
      <c r="FF104" s="9"/>
      <c r="FG104" s="9"/>
      <c r="FH104" s="9"/>
      <c r="FI104" s="9"/>
      <c r="FJ104" s="9"/>
      <c r="FK104" s="9"/>
      <c r="FL104" s="9"/>
      <c r="FM104" s="9"/>
      <c r="FN104" s="9"/>
      <c r="FO104" s="9"/>
      <c r="FP104" s="9"/>
      <c r="FQ104" s="9"/>
      <c r="FR104" s="9"/>
      <c r="FS104" s="9"/>
      <c r="FT104" s="9"/>
      <c r="FU104" s="9"/>
      <c r="FV104" s="9"/>
      <c r="FW104" s="9"/>
      <c r="FX104" s="9"/>
      <c r="FY104" s="9"/>
      <c r="FZ104" s="9"/>
      <c r="GA104" s="9"/>
      <c r="GB104" s="9"/>
      <c r="GC104" s="9"/>
      <c r="GD104" s="9"/>
      <c r="GE104" s="9"/>
      <c r="GF104" s="9"/>
      <c r="GG104" s="9"/>
      <c r="GH104" s="9"/>
      <c r="GI104" s="9"/>
      <c r="GJ104" s="9"/>
      <c r="GK104" s="9"/>
      <c r="GL104" s="9"/>
      <c r="GM104" s="9"/>
      <c r="GN104" s="9"/>
      <c r="GO104" s="9"/>
      <c r="GP104" s="9"/>
      <c r="GQ104" s="9"/>
      <c r="GR104" s="9"/>
      <c r="GS104" s="9"/>
      <c r="GT104" s="9"/>
      <c r="GU104" s="9"/>
      <c r="GV104" s="9"/>
      <c r="GW104" s="9"/>
      <c r="GX104" s="9"/>
      <c r="GY104" s="9"/>
      <c r="GZ104" s="9"/>
      <c r="HA104" s="9"/>
      <c r="HB104" s="9"/>
      <c r="HC104" s="9"/>
      <c r="HD104" s="9"/>
      <c r="HE104" s="9"/>
      <c r="HF104" s="9"/>
      <c r="HG104" s="9"/>
      <c r="HH104" s="9"/>
      <c r="HI104" s="9"/>
      <c r="HJ104" s="9"/>
      <c r="HK104" s="9"/>
      <c r="HL104" s="9"/>
      <c r="HM104" s="9"/>
      <c r="HN104" s="9"/>
      <c r="HO104" s="9"/>
      <c r="HP104" s="9"/>
      <c r="HQ104" s="9"/>
      <c r="HR104" s="9"/>
      <c r="HS104" s="9"/>
      <c r="HT104" s="9"/>
      <c r="HU104" s="9"/>
      <c r="HV104" s="9"/>
      <c r="HW104" s="9"/>
      <c r="HX104" s="9"/>
    </row>
    <row r="105" spans="1:232" ht="14.1" customHeight="1">
      <c r="A105" s="9"/>
      <c r="B105" s="9"/>
      <c r="C105" s="9"/>
      <c r="D105" s="9"/>
      <c r="E105" s="9"/>
      <c r="F105" s="9"/>
      <c r="G105" s="9"/>
      <c r="H105" s="9"/>
      <c r="I105" s="9"/>
      <c r="J105" s="9"/>
      <c r="K105" s="23"/>
      <c r="L105" s="943"/>
      <c r="M105" s="610"/>
      <c r="N105" s="610"/>
      <c r="O105" s="610"/>
      <c r="P105" s="610"/>
      <c r="Q105" s="610"/>
      <c r="R105" s="610"/>
      <c r="S105" s="669"/>
      <c r="T105" s="669"/>
      <c r="U105" s="669"/>
      <c r="V105" s="669"/>
      <c r="W105" s="669"/>
      <c r="X105" s="669"/>
      <c r="Y105" s="669"/>
      <c r="Z105" s="669"/>
      <c r="AA105" s="669"/>
      <c r="AB105" s="669"/>
      <c r="AC105" s="669"/>
      <c r="AD105" s="669"/>
      <c r="AE105" s="669"/>
      <c r="AF105" s="669"/>
      <c r="AG105" s="669"/>
      <c r="AH105" s="669"/>
      <c r="AI105" s="669"/>
      <c r="AJ105" s="669"/>
      <c r="AK105" s="669"/>
      <c r="AL105" s="669"/>
      <c r="AM105" s="669"/>
      <c r="AN105" s="669"/>
      <c r="AO105" s="669"/>
      <c r="AP105" s="669"/>
      <c r="AQ105" s="669"/>
      <c r="AR105" s="669"/>
      <c r="AS105" s="669"/>
      <c r="AT105" s="669"/>
      <c r="AU105" s="669"/>
      <c r="AV105" s="669"/>
      <c r="AW105" s="669"/>
      <c r="AX105" s="669"/>
      <c r="AY105" s="669"/>
      <c r="AZ105" s="669"/>
      <c r="BA105" s="669"/>
      <c r="BB105" s="669"/>
      <c r="BC105" s="669"/>
      <c r="BD105" s="669"/>
      <c r="BE105" s="669"/>
      <c r="BF105" s="669"/>
      <c r="BG105" s="669"/>
      <c r="BH105" s="669"/>
      <c r="BI105" s="669"/>
      <c r="BJ105" s="669"/>
      <c r="BK105" s="669"/>
      <c r="BL105" s="669"/>
      <c r="BM105" s="669"/>
      <c r="BN105" s="669"/>
      <c r="BO105" s="669"/>
      <c r="BP105" s="669"/>
      <c r="BQ105" s="669"/>
      <c r="BR105" s="669"/>
      <c r="BS105" s="669"/>
      <c r="BT105" s="669"/>
      <c r="BU105" s="669"/>
      <c r="BV105" s="669"/>
      <c r="BW105" s="669"/>
      <c r="BX105" s="669"/>
      <c r="BY105" s="669"/>
      <c r="BZ105" s="669"/>
      <c r="CA105" s="669"/>
      <c r="CB105" s="669"/>
      <c r="CC105" s="669"/>
      <c r="CD105" s="669"/>
      <c r="CE105" s="669"/>
      <c r="CF105" s="669"/>
      <c r="CG105" s="669"/>
      <c r="CH105" s="669"/>
      <c r="CI105" s="669"/>
      <c r="CJ105" s="669"/>
      <c r="CK105" s="669"/>
      <c r="CL105" s="669"/>
      <c r="CM105" s="669"/>
      <c r="CN105" s="669"/>
      <c r="CO105" s="669"/>
      <c r="CP105" s="669"/>
      <c r="CQ105" s="669"/>
      <c r="CR105" s="669"/>
      <c r="CS105" s="669"/>
      <c r="CT105" s="669"/>
      <c r="CU105" s="669"/>
      <c r="CV105" s="669"/>
      <c r="CW105" s="9"/>
      <c r="CX105" s="9"/>
      <c r="CY105" s="9"/>
      <c r="CZ105" s="9"/>
      <c r="DA105" s="9"/>
      <c r="DB105" s="9"/>
      <c r="DC105" s="9"/>
      <c r="DD105" s="9"/>
      <c r="DE105" s="9"/>
      <c r="DF105" s="9"/>
      <c r="DG105" s="9"/>
      <c r="DH105" s="9"/>
      <c r="DI105" s="9"/>
      <c r="DJ105" s="9"/>
      <c r="DK105" s="9"/>
      <c r="DL105" s="9"/>
      <c r="DM105" s="9"/>
      <c r="DN105" s="9"/>
      <c r="DO105" s="9"/>
      <c r="DP105" s="9"/>
      <c r="DQ105" s="9"/>
      <c r="DR105" s="9"/>
      <c r="DS105" s="9"/>
      <c r="DT105" s="9"/>
      <c r="DU105" s="9"/>
      <c r="DV105" s="9"/>
      <c r="DW105" s="9"/>
      <c r="DX105" s="9"/>
      <c r="DY105" s="9"/>
      <c r="DZ105" s="9"/>
      <c r="EA105" s="9"/>
      <c r="EB105" s="9"/>
      <c r="EC105" s="9"/>
      <c r="ED105" s="9"/>
      <c r="EE105" s="9"/>
      <c r="EF105" s="9"/>
      <c r="EG105" s="9"/>
      <c r="EH105" s="9"/>
      <c r="EI105" s="9"/>
      <c r="EJ105" s="9"/>
      <c r="EK105" s="9"/>
      <c r="EL105" s="9"/>
      <c r="EM105" s="9"/>
      <c r="EN105" s="9"/>
      <c r="EO105" s="9"/>
      <c r="EP105" s="9"/>
      <c r="EQ105" s="9"/>
      <c r="ER105" s="9"/>
      <c r="ES105" s="9"/>
      <c r="ET105" s="9"/>
      <c r="EU105" s="9"/>
      <c r="EV105" s="9"/>
      <c r="EW105" s="9"/>
      <c r="EX105" s="9"/>
      <c r="EY105" s="9"/>
      <c r="EZ105" s="9"/>
      <c r="FA105" s="9"/>
      <c r="FB105" s="9"/>
      <c r="FC105" s="9"/>
      <c r="FD105" s="9"/>
      <c r="FE105" s="9"/>
      <c r="FF105" s="9"/>
      <c r="FG105" s="9"/>
      <c r="FH105" s="9"/>
      <c r="FI105" s="9"/>
      <c r="FJ105" s="9"/>
      <c r="FK105" s="9"/>
      <c r="FL105" s="9"/>
      <c r="FM105" s="9"/>
      <c r="FN105" s="9"/>
      <c r="FO105" s="9"/>
      <c r="FP105" s="9"/>
      <c r="FQ105" s="9"/>
      <c r="FR105" s="9"/>
      <c r="FS105" s="9"/>
      <c r="FT105" s="9"/>
      <c r="FU105" s="9"/>
      <c r="FV105" s="9"/>
      <c r="FW105" s="9"/>
      <c r="FX105" s="9"/>
      <c r="FY105" s="9"/>
      <c r="FZ105" s="9"/>
      <c r="GA105" s="9"/>
      <c r="GB105" s="9"/>
      <c r="GC105" s="9"/>
      <c r="GD105" s="9"/>
      <c r="GE105" s="9"/>
      <c r="GF105" s="9"/>
      <c r="GG105" s="9"/>
      <c r="GH105" s="9"/>
      <c r="GI105" s="9"/>
      <c r="GJ105" s="9"/>
      <c r="GK105" s="9"/>
      <c r="GL105" s="9"/>
      <c r="GM105" s="9"/>
      <c r="GN105" s="9"/>
      <c r="GO105" s="9"/>
      <c r="GP105" s="9"/>
      <c r="GQ105" s="9"/>
      <c r="GR105" s="9"/>
      <c r="GS105" s="9"/>
      <c r="GT105" s="9"/>
      <c r="GU105" s="9"/>
      <c r="GV105" s="9"/>
      <c r="GW105" s="9"/>
      <c r="GX105" s="9"/>
      <c r="GY105" s="9"/>
      <c r="GZ105" s="9"/>
      <c r="HA105" s="9"/>
      <c r="HB105" s="9"/>
      <c r="HC105" s="9"/>
      <c r="HD105" s="9"/>
      <c r="HE105" s="9"/>
      <c r="HF105" s="9"/>
      <c r="HG105" s="9"/>
      <c r="HH105" s="9"/>
      <c r="HI105" s="9"/>
      <c r="HJ105" s="9"/>
      <c r="HK105" s="9"/>
      <c r="HL105" s="9"/>
      <c r="HM105" s="9"/>
      <c r="HN105" s="9"/>
      <c r="HO105" s="9"/>
      <c r="HP105" s="9"/>
      <c r="HQ105" s="9"/>
      <c r="HR105" s="9"/>
      <c r="HS105" s="9"/>
      <c r="HT105" s="9"/>
      <c r="HU105" s="9"/>
      <c r="HV105" s="9"/>
      <c r="HW105" s="9"/>
      <c r="HX105" s="9"/>
    </row>
    <row r="106" spans="1:232" ht="14.1" customHeight="1">
      <c r="A106" s="9"/>
      <c r="B106" s="9"/>
      <c r="C106" s="9"/>
      <c r="D106" s="9"/>
      <c r="E106" s="9"/>
      <c r="F106" s="9"/>
      <c r="G106" s="9"/>
      <c r="H106" s="9"/>
      <c r="I106" s="9"/>
      <c r="J106" s="9"/>
      <c r="K106" s="23"/>
      <c r="L106" s="943"/>
      <c r="M106" s="610"/>
      <c r="N106" s="610"/>
      <c r="O106" s="610"/>
      <c r="P106" s="610"/>
      <c r="Q106" s="610"/>
      <c r="R106" s="610"/>
      <c r="S106" s="669"/>
      <c r="T106" s="669"/>
      <c r="U106" s="669"/>
      <c r="V106" s="669"/>
      <c r="W106" s="669"/>
      <c r="X106" s="669"/>
      <c r="Y106" s="669"/>
      <c r="Z106" s="669"/>
      <c r="AA106" s="669"/>
      <c r="AB106" s="669"/>
      <c r="AC106" s="669"/>
      <c r="AD106" s="669"/>
      <c r="AE106" s="669"/>
      <c r="AF106" s="669"/>
      <c r="AG106" s="669"/>
      <c r="AH106" s="669"/>
      <c r="AI106" s="669"/>
      <c r="AJ106" s="669"/>
      <c r="AK106" s="669"/>
      <c r="AL106" s="669"/>
      <c r="AM106" s="669"/>
      <c r="AN106" s="669"/>
      <c r="AO106" s="669"/>
      <c r="AP106" s="669"/>
      <c r="AQ106" s="669"/>
      <c r="AR106" s="669"/>
      <c r="AS106" s="669"/>
      <c r="AT106" s="669"/>
      <c r="AU106" s="669"/>
      <c r="AV106" s="669"/>
      <c r="AW106" s="669"/>
      <c r="AX106" s="669"/>
      <c r="AY106" s="669"/>
      <c r="AZ106" s="669"/>
      <c r="BA106" s="669"/>
      <c r="BB106" s="669"/>
      <c r="BC106" s="669"/>
      <c r="BD106" s="669"/>
      <c r="BE106" s="669"/>
      <c r="BF106" s="669"/>
      <c r="BG106" s="669"/>
      <c r="BH106" s="669"/>
      <c r="BI106" s="669"/>
      <c r="BJ106" s="669"/>
      <c r="BK106" s="669"/>
      <c r="BL106" s="669"/>
      <c r="BM106" s="669"/>
      <c r="BN106" s="669"/>
      <c r="BO106" s="669"/>
      <c r="BP106" s="669"/>
      <c r="BQ106" s="669"/>
      <c r="BR106" s="669"/>
      <c r="BS106" s="669"/>
      <c r="BT106" s="669"/>
      <c r="BU106" s="669"/>
      <c r="BV106" s="669"/>
      <c r="BW106" s="669"/>
      <c r="BX106" s="669"/>
      <c r="BY106" s="669"/>
      <c r="BZ106" s="669"/>
      <c r="CA106" s="669"/>
      <c r="CB106" s="669"/>
      <c r="CC106" s="669"/>
      <c r="CD106" s="669"/>
      <c r="CE106" s="669"/>
      <c r="CF106" s="669"/>
      <c r="CG106" s="669"/>
      <c r="CH106" s="669"/>
      <c r="CI106" s="669"/>
      <c r="CJ106" s="669"/>
      <c r="CK106" s="669"/>
      <c r="CL106" s="669"/>
      <c r="CM106" s="669"/>
      <c r="CN106" s="669"/>
      <c r="CO106" s="669"/>
      <c r="CP106" s="669"/>
      <c r="CQ106" s="669"/>
      <c r="CR106" s="669"/>
      <c r="CS106" s="669"/>
      <c r="CT106" s="669"/>
      <c r="CU106" s="669"/>
      <c r="CV106" s="669"/>
      <c r="CW106" s="9"/>
      <c r="CX106" s="9"/>
      <c r="CY106" s="9"/>
      <c r="CZ106" s="9"/>
      <c r="DA106" s="9"/>
      <c r="DB106" s="9"/>
      <c r="DC106" s="9"/>
      <c r="DD106" s="9"/>
      <c r="DE106" s="9"/>
      <c r="DF106" s="9"/>
      <c r="DG106" s="9"/>
      <c r="DH106" s="9"/>
      <c r="DI106" s="9"/>
      <c r="DJ106" s="9"/>
      <c r="DK106" s="9"/>
      <c r="DL106" s="9"/>
      <c r="DM106" s="9"/>
      <c r="DN106" s="9"/>
      <c r="DO106" s="9"/>
      <c r="DP106" s="9"/>
      <c r="DQ106" s="9"/>
      <c r="DR106" s="9"/>
      <c r="DS106" s="9"/>
      <c r="DT106" s="9"/>
      <c r="DU106" s="9"/>
      <c r="DV106" s="9"/>
      <c r="DW106" s="9"/>
      <c r="DX106" s="9"/>
      <c r="DY106" s="9"/>
      <c r="DZ106" s="9"/>
      <c r="EA106" s="9"/>
      <c r="EB106" s="9"/>
      <c r="EC106" s="9"/>
      <c r="ED106" s="9"/>
      <c r="EE106" s="9"/>
      <c r="EF106" s="9"/>
      <c r="EG106" s="9"/>
      <c r="EH106" s="9"/>
      <c r="EI106" s="9"/>
      <c r="EJ106" s="9"/>
      <c r="EK106" s="9"/>
      <c r="EL106" s="9"/>
      <c r="EM106" s="9"/>
      <c r="EN106" s="9"/>
      <c r="EO106" s="9"/>
      <c r="EP106" s="9"/>
      <c r="EQ106" s="9"/>
      <c r="ER106" s="9"/>
      <c r="ES106" s="9"/>
      <c r="ET106" s="9"/>
      <c r="EU106" s="9"/>
      <c r="EV106" s="9"/>
      <c r="EW106" s="9"/>
      <c r="EX106" s="9"/>
      <c r="EY106" s="9"/>
      <c r="EZ106" s="9"/>
      <c r="FA106" s="9"/>
      <c r="FB106" s="9"/>
      <c r="FC106" s="9"/>
      <c r="FD106" s="9"/>
      <c r="FE106" s="9"/>
      <c r="FF106" s="9"/>
      <c r="FG106" s="9"/>
      <c r="FH106" s="9"/>
      <c r="FI106" s="9"/>
      <c r="FJ106" s="9"/>
      <c r="FK106" s="9"/>
      <c r="FL106" s="9"/>
      <c r="FM106" s="9"/>
      <c r="FN106" s="9"/>
      <c r="FO106" s="9"/>
      <c r="FP106" s="9"/>
      <c r="FQ106" s="9"/>
      <c r="FR106" s="9"/>
      <c r="FS106" s="9"/>
      <c r="FT106" s="9"/>
      <c r="FU106" s="9"/>
      <c r="FV106" s="9"/>
      <c r="FW106" s="9"/>
      <c r="FX106" s="9"/>
      <c r="FY106" s="9"/>
      <c r="FZ106" s="9"/>
      <c r="GA106" s="9"/>
      <c r="GB106" s="9"/>
      <c r="GC106" s="9"/>
      <c r="GD106" s="9"/>
      <c r="GE106" s="9"/>
      <c r="GF106" s="9"/>
      <c r="GG106" s="9"/>
      <c r="GH106" s="9"/>
      <c r="GI106" s="9"/>
      <c r="GJ106" s="9"/>
      <c r="GK106" s="9"/>
      <c r="GL106" s="9"/>
      <c r="GM106" s="9"/>
      <c r="GN106" s="9"/>
      <c r="GO106" s="9"/>
      <c r="GP106" s="9"/>
      <c r="GQ106" s="9"/>
      <c r="GR106" s="9"/>
      <c r="GS106" s="9"/>
      <c r="GT106" s="9"/>
      <c r="GU106" s="9"/>
      <c r="GV106" s="9"/>
      <c r="GW106" s="9"/>
      <c r="GX106" s="9"/>
      <c r="GY106" s="9"/>
      <c r="GZ106" s="9"/>
      <c r="HA106" s="9"/>
      <c r="HB106" s="9"/>
      <c r="HC106" s="9"/>
      <c r="HD106" s="9"/>
      <c r="HE106" s="9"/>
      <c r="HF106" s="9"/>
      <c r="HG106" s="9"/>
      <c r="HH106" s="9"/>
      <c r="HI106" s="9"/>
      <c r="HJ106" s="9"/>
      <c r="HK106" s="9"/>
      <c r="HL106" s="9"/>
      <c r="HM106" s="9"/>
      <c r="HN106" s="9"/>
      <c r="HO106" s="9"/>
      <c r="HP106" s="9"/>
      <c r="HQ106" s="9"/>
      <c r="HR106" s="9"/>
      <c r="HS106" s="9"/>
      <c r="HT106" s="9"/>
      <c r="HU106" s="9"/>
      <c r="HV106" s="9"/>
      <c r="HW106" s="9"/>
      <c r="HX106" s="9"/>
    </row>
    <row r="107" spans="1:232" ht="14.1" customHeight="1">
      <c r="A107" s="9"/>
      <c r="B107" s="9"/>
      <c r="C107" s="9"/>
      <c r="D107" s="9"/>
      <c r="E107" s="9"/>
      <c r="F107" s="9"/>
      <c r="G107" s="9"/>
      <c r="H107" s="9"/>
      <c r="I107" s="9"/>
      <c r="J107" s="9"/>
      <c r="K107" s="23"/>
      <c r="L107" s="943"/>
      <c r="M107" s="610"/>
      <c r="N107" s="610"/>
      <c r="O107" s="610"/>
      <c r="P107" s="610"/>
      <c r="Q107" s="610"/>
      <c r="R107" s="610"/>
      <c r="S107" s="669"/>
      <c r="T107" s="669"/>
      <c r="U107" s="669"/>
      <c r="V107" s="669"/>
      <c r="W107" s="669"/>
      <c r="X107" s="669"/>
      <c r="Y107" s="669"/>
      <c r="Z107" s="669"/>
      <c r="AA107" s="669"/>
      <c r="AB107" s="669"/>
      <c r="AC107" s="669"/>
      <c r="AD107" s="669"/>
      <c r="AE107" s="669"/>
      <c r="AF107" s="669"/>
      <c r="AG107" s="669"/>
      <c r="AH107" s="669"/>
      <c r="AI107" s="669"/>
      <c r="AJ107" s="669"/>
      <c r="AK107" s="669"/>
      <c r="AL107" s="669"/>
      <c r="AM107" s="669"/>
      <c r="AN107" s="669"/>
      <c r="AO107" s="669"/>
      <c r="AP107" s="669"/>
      <c r="AQ107" s="669"/>
      <c r="AR107" s="669"/>
      <c r="AS107" s="669"/>
      <c r="AT107" s="669"/>
      <c r="AU107" s="669"/>
      <c r="AV107" s="669"/>
      <c r="AW107" s="669"/>
      <c r="AX107" s="669"/>
      <c r="AY107" s="669"/>
      <c r="AZ107" s="669"/>
      <c r="BA107" s="669"/>
      <c r="BB107" s="669"/>
      <c r="BC107" s="669"/>
      <c r="BD107" s="669"/>
      <c r="BE107" s="669"/>
      <c r="BF107" s="669"/>
      <c r="BG107" s="669"/>
      <c r="BH107" s="669"/>
      <c r="BI107" s="669"/>
      <c r="BJ107" s="669"/>
      <c r="BK107" s="669"/>
      <c r="BL107" s="669"/>
      <c r="BM107" s="669"/>
      <c r="BN107" s="669"/>
      <c r="BO107" s="669"/>
      <c r="BP107" s="669"/>
      <c r="BQ107" s="669"/>
      <c r="BR107" s="669"/>
      <c r="BS107" s="669"/>
      <c r="BT107" s="669"/>
      <c r="BU107" s="669"/>
      <c r="BV107" s="669"/>
      <c r="BW107" s="669"/>
      <c r="BX107" s="669"/>
      <c r="BY107" s="669"/>
      <c r="BZ107" s="669"/>
      <c r="CA107" s="669"/>
      <c r="CB107" s="669"/>
      <c r="CC107" s="669"/>
      <c r="CD107" s="669"/>
      <c r="CE107" s="669"/>
      <c r="CF107" s="669"/>
      <c r="CG107" s="669"/>
      <c r="CH107" s="669"/>
      <c r="CI107" s="669"/>
      <c r="CJ107" s="669"/>
      <c r="CK107" s="669"/>
      <c r="CL107" s="669"/>
      <c r="CM107" s="669"/>
      <c r="CN107" s="669"/>
      <c r="CO107" s="669"/>
      <c r="CP107" s="669"/>
      <c r="CQ107" s="669"/>
      <c r="CR107" s="669"/>
      <c r="CS107" s="669"/>
      <c r="CT107" s="669"/>
      <c r="CU107" s="669"/>
      <c r="CV107" s="669"/>
      <c r="CW107" s="9"/>
      <c r="CX107" s="9"/>
      <c r="CY107" s="9"/>
      <c r="CZ107" s="9"/>
      <c r="DA107" s="9"/>
      <c r="DB107" s="9"/>
      <c r="DC107" s="9"/>
      <c r="DD107" s="9"/>
      <c r="DE107" s="9"/>
      <c r="DF107" s="9"/>
      <c r="DG107" s="9"/>
      <c r="DH107" s="9"/>
      <c r="DI107" s="9"/>
      <c r="DJ107" s="9"/>
      <c r="DK107" s="9"/>
      <c r="DL107" s="9"/>
      <c r="DM107" s="9"/>
      <c r="DN107" s="9"/>
      <c r="DO107" s="9"/>
      <c r="DP107" s="9"/>
      <c r="DQ107" s="9"/>
      <c r="DR107" s="9"/>
      <c r="DS107" s="9"/>
      <c r="DT107" s="9"/>
      <c r="DU107" s="9"/>
      <c r="DV107" s="9"/>
      <c r="DW107" s="9"/>
      <c r="DX107" s="9"/>
      <c r="DY107" s="9"/>
      <c r="DZ107" s="9"/>
      <c r="EA107" s="9"/>
      <c r="EB107" s="9"/>
      <c r="EC107" s="9"/>
      <c r="ED107" s="9"/>
      <c r="EE107" s="9"/>
      <c r="EF107" s="9"/>
      <c r="EG107" s="9"/>
      <c r="EH107" s="9"/>
      <c r="EI107" s="9"/>
      <c r="EJ107" s="9"/>
      <c r="EK107" s="9"/>
      <c r="EL107" s="9"/>
      <c r="EM107" s="9"/>
      <c r="EN107" s="9"/>
      <c r="EO107" s="9"/>
      <c r="EP107" s="9"/>
      <c r="EQ107" s="9"/>
      <c r="ER107" s="9"/>
      <c r="ES107" s="9"/>
      <c r="ET107" s="9"/>
      <c r="EU107" s="9"/>
      <c r="EV107" s="9"/>
      <c r="EW107" s="9"/>
      <c r="EX107" s="9"/>
      <c r="EY107" s="9"/>
      <c r="EZ107" s="9"/>
      <c r="FA107" s="9"/>
      <c r="FB107" s="9"/>
      <c r="FC107" s="9"/>
      <c r="FD107" s="9"/>
      <c r="FE107" s="9"/>
      <c r="FF107" s="9"/>
      <c r="FG107" s="9"/>
      <c r="FH107" s="9"/>
      <c r="FI107" s="9"/>
      <c r="FJ107" s="9"/>
      <c r="FK107" s="9"/>
      <c r="FL107" s="9"/>
      <c r="FM107" s="9"/>
      <c r="FN107" s="9"/>
      <c r="FO107" s="9"/>
      <c r="FP107" s="9"/>
      <c r="FQ107" s="9"/>
      <c r="FR107" s="9"/>
      <c r="FS107" s="9"/>
      <c r="FT107" s="9"/>
      <c r="FU107" s="9"/>
      <c r="FV107" s="9"/>
      <c r="FW107" s="9"/>
      <c r="FX107" s="9"/>
      <c r="FY107" s="9"/>
      <c r="FZ107" s="9"/>
      <c r="GA107" s="9"/>
      <c r="GB107" s="9"/>
      <c r="GC107" s="9"/>
      <c r="GD107" s="9"/>
      <c r="GE107" s="9"/>
      <c r="GF107" s="9"/>
      <c r="GG107" s="9"/>
      <c r="GH107" s="9"/>
      <c r="GI107" s="9"/>
      <c r="GJ107" s="9"/>
      <c r="GK107" s="9"/>
      <c r="GL107" s="9"/>
      <c r="GM107" s="9"/>
      <c r="GN107" s="9"/>
      <c r="GO107" s="9"/>
      <c r="GP107" s="9"/>
      <c r="GQ107" s="9"/>
      <c r="GR107" s="9"/>
      <c r="GS107" s="9"/>
      <c r="GT107" s="9"/>
      <c r="GU107" s="9"/>
      <c r="GV107" s="9"/>
      <c r="GW107" s="9"/>
      <c r="GX107" s="9"/>
      <c r="GY107" s="9"/>
      <c r="GZ107" s="9"/>
      <c r="HA107" s="9"/>
      <c r="HB107" s="9"/>
      <c r="HC107" s="9"/>
      <c r="HD107" s="9"/>
      <c r="HE107" s="9"/>
      <c r="HF107" s="9"/>
      <c r="HG107" s="9"/>
      <c r="HH107" s="9"/>
      <c r="HI107" s="9"/>
      <c r="HJ107" s="9"/>
      <c r="HK107" s="9"/>
      <c r="HL107" s="9"/>
      <c r="HM107" s="9"/>
      <c r="HN107" s="9"/>
      <c r="HO107" s="9"/>
      <c r="HP107" s="9"/>
      <c r="HQ107" s="9"/>
      <c r="HR107" s="9"/>
      <c r="HS107" s="9"/>
      <c r="HT107" s="9"/>
      <c r="HU107" s="9"/>
      <c r="HV107" s="9"/>
      <c r="HW107" s="9"/>
      <c r="HX107" s="9"/>
    </row>
    <row r="108" spans="1:232" ht="14.1" customHeight="1">
      <c r="A108" s="9"/>
      <c r="B108" s="9"/>
      <c r="C108" s="9"/>
      <c r="D108" s="9"/>
      <c r="E108" s="9"/>
      <c r="F108" s="9"/>
      <c r="G108" s="9"/>
      <c r="H108" s="9"/>
      <c r="I108" s="9"/>
      <c r="J108" s="9"/>
      <c r="K108" s="23"/>
      <c r="L108" s="943"/>
      <c r="M108" s="610"/>
      <c r="N108" s="610"/>
      <c r="O108" s="610"/>
      <c r="P108" s="610"/>
      <c r="Q108" s="610"/>
      <c r="R108" s="610"/>
      <c r="S108" s="669"/>
      <c r="T108" s="669"/>
      <c r="U108" s="669"/>
      <c r="V108" s="669"/>
      <c r="W108" s="669"/>
      <c r="X108" s="669"/>
      <c r="Y108" s="669"/>
      <c r="Z108" s="669"/>
      <c r="AA108" s="669"/>
      <c r="AB108" s="669"/>
      <c r="AC108" s="669"/>
      <c r="AD108" s="669"/>
      <c r="AE108" s="669"/>
      <c r="AF108" s="669"/>
      <c r="AG108" s="669"/>
      <c r="AH108" s="669"/>
      <c r="AI108" s="669"/>
      <c r="AJ108" s="669"/>
      <c r="AK108" s="669"/>
      <c r="AL108" s="669"/>
      <c r="AM108" s="669"/>
      <c r="AN108" s="669"/>
      <c r="AO108" s="669"/>
      <c r="AP108" s="669"/>
      <c r="AQ108" s="669"/>
      <c r="AR108" s="669"/>
      <c r="AS108" s="669"/>
      <c r="AT108" s="669"/>
      <c r="AU108" s="669"/>
      <c r="AV108" s="669"/>
      <c r="AW108" s="669"/>
      <c r="AX108" s="669"/>
      <c r="AY108" s="669"/>
      <c r="AZ108" s="669"/>
      <c r="BA108" s="669"/>
      <c r="BB108" s="669"/>
      <c r="BC108" s="669"/>
      <c r="BD108" s="669"/>
      <c r="BE108" s="669"/>
      <c r="BF108" s="669"/>
      <c r="BG108" s="669"/>
      <c r="BH108" s="669"/>
      <c r="BI108" s="669"/>
      <c r="BJ108" s="669"/>
      <c r="BK108" s="669"/>
      <c r="BL108" s="669"/>
      <c r="BM108" s="669"/>
      <c r="BN108" s="669"/>
      <c r="BO108" s="669"/>
      <c r="BP108" s="669"/>
      <c r="BQ108" s="669"/>
      <c r="BR108" s="669"/>
      <c r="BS108" s="669"/>
      <c r="BT108" s="669"/>
      <c r="BU108" s="669"/>
      <c r="BV108" s="669"/>
      <c r="BW108" s="669"/>
      <c r="BX108" s="669"/>
      <c r="BY108" s="669"/>
      <c r="BZ108" s="669"/>
      <c r="CA108" s="669"/>
      <c r="CB108" s="669"/>
      <c r="CC108" s="669"/>
      <c r="CD108" s="669"/>
      <c r="CE108" s="669"/>
      <c r="CF108" s="669"/>
      <c r="CG108" s="669"/>
      <c r="CH108" s="669"/>
      <c r="CI108" s="669"/>
      <c r="CJ108" s="669"/>
      <c r="CK108" s="669"/>
      <c r="CL108" s="669"/>
      <c r="CM108" s="669"/>
      <c r="CN108" s="669"/>
      <c r="CO108" s="669"/>
      <c r="CP108" s="669"/>
      <c r="CQ108" s="669"/>
      <c r="CR108" s="669"/>
      <c r="CS108" s="669"/>
      <c r="CT108" s="669"/>
      <c r="CU108" s="669"/>
      <c r="CV108" s="669"/>
      <c r="CW108" s="9"/>
      <c r="CX108" s="9"/>
      <c r="CY108" s="9"/>
      <c r="CZ108" s="9"/>
      <c r="DA108" s="9"/>
      <c r="DB108" s="9"/>
      <c r="DC108" s="9"/>
      <c r="DD108" s="9"/>
      <c r="DE108" s="9"/>
      <c r="DF108" s="9"/>
      <c r="DG108" s="9"/>
      <c r="DH108" s="9"/>
      <c r="DI108" s="9"/>
      <c r="DJ108" s="9"/>
      <c r="DK108" s="9"/>
      <c r="DL108" s="9"/>
      <c r="DM108" s="9"/>
      <c r="DN108" s="9"/>
      <c r="DO108" s="9"/>
      <c r="DP108" s="9"/>
      <c r="DQ108" s="9"/>
      <c r="DR108" s="9"/>
      <c r="DS108" s="9"/>
      <c r="DT108" s="9"/>
      <c r="DU108" s="9"/>
      <c r="DV108" s="9"/>
      <c r="DW108" s="9"/>
      <c r="DX108" s="9"/>
      <c r="DY108" s="9"/>
      <c r="DZ108" s="9"/>
      <c r="EA108" s="9"/>
      <c r="EB108" s="9"/>
      <c r="EC108" s="9"/>
      <c r="ED108" s="9"/>
      <c r="EE108" s="9"/>
      <c r="EF108" s="9"/>
      <c r="EG108" s="9"/>
      <c r="EH108" s="9"/>
      <c r="EI108" s="9"/>
      <c r="EJ108" s="9"/>
      <c r="EK108" s="9"/>
      <c r="EL108" s="9"/>
      <c r="EM108" s="9"/>
      <c r="EN108" s="9"/>
      <c r="EO108" s="9"/>
      <c r="EP108" s="9"/>
      <c r="EQ108" s="9"/>
      <c r="ER108" s="9"/>
      <c r="ES108" s="9"/>
      <c r="ET108" s="9"/>
      <c r="EU108" s="9"/>
      <c r="EV108" s="9"/>
      <c r="EW108" s="9"/>
      <c r="EX108" s="9"/>
      <c r="EY108" s="9"/>
      <c r="EZ108" s="9"/>
      <c r="FA108" s="9"/>
      <c r="FB108" s="9"/>
      <c r="FC108" s="9"/>
      <c r="FD108" s="9"/>
      <c r="FE108" s="9"/>
      <c r="FF108" s="9"/>
      <c r="FG108" s="9"/>
      <c r="FH108" s="9"/>
      <c r="FI108" s="9"/>
      <c r="FJ108" s="9"/>
      <c r="FK108" s="9"/>
      <c r="FL108" s="9"/>
      <c r="FM108" s="9"/>
      <c r="FN108" s="9"/>
      <c r="FO108" s="9"/>
      <c r="FP108" s="9"/>
      <c r="FQ108" s="9"/>
      <c r="FR108" s="9"/>
      <c r="FS108" s="9"/>
      <c r="FT108" s="9"/>
      <c r="FU108" s="9"/>
      <c r="FV108" s="9"/>
      <c r="FW108" s="9"/>
      <c r="FX108" s="9"/>
      <c r="FY108" s="9"/>
      <c r="FZ108" s="9"/>
      <c r="GA108" s="9"/>
      <c r="GB108" s="9"/>
      <c r="GC108" s="9"/>
      <c r="GD108" s="9"/>
      <c r="GE108" s="9"/>
      <c r="GF108" s="9"/>
      <c r="GG108" s="9"/>
      <c r="GH108" s="9"/>
      <c r="GI108" s="9"/>
      <c r="GJ108" s="9"/>
      <c r="GK108" s="9"/>
      <c r="GL108" s="9"/>
      <c r="GM108" s="9"/>
      <c r="GN108" s="9"/>
      <c r="GO108" s="9"/>
      <c r="GP108" s="9"/>
      <c r="GQ108" s="9"/>
      <c r="GR108" s="9"/>
      <c r="GS108" s="9"/>
      <c r="GT108" s="9"/>
      <c r="GU108" s="9"/>
      <c r="GV108" s="9"/>
      <c r="GW108" s="9"/>
      <c r="GX108" s="9"/>
      <c r="GY108" s="9"/>
      <c r="GZ108" s="9"/>
      <c r="HA108" s="9"/>
      <c r="HB108" s="9"/>
      <c r="HC108" s="9"/>
      <c r="HD108" s="9"/>
      <c r="HE108" s="9"/>
      <c r="HF108" s="9"/>
      <c r="HG108" s="9"/>
      <c r="HH108" s="9"/>
      <c r="HI108" s="9"/>
      <c r="HJ108" s="9"/>
      <c r="HK108" s="9"/>
      <c r="HL108" s="9"/>
      <c r="HM108" s="9"/>
      <c r="HN108" s="9"/>
      <c r="HO108" s="9"/>
      <c r="HP108" s="9"/>
      <c r="HQ108" s="9"/>
      <c r="HR108" s="9"/>
      <c r="HS108" s="9"/>
      <c r="HT108" s="9"/>
      <c r="HU108" s="9"/>
      <c r="HV108" s="9"/>
      <c r="HW108" s="9"/>
      <c r="HX108" s="9"/>
    </row>
    <row r="109" spans="1:232" ht="14.1" customHeight="1">
      <c r="A109" s="9"/>
      <c r="B109" s="9"/>
      <c r="C109" s="9"/>
      <c r="D109" s="9"/>
      <c r="E109" s="9"/>
      <c r="F109" s="9"/>
      <c r="G109" s="9"/>
      <c r="H109" s="9"/>
      <c r="I109" s="9"/>
      <c r="J109" s="9"/>
      <c r="K109" s="23"/>
      <c r="L109" s="943"/>
      <c r="M109" s="610"/>
      <c r="N109" s="610"/>
      <c r="O109" s="610"/>
      <c r="P109" s="610"/>
      <c r="Q109" s="610"/>
      <c r="R109" s="610"/>
      <c r="S109" s="669"/>
      <c r="T109" s="669"/>
      <c r="U109" s="669"/>
      <c r="V109" s="669"/>
      <c r="W109" s="669"/>
      <c r="X109" s="669"/>
      <c r="Y109" s="669"/>
      <c r="Z109" s="669"/>
      <c r="AA109" s="669"/>
      <c r="AB109" s="669"/>
      <c r="AC109" s="669"/>
      <c r="AD109" s="669"/>
      <c r="AE109" s="669"/>
      <c r="AF109" s="669"/>
      <c r="AG109" s="669"/>
      <c r="AH109" s="669"/>
      <c r="AI109" s="669"/>
      <c r="AJ109" s="669"/>
      <c r="AK109" s="669"/>
      <c r="AL109" s="669"/>
      <c r="AM109" s="669"/>
      <c r="AN109" s="669"/>
      <c r="AO109" s="669"/>
      <c r="AP109" s="669"/>
      <c r="AQ109" s="669"/>
      <c r="AR109" s="669"/>
      <c r="AS109" s="669"/>
      <c r="AT109" s="669"/>
      <c r="AU109" s="669"/>
      <c r="AV109" s="669"/>
      <c r="AW109" s="669"/>
      <c r="AX109" s="669"/>
      <c r="AY109" s="669"/>
      <c r="AZ109" s="669"/>
      <c r="BA109" s="669"/>
      <c r="BB109" s="669"/>
      <c r="BC109" s="669"/>
      <c r="BD109" s="669"/>
      <c r="BE109" s="669"/>
      <c r="BF109" s="669"/>
      <c r="BG109" s="669"/>
      <c r="BH109" s="669"/>
      <c r="BI109" s="669"/>
      <c r="BJ109" s="669"/>
      <c r="BK109" s="669"/>
      <c r="BL109" s="669"/>
      <c r="BM109" s="669"/>
      <c r="BN109" s="669"/>
      <c r="BO109" s="669"/>
      <c r="BP109" s="669"/>
      <c r="BQ109" s="669"/>
      <c r="BR109" s="669"/>
      <c r="BS109" s="669"/>
      <c r="BT109" s="669"/>
      <c r="BU109" s="669"/>
      <c r="BV109" s="669"/>
      <c r="BW109" s="669"/>
      <c r="BX109" s="669"/>
      <c r="BY109" s="669"/>
      <c r="BZ109" s="669"/>
      <c r="CA109" s="669"/>
      <c r="CB109" s="669"/>
      <c r="CC109" s="669"/>
      <c r="CD109" s="669"/>
      <c r="CE109" s="669"/>
      <c r="CF109" s="669"/>
      <c r="CG109" s="669"/>
      <c r="CH109" s="669"/>
      <c r="CI109" s="669"/>
      <c r="CJ109" s="669"/>
      <c r="CK109" s="669"/>
      <c r="CL109" s="669"/>
      <c r="CM109" s="669"/>
      <c r="CN109" s="669"/>
      <c r="CO109" s="669"/>
      <c r="CP109" s="669"/>
      <c r="CQ109" s="669"/>
      <c r="CR109" s="669"/>
      <c r="CS109" s="669"/>
      <c r="CT109" s="669"/>
      <c r="CU109" s="669"/>
      <c r="CV109" s="669"/>
      <c r="CW109" s="9"/>
      <c r="CX109" s="9"/>
      <c r="CY109" s="9"/>
      <c r="CZ109" s="9"/>
      <c r="DA109" s="9"/>
      <c r="DB109" s="9"/>
      <c r="DC109" s="9"/>
      <c r="DD109" s="9"/>
      <c r="DE109" s="9"/>
      <c r="DF109" s="9"/>
      <c r="DG109" s="9"/>
      <c r="DH109" s="9"/>
      <c r="DI109" s="9"/>
      <c r="DJ109" s="9"/>
      <c r="DK109" s="9"/>
      <c r="DL109" s="9"/>
      <c r="DM109" s="9"/>
      <c r="DN109" s="9"/>
      <c r="DO109" s="9"/>
      <c r="DP109" s="9"/>
      <c r="DQ109" s="9"/>
      <c r="DR109" s="9"/>
      <c r="DS109" s="9"/>
      <c r="DT109" s="9"/>
      <c r="DU109" s="9"/>
      <c r="DV109" s="9"/>
      <c r="DW109" s="9"/>
      <c r="DX109" s="9"/>
      <c r="DY109" s="9"/>
      <c r="DZ109" s="9"/>
      <c r="EA109" s="9"/>
      <c r="EB109" s="9"/>
      <c r="EC109" s="9"/>
      <c r="ED109" s="9"/>
      <c r="EE109" s="9"/>
      <c r="EF109" s="9"/>
      <c r="EG109" s="9"/>
      <c r="EH109" s="9"/>
      <c r="EI109" s="9"/>
      <c r="EJ109" s="9"/>
      <c r="EK109" s="9"/>
      <c r="EL109" s="9"/>
      <c r="EM109" s="9"/>
      <c r="EN109" s="9"/>
      <c r="EO109" s="9"/>
      <c r="EP109" s="9"/>
      <c r="EQ109" s="9"/>
      <c r="ER109" s="9"/>
      <c r="ES109" s="9"/>
      <c r="ET109" s="9"/>
      <c r="EU109" s="9"/>
      <c r="EV109" s="9"/>
      <c r="EW109" s="9"/>
      <c r="EX109" s="9"/>
      <c r="EY109" s="9"/>
      <c r="EZ109" s="9"/>
      <c r="FA109" s="9"/>
      <c r="FB109" s="9"/>
      <c r="FC109" s="9"/>
      <c r="FD109" s="9"/>
      <c r="FE109" s="9"/>
      <c r="FF109" s="9"/>
      <c r="FG109" s="9"/>
      <c r="FH109" s="9"/>
      <c r="FI109" s="9"/>
      <c r="FJ109" s="9"/>
      <c r="FK109" s="9"/>
      <c r="FL109" s="9"/>
      <c r="FM109" s="9"/>
      <c r="FN109" s="9"/>
      <c r="FO109" s="9"/>
      <c r="FP109" s="9"/>
      <c r="FQ109" s="9"/>
      <c r="FR109" s="9"/>
      <c r="FS109" s="9"/>
      <c r="FT109" s="9"/>
      <c r="FU109" s="9"/>
      <c r="FV109" s="9"/>
      <c r="FW109" s="9"/>
      <c r="FX109" s="9"/>
      <c r="FY109" s="9"/>
      <c r="FZ109" s="9"/>
      <c r="GA109" s="9"/>
      <c r="GB109" s="9"/>
      <c r="GC109" s="9"/>
      <c r="GD109" s="9"/>
      <c r="GE109" s="9"/>
      <c r="GF109" s="9"/>
      <c r="GG109" s="9"/>
      <c r="GH109" s="9"/>
      <c r="GI109" s="9"/>
      <c r="GJ109" s="9"/>
      <c r="GK109" s="9"/>
      <c r="GL109" s="9"/>
      <c r="GM109" s="9"/>
      <c r="GN109" s="9"/>
      <c r="GO109" s="9"/>
      <c r="GP109" s="9"/>
      <c r="GQ109" s="9"/>
      <c r="GR109" s="9"/>
      <c r="GS109" s="9"/>
      <c r="GT109" s="9"/>
      <c r="GU109" s="9"/>
      <c r="GV109" s="9"/>
      <c r="GW109" s="9"/>
      <c r="GX109" s="9"/>
      <c r="GY109" s="9"/>
      <c r="GZ109" s="9"/>
      <c r="HA109" s="9"/>
      <c r="HB109" s="9"/>
      <c r="HC109" s="9"/>
      <c r="HD109" s="9"/>
      <c r="HE109" s="9"/>
      <c r="HF109" s="9"/>
      <c r="HG109" s="9"/>
      <c r="HH109" s="9"/>
      <c r="HI109" s="9"/>
      <c r="HJ109" s="9"/>
      <c r="HK109" s="9"/>
      <c r="HL109" s="9"/>
      <c r="HM109" s="9"/>
      <c r="HN109" s="9"/>
      <c r="HO109" s="9"/>
      <c r="HP109" s="9"/>
      <c r="HQ109" s="9"/>
      <c r="HR109" s="9"/>
      <c r="HS109" s="9"/>
      <c r="HT109" s="9"/>
      <c r="HU109" s="9"/>
      <c r="HV109" s="9"/>
      <c r="HW109" s="9"/>
      <c r="HX109" s="9"/>
    </row>
    <row r="110" spans="1:232" ht="14.1" customHeight="1">
      <c r="A110" s="9"/>
      <c r="B110" s="9"/>
      <c r="C110" s="9"/>
      <c r="D110" s="9"/>
      <c r="E110" s="9"/>
      <c r="F110" s="9"/>
      <c r="G110" s="9"/>
      <c r="H110" s="9"/>
      <c r="I110" s="9"/>
      <c r="J110" s="9"/>
      <c r="K110" s="23"/>
      <c r="L110" s="943"/>
      <c r="M110" s="610"/>
      <c r="N110" s="610"/>
      <c r="O110" s="610"/>
      <c r="P110" s="610"/>
      <c r="Q110" s="610"/>
      <c r="R110" s="610"/>
      <c r="S110" s="669"/>
      <c r="T110" s="669"/>
      <c r="U110" s="669"/>
      <c r="V110" s="669"/>
      <c r="W110" s="669"/>
      <c r="X110" s="669"/>
      <c r="Y110" s="669"/>
      <c r="Z110" s="669"/>
      <c r="AA110" s="669"/>
      <c r="AB110" s="669"/>
      <c r="AC110" s="669"/>
      <c r="AD110" s="669"/>
      <c r="AE110" s="669"/>
      <c r="AF110" s="669"/>
      <c r="AG110" s="669"/>
      <c r="AH110" s="669"/>
      <c r="AI110" s="669"/>
      <c r="AJ110" s="669"/>
      <c r="AK110" s="669"/>
      <c r="AL110" s="669"/>
      <c r="AM110" s="669"/>
      <c r="AN110" s="669"/>
      <c r="AO110" s="669"/>
      <c r="AP110" s="669"/>
      <c r="AQ110" s="669"/>
      <c r="AR110" s="669"/>
      <c r="AS110" s="669"/>
      <c r="AT110" s="669"/>
      <c r="AU110" s="669"/>
      <c r="AV110" s="669"/>
      <c r="AW110" s="669"/>
      <c r="AX110" s="669"/>
      <c r="AY110" s="669"/>
      <c r="AZ110" s="669"/>
      <c r="BA110" s="669"/>
      <c r="BB110" s="669"/>
      <c r="BC110" s="669"/>
      <c r="BD110" s="669"/>
      <c r="BE110" s="669"/>
      <c r="BF110" s="669"/>
      <c r="BG110" s="669"/>
      <c r="BH110" s="669"/>
      <c r="BI110" s="669"/>
      <c r="BJ110" s="669"/>
      <c r="BK110" s="669"/>
      <c r="BL110" s="669"/>
      <c r="BM110" s="669"/>
      <c r="BN110" s="669"/>
      <c r="BO110" s="669"/>
      <c r="BP110" s="669"/>
      <c r="BQ110" s="669"/>
      <c r="BR110" s="669"/>
      <c r="BS110" s="669"/>
      <c r="BT110" s="669"/>
      <c r="BU110" s="669"/>
      <c r="BV110" s="669"/>
      <c r="BW110" s="669"/>
      <c r="BX110" s="669"/>
      <c r="BY110" s="669"/>
      <c r="BZ110" s="669"/>
      <c r="CA110" s="669"/>
      <c r="CB110" s="669"/>
      <c r="CC110" s="669"/>
      <c r="CD110" s="669"/>
      <c r="CE110" s="669"/>
      <c r="CF110" s="669"/>
      <c r="CG110" s="669"/>
      <c r="CH110" s="669"/>
      <c r="CI110" s="669"/>
      <c r="CJ110" s="669"/>
      <c r="CK110" s="669"/>
      <c r="CL110" s="669"/>
      <c r="CM110" s="669"/>
      <c r="CN110" s="669"/>
      <c r="CO110" s="669"/>
      <c r="CP110" s="669"/>
      <c r="CQ110" s="669"/>
      <c r="CR110" s="669"/>
      <c r="CS110" s="669"/>
      <c r="CT110" s="669"/>
      <c r="CU110" s="669"/>
      <c r="CV110" s="669"/>
      <c r="CW110" s="9"/>
      <c r="CX110" s="9"/>
      <c r="CY110" s="9"/>
      <c r="CZ110" s="9"/>
      <c r="DA110" s="9"/>
      <c r="DB110" s="9"/>
      <c r="DC110" s="9"/>
      <c r="DD110" s="9"/>
      <c r="DE110" s="9"/>
      <c r="DF110" s="9"/>
      <c r="DG110" s="9"/>
      <c r="DH110" s="9"/>
      <c r="DI110" s="9"/>
      <c r="DJ110" s="9"/>
      <c r="DK110" s="9"/>
      <c r="DL110" s="9"/>
      <c r="DM110" s="9"/>
      <c r="DN110" s="9"/>
      <c r="DO110" s="9"/>
      <c r="DP110" s="9"/>
      <c r="DQ110" s="9"/>
      <c r="DR110" s="9"/>
      <c r="DS110" s="9"/>
      <c r="DT110" s="9"/>
      <c r="DU110" s="9"/>
      <c r="DV110" s="9"/>
      <c r="DW110" s="9"/>
      <c r="DX110" s="9"/>
      <c r="DY110" s="9"/>
      <c r="DZ110" s="9"/>
      <c r="EA110" s="9"/>
      <c r="EB110" s="9"/>
      <c r="EC110" s="9"/>
      <c r="ED110" s="9"/>
      <c r="EE110" s="9"/>
      <c r="EF110" s="9"/>
      <c r="EG110" s="9"/>
      <c r="EH110" s="9"/>
      <c r="EI110" s="9"/>
      <c r="EJ110" s="9"/>
      <c r="EK110" s="9"/>
      <c r="EL110" s="9"/>
      <c r="EM110" s="9"/>
      <c r="EN110" s="9"/>
      <c r="EO110" s="9"/>
      <c r="EP110" s="9"/>
      <c r="EQ110" s="9"/>
      <c r="ER110" s="9"/>
      <c r="ES110" s="9"/>
      <c r="ET110" s="9"/>
      <c r="EU110" s="9"/>
      <c r="EV110" s="9"/>
      <c r="EW110" s="9"/>
      <c r="EX110" s="9"/>
      <c r="EY110" s="9"/>
      <c r="EZ110" s="9"/>
      <c r="FA110" s="9"/>
      <c r="FB110" s="9"/>
      <c r="FC110" s="9"/>
      <c r="FD110" s="9"/>
      <c r="FE110" s="9"/>
      <c r="FF110" s="9"/>
      <c r="FG110" s="9"/>
      <c r="FH110" s="9"/>
      <c r="FI110" s="9"/>
      <c r="FJ110" s="9"/>
      <c r="FK110" s="9"/>
      <c r="FL110" s="9"/>
      <c r="FM110" s="9"/>
      <c r="FN110" s="9"/>
      <c r="FO110" s="9"/>
      <c r="FP110" s="9"/>
      <c r="FQ110" s="9"/>
      <c r="FR110" s="9"/>
      <c r="FS110" s="9"/>
      <c r="FT110" s="9"/>
      <c r="FU110" s="9"/>
      <c r="FV110" s="9"/>
      <c r="FW110" s="9"/>
      <c r="FX110" s="9"/>
      <c r="FY110" s="9"/>
      <c r="FZ110" s="9"/>
      <c r="GA110" s="9"/>
      <c r="GB110" s="9"/>
      <c r="GC110" s="9"/>
      <c r="GD110" s="9"/>
      <c r="GE110" s="9"/>
      <c r="GF110" s="9"/>
      <c r="GG110" s="9"/>
      <c r="GH110" s="9"/>
      <c r="GI110" s="9"/>
      <c r="GJ110" s="9"/>
      <c r="GK110" s="9"/>
      <c r="GL110" s="9"/>
      <c r="GM110" s="9"/>
      <c r="GN110" s="9"/>
      <c r="GO110" s="9"/>
      <c r="GP110" s="9"/>
      <c r="GQ110" s="9"/>
      <c r="GR110" s="9"/>
      <c r="GS110" s="9"/>
      <c r="GT110" s="9"/>
      <c r="GU110" s="9"/>
      <c r="GV110" s="9"/>
      <c r="GW110" s="9"/>
      <c r="GX110" s="9"/>
      <c r="GY110" s="9"/>
      <c r="GZ110" s="9"/>
      <c r="HA110" s="9"/>
      <c r="HB110" s="9"/>
      <c r="HC110" s="9"/>
      <c r="HD110" s="9"/>
      <c r="HE110" s="9"/>
      <c r="HF110" s="9"/>
      <c r="HG110" s="9"/>
      <c r="HH110" s="9"/>
      <c r="HI110" s="9"/>
      <c r="HJ110" s="9"/>
      <c r="HK110" s="9"/>
      <c r="HL110" s="9"/>
      <c r="HM110" s="9"/>
      <c r="HN110" s="9"/>
      <c r="HO110" s="9"/>
      <c r="HP110" s="9"/>
      <c r="HQ110" s="9"/>
      <c r="HR110" s="9"/>
      <c r="HS110" s="9"/>
      <c r="HT110" s="9"/>
      <c r="HU110" s="9"/>
      <c r="HV110" s="9"/>
      <c r="HW110" s="9"/>
      <c r="HX110" s="9"/>
    </row>
    <row r="111" spans="1:232" ht="14.1" customHeight="1">
      <c r="A111" s="9"/>
      <c r="B111" s="9"/>
      <c r="C111" s="9"/>
      <c r="D111" s="9"/>
      <c r="E111" s="9"/>
      <c r="F111" s="9"/>
      <c r="G111" s="9"/>
      <c r="H111" s="9"/>
      <c r="I111" s="9"/>
      <c r="J111" s="9"/>
      <c r="K111" s="23"/>
      <c r="L111" s="943"/>
      <c r="M111" s="610"/>
      <c r="N111" s="610"/>
      <c r="O111" s="610"/>
      <c r="P111" s="610"/>
      <c r="Q111" s="610"/>
      <c r="R111" s="610"/>
      <c r="S111" s="669"/>
      <c r="W111" s="669"/>
      <c r="X111" s="669"/>
      <c r="Y111" s="669"/>
      <c r="Z111" s="669"/>
      <c r="AA111" s="669"/>
      <c r="AB111" s="669"/>
      <c r="AC111" s="669"/>
      <c r="AD111" s="669"/>
      <c r="AE111" s="669"/>
      <c r="AF111" s="669"/>
      <c r="AG111" s="669"/>
      <c r="AH111" s="669"/>
      <c r="AI111" s="669"/>
      <c r="AJ111" s="669"/>
      <c r="AK111" s="669"/>
      <c r="AL111" s="669"/>
      <c r="AM111" s="669"/>
      <c r="AN111" s="669"/>
      <c r="AO111" s="669"/>
      <c r="AP111" s="669"/>
      <c r="AQ111" s="669"/>
      <c r="AR111" s="669"/>
      <c r="AS111" s="669"/>
      <c r="AT111" s="669"/>
      <c r="AU111" s="669"/>
      <c r="AV111" s="669"/>
      <c r="AW111" s="669"/>
      <c r="AX111" s="669"/>
      <c r="AY111" s="669"/>
      <c r="AZ111" s="669"/>
      <c r="BA111" s="669"/>
      <c r="BB111" s="669"/>
      <c r="BC111" s="669"/>
      <c r="BD111" s="669"/>
      <c r="BE111" s="669"/>
      <c r="BF111" s="669"/>
      <c r="BG111" s="669"/>
      <c r="BH111" s="669"/>
      <c r="BI111" s="669"/>
      <c r="BJ111" s="669"/>
      <c r="BK111" s="669"/>
      <c r="BL111" s="669"/>
      <c r="BM111" s="669"/>
      <c r="BN111" s="669"/>
      <c r="BO111" s="669"/>
      <c r="BP111" s="669"/>
      <c r="BQ111" s="669"/>
      <c r="BR111" s="669"/>
      <c r="BS111" s="669"/>
      <c r="BT111" s="669"/>
      <c r="BU111" s="669"/>
      <c r="BV111" s="669"/>
      <c r="BW111" s="669"/>
      <c r="BX111" s="669"/>
      <c r="BY111" s="669"/>
      <c r="BZ111" s="669"/>
      <c r="CA111" s="669"/>
      <c r="CB111" s="669"/>
      <c r="CC111" s="669"/>
      <c r="CD111" s="669"/>
      <c r="CE111" s="669"/>
      <c r="CF111" s="669"/>
      <c r="CG111" s="669"/>
      <c r="CH111" s="669"/>
      <c r="CI111" s="669"/>
      <c r="CJ111" s="669"/>
      <c r="CK111" s="669"/>
      <c r="CL111" s="669"/>
      <c r="CM111" s="669"/>
      <c r="CN111" s="669"/>
      <c r="CO111" s="669"/>
      <c r="CP111" s="669"/>
      <c r="CQ111" s="669"/>
      <c r="CR111" s="669"/>
      <c r="CS111" s="669"/>
      <c r="CT111" s="669"/>
      <c r="CU111" s="669"/>
      <c r="CV111" s="669"/>
      <c r="CW111" s="9"/>
      <c r="CX111" s="9"/>
      <c r="CY111" s="9"/>
      <c r="CZ111" s="9"/>
      <c r="DA111" s="9"/>
      <c r="DB111" s="9"/>
      <c r="DC111" s="9"/>
      <c r="DD111" s="9"/>
      <c r="DE111" s="9"/>
      <c r="DF111" s="9"/>
      <c r="DG111" s="9"/>
      <c r="DH111" s="9"/>
      <c r="DI111" s="9"/>
      <c r="DJ111" s="9"/>
      <c r="DK111" s="9"/>
      <c r="DL111" s="9"/>
      <c r="DM111" s="9"/>
      <c r="DN111" s="9"/>
      <c r="DO111" s="9"/>
      <c r="DP111" s="9"/>
      <c r="DQ111" s="9"/>
      <c r="DR111" s="9"/>
      <c r="DS111" s="9"/>
      <c r="DT111" s="9"/>
      <c r="DU111" s="9"/>
      <c r="DV111" s="9"/>
      <c r="DW111" s="9"/>
      <c r="DX111" s="9"/>
      <c r="DY111" s="9"/>
      <c r="DZ111" s="9"/>
      <c r="EA111" s="9"/>
      <c r="EB111" s="9"/>
      <c r="EC111" s="9"/>
      <c r="ED111" s="9"/>
      <c r="EE111" s="9"/>
      <c r="EF111" s="9"/>
      <c r="EG111" s="9"/>
      <c r="EH111" s="9"/>
      <c r="EI111" s="9"/>
      <c r="EJ111" s="9"/>
      <c r="EK111" s="9"/>
      <c r="EL111" s="9"/>
      <c r="EM111" s="9"/>
      <c r="EN111" s="9"/>
      <c r="EO111" s="9"/>
      <c r="EP111" s="9"/>
      <c r="EQ111" s="9"/>
      <c r="ER111" s="9"/>
      <c r="ES111" s="9"/>
      <c r="ET111" s="9"/>
      <c r="EU111" s="9"/>
      <c r="EV111" s="9"/>
      <c r="EW111" s="9"/>
      <c r="EX111" s="9"/>
      <c r="EY111" s="9"/>
      <c r="EZ111" s="9"/>
      <c r="FA111" s="9"/>
      <c r="FB111" s="9"/>
      <c r="FC111" s="9"/>
      <c r="FD111" s="9"/>
      <c r="FE111" s="9"/>
      <c r="FF111" s="9"/>
      <c r="FG111" s="9"/>
      <c r="FH111" s="9"/>
      <c r="FI111" s="9"/>
      <c r="FJ111" s="9"/>
      <c r="FK111" s="9"/>
      <c r="FL111" s="9"/>
      <c r="FM111" s="9"/>
      <c r="FN111" s="9"/>
      <c r="FO111" s="9"/>
      <c r="FP111" s="9"/>
      <c r="FQ111" s="9"/>
      <c r="FR111" s="9"/>
      <c r="FS111" s="9"/>
      <c r="FT111" s="9"/>
      <c r="FU111" s="9"/>
      <c r="FV111" s="9"/>
      <c r="FW111" s="9"/>
      <c r="FX111" s="9"/>
      <c r="FY111" s="9"/>
      <c r="FZ111" s="9"/>
      <c r="GA111" s="9"/>
      <c r="GB111" s="9"/>
      <c r="GC111" s="9"/>
      <c r="GD111" s="9"/>
      <c r="GE111" s="9"/>
      <c r="GF111" s="9"/>
      <c r="GG111" s="9"/>
      <c r="GH111" s="9"/>
      <c r="GI111" s="9"/>
      <c r="GJ111" s="9"/>
      <c r="GK111" s="9"/>
      <c r="GL111" s="9"/>
      <c r="GM111" s="9"/>
      <c r="GN111" s="9"/>
      <c r="GO111" s="9"/>
      <c r="GP111" s="9"/>
      <c r="GQ111" s="9"/>
      <c r="GR111" s="9"/>
      <c r="GS111" s="9"/>
      <c r="GT111" s="9"/>
      <c r="GU111" s="9"/>
      <c r="GV111" s="9"/>
      <c r="GW111" s="9"/>
      <c r="GX111" s="9"/>
      <c r="GY111" s="9"/>
      <c r="GZ111" s="9"/>
      <c r="HA111" s="9"/>
      <c r="HB111" s="9"/>
      <c r="HC111" s="9"/>
      <c r="HD111" s="9"/>
      <c r="HE111" s="9"/>
      <c r="HF111" s="9"/>
      <c r="HG111" s="9"/>
      <c r="HH111" s="9"/>
      <c r="HI111" s="9"/>
      <c r="HJ111" s="9"/>
      <c r="HK111" s="9"/>
      <c r="HL111" s="9"/>
      <c r="HM111" s="9"/>
      <c r="HN111" s="9"/>
      <c r="HO111" s="9"/>
      <c r="HP111" s="9"/>
      <c r="HQ111" s="9"/>
      <c r="HR111" s="9"/>
      <c r="HS111" s="9"/>
      <c r="HT111" s="9"/>
      <c r="HU111" s="9"/>
      <c r="HV111" s="9"/>
      <c r="HW111" s="9"/>
      <c r="HX111" s="9"/>
    </row>
    <row r="112" spans="1:232" ht="14.1" customHeight="1">
      <c r="A112" s="9"/>
      <c r="B112" s="9"/>
      <c r="C112" s="9"/>
      <c r="D112" s="9"/>
      <c r="E112" s="9"/>
      <c r="F112" s="9"/>
      <c r="G112" s="9"/>
      <c r="H112" s="9"/>
      <c r="I112" s="9"/>
      <c r="J112" s="9"/>
      <c r="K112" s="23"/>
      <c r="L112" s="943"/>
      <c r="M112" s="610"/>
      <c r="N112" s="610"/>
      <c r="O112" s="610"/>
      <c r="P112" s="610"/>
      <c r="Q112" s="610"/>
      <c r="R112" s="610"/>
      <c r="S112" s="669"/>
      <c r="W112" s="669"/>
      <c r="X112" s="669"/>
      <c r="Y112" s="669"/>
      <c r="Z112" s="669"/>
      <c r="AA112" s="669"/>
      <c r="AB112" s="669"/>
      <c r="AC112" s="669"/>
      <c r="AD112" s="669"/>
      <c r="AE112" s="669"/>
      <c r="AF112" s="669"/>
      <c r="AG112" s="669"/>
      <c r="AH112" s="669"/>
      <c r="AI112" s="669"/>
      <c r="AJ112" s="669"/>
      <c r="AK112" s="669"/>
      <c r="AL112" s="669"/>
      <c r="AM112" s="669"/>
      <c r="AN112" s="669"/>
      <c r="AO112" s="669"/>
      <c r="AP112" s="669"/>
      <c r="AQ112" s="669"/>
      <c r="AR112" s="669"/>
      <c r="AS112" s="669"/>
      <c r="AT112" s="669"/>
      <c r="AU112" s="669"/>
      <c r="AV112" s="669"/>
      <c r="AW112" s="669"/>
      <c r="AX112" s="669"/>
      <c r="AY112" s="669"/>
      <c r="AZ112" s="669"/>
      <c r="BA112" s="669"/>
      <c r="BB112" s="669"/>
      <c r="BC112" s="669"/>
      <c r="BD112" s="669"/>
      <c r="BE112" s="669"/>
      <c r="BF112" s="669"/>
      <c r="BG112" s="669"/>
      <c r="BH112" s="669"/>
      <c r="BI112" s="669"/>
      <c r="BJ112" s="669"/>
      <c r="BK112" s="669"/>
      <c r="BL112" s="669"/>
      <c r="BM112" s="669"/>
      <c r="BN112" s="669"/>
      <c r="BO112" s="669"/>
      <c r="BP112" s="669"/>
      <c r="BQ112" s="669"/>
      <c r="BR112" s="669"/>
      <c r="BS112" s="669"/>
      <c r="BT112" s="669"/>
      <c r="BU112" s="669"/>
      <c r="BV112" s="669"/>
      <c r="BW112" s="669"/>
      <c r="BX112" s="669"/>
      <c r="BY112" s="669"/>
      <c r="BZ112" s="669"/>
      <c r="CA112" s="669"/>
      <c r="CB112" s="669"/>
      <c r="CC112" s="669"/>
      <c r="CD112" s="669"/>
      <c r="CE112" s="669"/>
      <c r="CF112" s="669"/>
      <c r="CG112" s="669"/>
      <c r="CH112" s="669"/>
      <c r="CI112" s="669"/>
      <c r="CJ112" s="669"/>
      <c r="CK112" s="669"/>
      <c r="CL112" s="669"/>
      <c r="CM112" s="669"/>
      <c r="CN112" s="669"/>
      <c r="CO112" s="669"/>
      <c r="CP112" s="669"/>
      <c r="CQ112" s="669"/>
      <c r="CR112" s="669"/>
      <c r="CS112" s="669"/>
      <c r="CT112" s="669"/>
      <c r="CU112" s="669"/>
      <c r="CV112" s="669"/>
      <c r="CW112" s="9"/>
      <c r="CX112" s="9"/>
      <c r="CY112" s="9"/>
      <c r="CZ112" s="9"/>
      <c r="DA112" s="9"/>
      <c r="DB112" s="9"/>
      <c r="DC112" s="9"/>
      <c r="DD112" s="9"/>
      <c r="DE112" s="9"/>
      <c r="DF112" s="9"/>
      <c r="DG112" s="9"/>
      <c r="DH112" s="9"/>
      <c r="DI112" s="9"/>
      <c r="DJ112" s="9"/>
      <c r="DK112" s="9"/>
      <c r="DL112" s="9"/>
      <c r="DM112" s="9"/>
      <c r="DN112" s="9"/>
      <c r="DO112" s="9"/>
      <c r="DP112" s="9"/>
      <c r="DQ112" s="9"/>
      <c r="DR112" s="9"/>
      <c r="DS112" s="9"/>
      <c r="DT112" s="9"/>
      <c r="DU112" s="9"/>
      <c r="DV112" s="9"/>
      <c r="DW112" s="9"/>
      <c r="DX112" s="9"/>
      <c r="DY112" s="9"/>
      <c r="DZ112" s="9"/>
      <c r="EA112" s="9"/>
      <c r="EB112" s="9"/>
      <c r="EC112" s="9"/>
      <c r="ED112" s="9"/>
      <c r="EE112" s="9"/>
      <c r="EF112" s="9"/>
      <c r="EG112" s="9"/>
      <c r="EH112" s="9"/>
      <c r="EI112" s="9"/>
      <c r="EJ112" s="9"/>
      <c r="EK112" s="9"/>
      <c r="EL112" s="9"/>
      <c r="EM112" s="9"/>
      <c r="EN112" s="9"/>
      <c r="EO112" s="9"/>
      <c r="EP112" s="9"/>
      <c r="EQ112" s="9"/>
      <c r="ER112" s="9"/>
      <c r="ES112" s="9"/>
      <c r="ET112" s="9"/>
      <c r="EU112" s="9"/>
      <c r="EV112" s="9"/>
      <c r="EW112" s="9"/>
      <c r="EX112" s="9"/>
      <c r="EY112" s="9"/>
      <c r="EZ112" s="9"/>
      <c r="FA112" s="9"/>
      <c r="FB112" s="9"/>
      <c r="FC112" s="9"/>
      <c r="FD112" s="9"/>
      <c r="FE112" s="9"/>
      <c r="FF112" s="9"/>
      <c r="FG112" s="9"/>
      <c r="FH112" s="9"/>
      <c r="FI112" s="9"/>
      <c r="FJ112" s="9"/>
      <c r="FK112" s="9"/>
      <c r="FL112" s="9"/>
      <c r="FM112" s="9"/>
      <c r="FN112" s="9"/>
      <c r="FO112" s="9"/>
      <c r="FP112" s="9"/>
      <c r="FQ112" s="9"/>
      <c r="FR112" s="9"/>
      <c r="FS112" s="9"/>
      <c r="FT112" s="9"/>
      <c r="FU112" s="9"/>
      <c r="FV112" s="9"/>
      <c r="FW112" s="9"/>
      <c r="FX112" s="9"/>
      <c r="FY112" s="9"/>
      <c r="FZ112" s="9"/>
      <c r="GA112" s="9"/>
      <c r="GB112" s="9"/>
      <c r="GC112" s="9"/>
      <c r="GD112" s="9"/>
      <c r="GE112" s="9"/>
      <c r="GF112" s="9"/>
      <c r="GG112" s="9"/>
      <c r="GH112" s="9"/>
      <c r="GI112" s="9"/>
      <c r="GJ112" s="9"/>
      <c r="GK112" s="9"/>
      <c r="GL112" s="9"/>
      <c r="GM112" s="9"/>
      <c r="GN112" s="9"/>
      <c r="GO112" s="9"/>
      <c r="GP112" s="9"/>
      <c r="GQ112" s="9"/>
      <c r="GR112" s="9"/>
      <c r="GS112" s="9"/>
      <c r="GT112" s="9"/>
      <c r="GU112" s="9"/>
      <c r="GV112" s="9"/>
      <c r="GW112" s="9"/>
      <c r="GX112" s="9"/>
      <c r="GY112" s="9"/>
      <c r="GZ112" s="9"/>
      <c r="HA112" s="9"/>
      <c r="HB112" s="9"/>
      <c r="HC112" s="9"/>
      <c r="HD112" s="9"/>
      <c r="HE112" s="9"/>
      <c r="HF112" s="9"/>
      <c r="HG112" s="9"/>
      <c r="HH112" s="9"/>
      <c r="HI112" s="9"/>
      <c r="HJ112" s="9"/>
      <c r="HK112" s="9"/>
      <c r="HL112" s="9"/>
      <c r="HM112" s="9"/>
      <c r="HN112" s="9"/>
      <c r="HO112" s="9"/>
      <c r="HP112" s="9"/>
      <c r="HQ112" s="9"/>
      <c r="HR112" s="9"/>
      <c r="HS112" s="9"/>
      <c r="HT112" s="9"/>
      <c r="HU112" s="9"/>
      <c r="HV112" s="9"/>
      <c r="HW112" s="9"/>
      <c r="HX112" s="9"/>
    </row>
  </sheetData>
  <customSheetViews>
    <customSheetView guid="{E6BBE5A7-0B25-4EE8-BA45-5EA5DBAF3AD4}" showPageBreaks="1" fitToPage="1" printArea="1">
      <selection activeCell="C17" sqref="C17"/>
      <pageMargins left="0.75" right="0.75" top="1" bottom="1" header="0.5" footer="0.5"/>
      <pageSetup scale="66" orientation="landscape" r:id="rId1"/>
      <headerFooter alignWithMargins="0"/>
    </customSheetView>
  </customSheetViews>
  <phoneticPr fontId="11" type="noConversion"/>
  <hyperlinks>
    <hyperlink ref="S1" location="TOC!A1" display="Back"/>
  </hyperlinks>
  <pageMargins left="0.4" right="0.25" top="0.5" bottom="0.5" header="0.25" footer="0.25"/>
  <pageSetup scale="74" orientation="landscape" r:id="rId2"/>
  <headerFooter scaleWithDoc="0">
    <oddHeader>&amp;R&amp;P</oddHeader>
  </headerFooter>
  <drawing r:id="rId3"/>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27"/>
  <sheetViews>
    <sheetView zoomScaleNormal="100" workbookViewId="0"/>
  </sheetViews>
  <sheetFormatPr defaultColWidth="8.85546875" defaultRowHeight="12.75"/>
  <cols>
    <col min="1" max="1" width="14.7109375" style="297" customWidth="1"/>
    <col min="2" max="3" width="15.7109375" style="297" customWidth="1"/>
    <col min="4" max="5" width="28.7109375" style="297" customWidth="1"/>
    <col min="6" max="6" width="20.7109375" style="297" customWidth="1"/>
    <col min="7" max="7" width="5.28515625" style="297" bestFit="1" customWidth="1"/>
    <col min="8" max="8" width="25.7109375" style="297" customWidth="1"/>
    <col min="9" max="16384" width="8.85546875" style="297"/>
  </cols>
  <sheetData>
    <row r="1" spans="1:7" ht="18">
      <c r="A1" s="296" t="s">
        <v>986</v>
      </c>
      <c r="B1" s="296"/>
      <c r="C1" s="296"/>
      <c r="D1" s="296"/>
      <c r="E1" s="296"/>
      <c r="F1" s="296"/>
      <c r="G1" s="1276" t="s">
        <v>1194</v>
      </c>
    </row>
    <row r="2" spans="1:7" ht="15.75">
      <c r="A2" s="298" t="s">
        <v>1051</v>
      </c>
      <c r="B2" s="298"/>
      <c r="C2" s="298"/>
      <c r="D2" s="298"/>
      <c r="E2" s="298"/>
      <c r="F2" s="298"/>
    </row>
    <row r="3" spans="1:7" ht="18" customHeight="1" thickBot="1">
      <c r="A3" s="299"/>
      <c r="B3" s="299"/>
      <c r="C3" s="299"/>
      <c r="D3" s="300"/>
      <c r="E3" s="299"/>
      <c r="F3" s="299"/>
    </row>
    <row r="4" spans="1:7" s="301" customFormat="1" ht="45" customHeight="1">
      <c r="A4" s="895" t="s">
        <v>831</v>
      </c>
      <c r="B4" s="895"/>
      <c r="C4" s="895"/>
      <c r="D4" s="302"/>
      <c r="E4" s="303"/>
      <c r="F4" s="302"/>
      <c r="G4" s="302"/>
    </row>
    <row r="5" spans="1:7" ht="18" customHeight="1">
      <c r="A5" s="304" t="s">
        <v>33</v>
      </c>
      <c r="B5" s="304" t="s">
        <v>830</v>
      </c>
      <c r="D5" s="299"/>
      <c r="E5" s="300"/>
      <c r="F5" s="299"/>
      <c r="G5" s="299"/>
    </row>
    <row r="6" spans="1:7" ht="18" hidden="1" customHeight="1">
      <c r="A6" s="305">
        <v>2007</v>
      </c>
      <c r="B6" s="306">
        <v>143332331.22493362</v>
      </c>
      <c r="D6" s="299"/>
      <c r="E6" s="300"/>
      <c r="F6" s="299"/>
      <c r="G6" s="299"/>
    </row>
    <row r="7" spans="1:7" ht="14.45" customHeight="1">
      <c r="A7" s="305">
        <v>2008</v>
      </c>
      <c r="B7" s="307">
        <v>213829116.38640201</v>
      </c>
      <c r="D7" s="299"/>
      <c r="E7" s="300"/>
      <c r="F7" s="299"/>
      <c r="G7" s="299"/>
    </row>
    <row r="8" spans="1:7" ht="15" customHeight="1">
      <c r="A8" s="305">
        <v>2009</v>
      </c>
      <c r="B8" s="307">
        <v>175364334.91890469</v>
      </c>
      <c r="D8" s="299"/>
      <c r="E8" s="300"/>
      <c r="F8" s="299"/>
      <c r="G8" s="299"/>
    </row>
    <row r="9" spans="1:7" ht="14.45" customHeight="1">
      <c r="A9" s="305">
        <v>2010</v>
      </c>
      <c r="B9" s="307">
        <v>143554116.64843339</v>
      </c>
      <c r="D9" s="299"/>
      <c r="E9" s="300"/>
      <c r="F9" s="299"/>
      <c r="G9" s="299"/>
    </row>
    <row r="10" spans="1:7" ht="13.9" customHeight="1">
      <c r="A10" s="305">
        <v>2011</v>
      </c>
      <c r="B10" s="307">
        <v>150273915</v>
      </c>
      <c r="D10" s="299"/>
      <c r="E10" s="300"/>
      <c r="F10" s="299"/>
      <c r="G10" s="299"/>
    </row>
    <row r="11" spans="1:7" ht="15.6" customHeight="1">
      <c r="A11" s="305">
        <v>2012</v>
      </c>
      <c r="B11" s="307">
        <v>156945693.35438961</v>
      </c>
      <c r="D11" s="299"/>
      <c r="E11" s="300"/>
      <c r="F11" s="299"/>
      <c r="G11" s="299"/>
    </row>
    <row r="12" spans="1:7" ht="14.1" customHeight="1">
      <c r="A12" s="305">
        <v>2013</v>
      </c>
      <c r="B12" s="307">
        <v>161434467.78945559</v>
      </c>
      <c r="D12" s="349"/>
      <c r="E12" s="300"/>
      <c r="F12" s="299"/>
      <c r="G12" s="299"/>
    </row>
    <row r="13" spans="1:7" ht="14.1" customHeight="1">
      <c r="A13" s="305">
        <v>2014</v>
      </c>
      <c r="B13" s="307">
        <v>208366102.08833417</v>
      </c>
      <c r="D13" s="349"/>
      <c r="E13" s="300"/>
      <c r="F13" s="299"/>
      <c r="G13" s="299"/>
    </row>
    <row r="14" spans="1:7" ht="14.1" customHeight="1">
      <c r="A14" s="305">
        <v>2015</v>
      </c>
      <c r="B14" s="307">
        <v>210994603.36485529</v>
      </c>
      <c r="D14" s="349"/>
      <c r="E14" s="300"/>
      <c r="F14" s="299"/>
      <c r="G14" s="299"/>
    </row>
    <row r="15" spans="1:7" ht="14.1" customHeight="1">
      <c r="A15" s="305">
        <v>2016</v>
      </c>
      <c r="B15" s="307">
        <v>223074819.58170167</v>
      </c>
      <c r="D15" s="349"/>
      <c r="E15" s="300"/>
      <c r="F15" s="299"/>
      <c r="G15" s="299"/>
    </row>
    <row r="16" spans="1:7" ht="14.1" customHeight="1">
      <c r="A16" s="305">
        <v>2017</v>
      </c>
      <c r="B16" s="307">
        <v>244370076.32769448</v>
      </c>
      <c r="D16" s="349"/>
      <c r="E16" s="300"/>
      <c r="F16" s="299"/>
      <c r="G16" s="299"/>
    </row>
    <row r="17" spans="1:7" ht="14.1" customHeight="1">
      <c r="A17" s="305">
        <v>2018</v>
      </c>
      <c r="B17" s="307">
        <v>314543689.44675058</v>
      </c>
      <c r="D17" s="668"/>
      <c r="E17" s="300"/>
      <c r="F17" s="299"/>
      <c r="G17" s="299"/>
    </row>
    <row r="18" spans="1:7" ht="14.1" customHeight="1">
      <c r="A18" s="305">
        <v>2019</v>
      </c>
      <c r="B18" s="307">
        <v>352673576.32049298</v>
      </c>
      <c r="D18" s="668"/>
      <c r="E18" s="300"/>
      <c r="F18" s="299"/>
      <c r="G18" s="299"/>
    </row>
    <row r="19" spans="1:7" ht="14.1" customHeight="1">
      <c r="A19" s="305">
        <v>2020</v>
      </c>
      <c r="B19" s="307">
        <v>362781521.93254882</v>
      </c>
      <c r="D19" s="668"/>
      <c r="E19" s="300"/>
      <c r="F19" s="299"/>
      <c r="G19" s="299"/>
    </row>
    <row r="20" spans="1:7" ht="14.1" customHeight="1">
      <c r="A20" s="305">
        <v>2021</v>
      </c>
      <c r="B20" s="307">
        <v>378603136.28511971</v>
      </c>
      <c r="D20" s="668"/>
      <c r="E20" s="300"/>
      <c r="F20" s="299"/>
      <c r="G20" s="299"/>
    </row>
    <row r="21" spans="1:7" ht="14.1" customHeight="1">
      <c r="A21" s="305"/>
      <c r="B21" s="307"/>
      <c r="D21" s="668"/>
      <c r="E21" s="300"/>
      <c r="F21" s="299"/>
      <c r="G21" s="299"/>
    </row>
    <row r="22" spans="1:7" ht="14.1" customHeight="1">
      <c r="A22" s="305"/>
      <c r="B22" s="307"/>
      <c r="D22" s="668"/>
      <c r="E22" s="300"/>
      <c r="F22" s="299"/>
    </row>
    <row r="23" spans="1:7" s="1068" customFormat="1" ht="12.75" customHeight="1">
      <c r="A23" s="1068" t="s">
        <v>1</v>
      </c>
      <c r="C23" s="1069">
        <f>B20/B18-1</f>
        <v>7.3522831608635153E-2</v>
      </c>
      <c r="D23" s="1070"/>
      <c r="F23" s="1071"/>
    </row>
    <row r="24" spans="1:7" s="1068" customFormat="1" ht="73.5" customHeight="1">
      <c r="A24" s="1444" t="s">
        <v>1118</v>
      </c>
      <c r="B24" s="1444"/>
      <c r="C24" s="1444"/>
      <c r="D24" s="1444"/>
      <c r="E24" s="1444"/>
      <c r="F24" s="1444"/>
    </row>
    <row r="25" spans="1:7" s="1068" customFormat="1" ht="55.5" customHeight="1">
      <c r="A25" s="1445" t="s">
        <v>1119</v>
      </c>
      <c r="B25" s="1445"/>
      <c r="C25" s="1445"/>
      <c r="D25" s="1445"/>
      <c r="E25" s="1445"/>
      <c r="F25" s="1445"/>
    </row>
    <row r="26" spans="1:7" s="1068" customFormat="1" ht="12.75" customHeight="1">
      <c r="A26" s="1120" t="s">
        <v>1150</v>
      </c>
      <c r="B26" s="1072"/>
      <c r="C26" s="1072"/>
      <c r="D26" s="1072"/>
      <c r="E26" s="1073"/>
    </row>
    <row r="27" spans="1:7" ht="12.75" customHeight="1"/>
  </sheetData>
  <customSheetViews>
    <customSheetView guid="{E6BBE5A7-0B25-4EE8-BA45-5EA5DBAF3AD4}" showPageBreaks="1" fitToPage="1" printArea="1">
      <pageMargins left="1" right="1" top="0.75" bottom="0.75" header="0.5" footer="0.5"/>
      <pageSetup orientation="landscape" r:id="rId1"/>
      <headerFooter alignWithMargins="0"/>
    </customSheetView>
  </customSheetViews>
  <mergeCells count="2">
    <mergeCell ref="A24:F24"/>
    <mergeCell ref="A25:F25"/>
  </mergeCells>
  <hyperlinks>
    <hyperlink ref="G1" location="TOC!A1" display="Back"/>
  </hyperlinks>
  <pageMargins left="0.6" right="0.25" top="0.5" bottom="0.25" header="0.25" footer="0.25"/>
  <pageSetup orientation="landscape" r:id="rId2"/>
  <headerFooter scaleWithDoc="0">
    <oddHeader>&amp;R&amp;P</oddHeader>
  </headerFooter>
  <drawing r:id="rId3"/>
  <legacyDrawing r:id="rId4"/>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M23"/>
  <sheetViews>
    <sheetView zoomScaleNormal="100" workbookViewId="0">
      <selection activeCell="M1" sqref="M1"/>
    </sheetView>
  </sheetViews>
  <sheetFormatPr defaultRowHeight="12.75"/>
  <cols>
    <col min="5" max="5" width="12.42578125" customWidth="1"/>
    <col min="10" max="10" width="10.7109375" customWidth="1"/>
    <col min="13" max="13" width="5.28515625" bestFit="1" customWidth="1"/>
  </cols>
  <sheetData>
    <row r="1" spans="1:13" ht="15.75">
      <c r="A1" s="1380" t="s">
        <v>302</v>
      </c>
      <c r="B1" s="95"/>
      <c r="C1" s="95"/>
      <c r="D1" s="95"/>
      <c r="E1" s="95"/>
      <c r="F1" s="95"/>
      <c r="G1" s="95"/>
      <c r="H1" s="95"/>
      <c r="I1" s="95"/>
      <c r="M1" s="1276" t="s">
        <v>1194</v>
      </c>
    </row>
    <row r="2" spans="1:13" ht="14.25">
      <c r="A2" s="96"/>
      <c r="B2" s="96"/>
      <c r="C2" s="96"/>
      <c r="D2" s="96"/>
      <c r="E2" s="96"/>
      <c r="F2" s="96"/>
      <c r="G2" s="96"/>
      <c r="H2" s="96"/>
      <c r="I2" s="96"/>
    </row>
    <row r="3" spans="1:13" ht="15">
      <c r="A3" s="97" t="s">
        <v>303</v>
      </c>
      <c r="B3" s="96"/>
      <c r="C3" s="96"/>
      <c r="D3" s="96"/>
      <c r="E3" s="96"/>
      <c r="F3" s="96"/>
      <c r="G3" s="96"/>
      <c r="H3" s="96"/>
      <c r="I3" s="96"/>
    </row>
    <row r="4" spans="1:13" ht="15">
      <c r="A4" s="97" t="s">
        <v>306</v>
      </c>
      <c r="B4" s="96"/>
      <c r="C4" s="395"/>
      <c r="D4" s="96"/>
      <c r="E4" s="96"/>
      <c r="F4" s="96"/>
      <c r="G4" s="96"/>
      <c r="H4" s="96"/>
      <c r="I4" s="96"/>
    </row>
    <row r="5" spans="1:13" ht="14.25">
      <c r="A5" s="96" t="s">
        <v>303</v>
      </c>
      <c r="B5" s="96"/>
      <c r="C5" s="395"/>
      <c r="D5" s="96"/>
      <c r="E5" s="96"/>
      <c r="F5" s="96"/>
      <c r="G5" s="96"/>
      <c r="H5" s="96"/>
      <c r="I5" s="96"/>
    </row>
    <row r="6" spans="1:13" ht="14.25">
      <c r="A6" s="96" t="s">
        <v>897</v>
      </c>
      <c r="B6" s="96"/>
      <c r="C6" s="96"/>
      <c r="D6" s="96"/>
      <c r="E6" s="96"/>
      <c r="F6" s="96"/>
      <c r="G6" s="96"/>
      <c r="H6" s="96"/>
      <c r="I6" s="96"/>
    </row>
    <row r="7" spans="1:13" ht="14.25">
      <c r="A7" s="96" t="s">
        <v>898</v>
      </c>
      <c r="B7" s="96"/>
      <c r="C7" s="96"/>
      <c r="D7" s="96"/>
      <c r="E7" s="96" t="s">
        <v>905</v>
      </c>
      <c r="F7" s="96"/>
      <c r="G7" s="96"/>
      <c r="H7" s="96"/>
      <c r="I7" s="96"/>
    </row>
    <row r="8" spans="1:13" ht="14.25">
      <c r="A8" s="96" t="s">
        <v>899</v>
      </c>
      <c r="B8" s="96"/>
      <c r="C8" s="96"/>
      <c r="D8" s="96"/>
      <c r="E8" s="96" t="s">
        <v>304</v>
      </c>
      <c r="F8" s="96"/>
      <c r="G8" s="96"/>
      <c r="H8" s="96"/>
      <c r="I8" s="96"/>
    </row>
    <row r="9" spans="1:13" ht="15">
      <c r="A9" s="533"/>
      <c r="B9" s="395"/>
      <c r="C9" s="395"/>
      <c r="D9" s="96"/>
      <c r="E9" s="395" t="s">
        <v>305</v>
      </c>
      <c r="F9" s="96"/>
      <c r="G9" s="96"/>
      <c r="H9" s="96"/>
      <c r="I9" s="96"/>
    </row>
    <row r="10" spans="1:13" ht="14.25">
      <c r="A10" s="395"/>
      <c r="B10" s="395"/>
      <c r="C10" s="395"/>
      <c r="D10" s="96"/>
      <c r="E10" s="96" t="s">
        <v>895</v>
      </c>
      <c r="F10" s="96"/>
      <c r="G10" s="96"/>
      <c r="H10" s="96"/>
      <c r="I10" s="96"/>
    </row>
    <row r="11" spans="1:13" ht="15">
      <c r="A11" s="97"/>
      <c r="B11" s="96"/>
      <c r="C11" s="395"/>
      <c r="D11" s="96"/>
      <c r="E11" s="395" t="s">
        <v>896</v>
      </c>
      <c r="F11" s="96"/>
      <c r="G11" s="96"/>
      <c r="H11" s="96"/>
      <c r="I11" s="96"/>
    </row>
    <row r="12" spans="1:13" ht="14.25">
      <c r="A12" s="96"/>
      <c r="B12" s="96"/>
      <c r="C12" s="395"/>
      <c r="D12" s="96"/>
      <c r="E12" s="96"/>
      <c r="F12" s="96"/>
      <c r="G12" s="96"/>
      <c r="H12" s="96"/>
      <c r="I12" s="96"/>
    </row>
    <row r="13" spans="1:13" ht="14.25">
      <c r="A13" s="96" t="s">
        <v>904</v>
      </c>
      <c r="B13" s="96"/>
      <c r="C13" s="96"/>
      <c r="D13" s="96"/>
      <c r="H13" s="96"/>
      <c r="I13" s="96"/>
    </row>
    <row r="14" spans="1:13" ht="14.25">
      <c r="A14" s="96" t="s">
        <v>303</v>
      </c>
      <c r="B14" s="96"/>
      <c r="C14" s="96"/>
      <c r="D14" s="96"/>
      <c r="H14" s="96"/>
      <c r="I14" s="96"/>
    </row>
    <row r="15" spans="1:13" ht="14.25">
      <c r="A15" s="96" t="s">
        <v>307</v>
      </c>
      <c r="B15" s="96"/>
      <c r="C15" s="96"/>
      <c r="D15" s="96"/>
      <c r="H15" s="96"/>
      <c r="I15" s="96"/>
    </row>
    <row r="16" spans="1:13" ht="14.25">
      <c r="A16" s="96"/>
      <c r="B16" s="96"/>
      <c r="C16" s="96"/>
      <c r="D16" s="96"/>
      <c r="E16" s="96"/>
      <c r="F16" s="96"/>
      <c r="G16" s="96"/>
      <c r="H16" s="96"/>
      <c r="I16" s="96"/>
    </row>
    <row r="17" spans="1:12" ht="14.25">
      <c r="A17" s="99" t="s">
        <v>308</v>
      </c>
      <c r="B17" s="96"/>
      <c r="C17" s="96"/>
      <c r="D17" s="96"/>
      <c r="E17" s="96"/>
      <c r="F17" s="96"/>
      <c r="G17" s="96"/>
      <c r="H17" s="96"/>
      <c r="I17" s="96"/>
    </row>
    <row r="18" spans="1:12" ht="15" thickBot="1">
      <c r="A18" s="100"/>
      <c r="B18" s="100"/>
      <c r="C18" s="100"/>
      <c r="D18" s="100"/>
      <c r="E18" s="100"/>
      <c r="F18" s="100"/>
      <c r="G18" s="100"/>
      <c r="H18" s="100"/>
      <c r="I18" s="100"/>
      <c r="J18" s="100"/>
      <c r="K18" s="100"/>
      <c r="L18" s="100"/>
    </row>
    <row r="19" spans="1:12" ht="15" thickTop="1">
      <c r="A19" s="98"/>
      <c r="B19" s="98"/>
      <c r="C19" s="98"/>
      <c r="D19" s="98"/>
      <c r="E19" s="98"/>
      <c r="F19" s="98"/>
      <c r="G19" s="98"/>
      <c r="H19" s="98"/>
      <c r="I19" s="98"/>
      <c r="J19" s="98"/>
      <c r="K19" s="98"/>
      <c r="L19" s="98"/>
    </row>
    <row r="20" spans="1:12" ht="14.25">
      <c r="A20" s="598"/>
    </row>
    <row r="21" spans="1:12" ht="14.25">
      <c r="A21" s="598"/>
      <c r="E21" s="396"/>
    </row>
    <row r="22" spans="1:12" ht="14.25">
      <c r="A22" s="598"/>
    </row>
    <row r="23" spans="1:12" ht="14.25">
      <c r="A23" s="598"/>
    </row>
  </sheetData>
  <customSheetViews>
    <customSheetView guid="{E6BBE5A7-0B25-4EE8-BA45-5EA5DBAF3AD4}" showPageBreaks="1" printArea="1">
      <selection activeCell="E26" sqref="E26"/>
      <pageMargins left="0.75" right="0.75" top="1" bottom="1" header="0.5" footer="0.5"/>
      <printOptions horizontalCentered="1"/>
      <pageSetup orientation="landscape" r:id="rId1"/>
      <headerFooter alignWithMargins="0"/>
    </customSheetView>
  </customSheetViews>
  <phoneticPr fontId="11" type="noConversion"/>
  <hyperlinks>
    <hyperlink ref="M1" location="TOC!A1" display="Back"/>
  </hyperlinks>
  <pageMargins left="1" right="0.25" top="0.75" bottom="1" header="0.25" footer="0.5"/>
  <pageSetup orientation="landscape" r:id="rId2"/>
  <headerFooter scaleWithDoc="0">
    <oddHeader>&amp;R&amp;P</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ID110"/>
  <sheetViews>
    <sheetView zoomScale="90" zoomScaleNormal="90" workbookViewId="0"/>
  </sheetViews>
  <sheetFormatPr defaultColWidth="12.42578125" defaultRowHeight="15"/>
  <cols>
    <col min="1" max="1" width="46.7109375" style="233" customWidth="1"/>
    <col min="2" max="7" width="0.140625" style="233" customWidth="1"/>
    <col min="8" max="8" width="18.7109375" style="242" customWidth="1"/>
    <col min="9" max="9" width="18.7109375" style="242" bestFit="1" customWidth="1"/>
    <col min="10" max="10" width="0.85546875" style="229" customWidth="1"/>
    <col min="11" max="11" width="11.7109375" style="233" bestFit="1" customWidth="1"/>
    <col min="12" max="15" width="18.7109375" style="902" customWidth="1"/>
    <col min="16" max="16" width="14.5703125" style="920" customWidth="1"/>
    <col min="17" max="17" width="22.42578125" style="902" bestFit="1" customWidth="1"/>
    <col min="18" max="18" width="13.7109375" style="902" customWidth="1"/>
    <col min="19" max="19" width="9.5703125" style="902" customWidth="1"/>
    <col min="20" max="20" width="17.28515625" style="902" customWidth="1"/>
    <col min="21" max="21" width="10" style="902" customWidth="1"/>
    <col min="22" max="22" width="9.7109375" style="902" customWidth="1"/>
    <col min="23" max="23" width="8.5703125" style="902" customWidth="1"/>
    <col min="24" max="24" width="8" style="902" customWidth="1"/>
    <col min="25" max="25" width="8.28515625" style="902" customWidth="1"/>
    <col min="26" max="26" width="6.5703125" style="902" bestFit="1" customWidth="1"/>
    <col min="27" max="27" width="7.7109375" style="902" customWidth="1"/>
    <col min="28" max="29" width="6.5703125" style="902" bestFit="1" customWidth="1"/>
    <col min="30" max="30" width="8.28515625" style="902" customWidth="1"/>
    <col min="31" max="31" width="7.7109375" style="902" bestFit="1" customWidth="1"/>
    <col min="32" max="38" width="12.42578125" style="902"/>
    <col min="39" max="16384" width="12.42578125" style="233"/>
  </cols>
  <sheetData>
    <row r="1" spans="1:237" ht="18">
      <c r="A1" s="1278" t="s">
        <v>940</v>
      </c>
      <c r="B1" s="228"/>
      <c r="C1" s="228"/>
      <c r="D1" s="228"/>
      <c r="E1" s="228"/>
      <c r="F1" s="228"/>
      <c r="G1" s="228"/>
      <c r="H1" s="228"/>
      <c r="I1" s="228"/>
      <c r="K1" s="230"/>
      <c r="L1" s="896"/>
      <c r="M1" s="896"/>
      <c r="N1" s="896"/>
      <c r="O1" s="896"/>
      <c r="P1" s="897"/>
      <c r="Q1" s="1276" t="s">
        <v>1194</v>
      </c>
      <c r="R1" s="899"/>
      <c r="S1" s="899"/>
      <c r="T1" s="899"/>
      <c r="U1" s="899"/>
      <c r="V1" s="899"/>
      <c r="W1" s="899"/>
      <c r="X1" s="899"/>
      <c r="Y1" s="899"/>
      <c r="Z1" s="899"/>
      <c r="AA1" s="899"/>
      <c r="AB1" s="899"/>
      <c r="AC1" s="899"/>
      <c r="AD1" s="899"/>
      <c r="AE1" s="899"/>
      <c r="AF1" s="899"/>
      <c r="AG1" s="899"/>
      <c r="AH1" s="899"/>
      <c r="AI1" s="899"/>
      <c r="AJ1" s="899"/>
      <c r="AK1" s="899"/>
      <c r="AL1" s="899"/>
      <c r="AM1" s="692"/>
      <c r="AN1" s="692"/>
      <c r="AO1" s="692"/>
      <c r="AP1" s="692"/>
      <c r="AQ1" s="692"/>
      <c r="AR1" s="692"/>
      <c r="AS1" s="232"/>
      <c r="AT1" s="232"/>
      <c r="AU1" s="232"/>
      <c r="AV1" s="232"/>
      <c r="AW1" s="232"/>
      <c r="AX1" s="232"/>
      <c r="AY1" s="232"/>
      <c r="AZ1" s="232"/>
      <c r="BA1" s="232"/>
      <c r="BB1" s="232"/>
      <c r="BC1" s="232"/>
      <c r="BD1" s="232"/>
      <c r="BE1" s="232"/>
      <c r="BF1" s="232"/>
      <c r="BG1" s="232"/>
      <c r="BH1" s="232"/>
      <c r="BI1" s="232"/>
      <c r="BJ1" s="232"/>
      <c r="BK1" s="232"/>
      <c r="BL1" s="232"/>
      <c r="BM1" s="232"/>
      <c r="BN1" s="232"/>
      <c r="BO1" s="232"/>
      <c r="BP1" s="232"/>
      <c r="BQ1" s="232"/>
      <c r="BR1" s="232"/>
      <c r="BS1" s="232"/>
      <c r="BT1" s="232"/>
      <c r="BU1" s="232"/>
      <c r="BV1" s="232"/>
      <c r="BW1" s="232"/>
      <c r="BX1" s="232"/>
      <c r="BY1" s="232"/>
      <c r="BZ1" s="232"/>
      <c r="CA1" s="232"/>
      <c r="CB1" s="232"/>
      <c r="CC1" s="232"/>
      <c r="CD1" s="232"/>
      <c r="CE1" s="232"/>
      <c r="CF1" s="232"/>
      <c r="CG1" s="232"/>
      <c r="CH1" s="232"/>
      <c r="CI1" s="232"/>
      <c r="CJ1" s="232"/>
      <c r="CK1" s="232"/>
      <c r="CL1" s="232"/>
      <c r="CM1" s="232"/>
      <c r="CN1" s="232"/>
      <c r="CO1" s="232"/>
      <c r="CP1" s="232"/>
      <c r="CQ1" s="232"/>
      <c r="CR1" s="232"/>
      <c r="CS1" s="232"/>
      <c r="CT1" s="232"/>
      <c r="CU1" s="232"/>
      <c r="CV1" s="232"/>
      <c r="CW1" s="232"/>
      <c r="CX1" s="232"/>
      <c r="CY1" s="232"/>
      <c r="CZ1" s="232"/>
      <c r="DA1" s="232"/>
      <c r="DB1" s="232"/>
      <c r="DC1" s="232"/>
      <c r="DD1" s="232"/>
      <c r="DE1" s="232"/>
      <c r="DF1" s="232"/>
      <c r="DG1" s="232"/>
      <c r="DH1" s="232"/>
      <c r="DI1" s="232"/>
      <c r="DJ1" s="232"/>
      <c r="DK1" s="232"/>
      <c r="DL1" s="232"/>
      <c r="DM1" s="232"/>
      <c r="DN1" s="232"/>
      <c r="DO1" s="232"/>
      <c r="DP1" s="232"/>
      <c r="DQ1" s="232"/>
      <c r="DR1" s="232"/>
      <c r="DS1" s="232"/>
      <c r="DT1" s="232"/>
      <c r="DU1" s="232"/>
      <c r="DV1" s="232"/>
      <c r="DW1" s="232"/>
      <c r="DX1" s="232"/>
      <c r="DY1" s="232"/>
      <c r="DZ1" s="232"/>
      <c r="EA1" s="232"/>
      <c r="EB1" s="232"/>
      <c r="EC1" s="232"/>
      <c r="ED1" s="232"/>
      <c r="EE1" s="232"/>
      <c r="EF1" s="232"/>
      <c r="EG1" s="232"/>
      <c r="EH1" s="232"/>
      <c r="EI1" s="232"/>
      <c r="EJ1" s="232"/>
      <c r="EK1" s="232"/>
      <c r="EL1" s="232"/>
      <c r="EM1" s="232"/>
      <c r="EN1" s="232"/>
      <c r="EO1" s="232"/>
      <c r="EP1" s="232"/>
      <c r="EQ1" s="232"/>
      <c r="ER1" s="232"/>
      <c r="ES1" s="232"/>
      <c r="ET1" s="232"/>
      <c r="EU1" s="232"/>
      <c r="EV1" s="232"/>
      <c r="EW1" s="232"/>
      <c r="EX1" s="232"/>
      <c r="EY1" s="232"/>
      <c r="EZ1" s="232"/>
      <c r="FA1" s="232"/>
      <c r="FB1" s="232"/>
      <c r="FC1" s="232"/>
      <c r="FD1" s="232"/>
      <c r="FE1" s="232"/>
      <c r="FF1" s="232"/>
      <c r="FG1" s="232"/>
      <c r="FH1" s="232"/>
      <c r="FI1" s="232"/>
      <c r="FJ1" s="232"/>
      <c r="FK1" s="232"/>
      <c r="FL1" s="232"/>
      <c r="FM1" s="232"/>
      <c r="FN1" s="232"/>
      <c r="FO1" s="232"/>
      <c r="FP1" s="232"/>
      <c r="FQ1" s="232"/>
      <c r="FR1" s="232"/>
      <c r="FS1" s="232"/>
      <c r="FT1" s="232"/>
      <c r="FU1" s="232"/>
      <c r="FV1" s="232"/>
      <c r="FW1" s="232"/>
      <c r="FX1" s="232"/>
      <c r="FY1" s="232"/>
      <c r="FZ1" s="232"/>
      <c r="GA1" s="232"/>
      <c r="GB1" s="232"/>
      <c r="GC1" s="232"/>
      <c r="GD1" s="232"/>
      <c r="GE1" s="232"/>
      <c r="GF1" s="232"/>
      <c r="GG1" s="232"/>
      <c r="GH1" s="232"/>
      <c r="GI1" s="232"/>
      <c r="GJ1" s="232"/>
      <c r="GK1" s="232"/>
      <c r="GL1" s="232"/>
      <c r="GM1" s="232"/>
      <c r="GN1" s="232"/>
      <c r="GO1" s="232"/>
      <c r="GP1" s="232"/>
      <c r="GQ1" s="232"/>
      <c r="GR1" s="232"/>
      <c r="GS1" s="232"/>
      <c r="GT1" s="232"/>
      <c r="GU1" s="232"/>
      <c r="GV1" s="232"/>
      <c r="GW1" s="232"/>
      <c r="GX1" s="232"/>
      <c r="GY1" s="232"/>
      <c r="GZ1" s="232"/>
      <c r="HA1" s="232"/>
      <c r="HB1" s="232"/>
      <c r="HC1" s="232"/>
      <c r="HD1" s="232"/>
      <c r="HE1" s="232"/>
      <c r="HF1" s="232"/>
      <c r="HG1" s="232"/>
      <c r="HH1" s="232"/>
      <c r="HI1" s="232"/>
      <c r="HJ1" s="232"/>
      <c r="HK1" s="232"/>
      <c r="HL1" s="232"/>
      <c r="HM1" s="232"/>
      <c r="HN1" s="232"/>
      <c r="HO1" s="232"/>
      <c r="HP1" s="232"/>
      <c r="HQ1" s="232"/>
      <c r="HR1" s="232"/>
      <c r="HS1" s="232"/>
      <c r="HT1" s="232"/>
      <c r="HU1" s="232"/>
      <c r="HV1" s="232"/>
      <c r="HW1" s="232"/>
      <c r="HX1" s="232"/>
      <c r="HY1" s="232"/>
      <c r="HZ1" s="232"/>
      <c r="IA1" s="232"/>
      <c r="IB1" s="232"/>
    </row>
    <row r="2" spans="1:237" ht="15.75">
      <c r="A2" s="231" t="s">
        <v>318</v>
      </c>
      <c r="B2" s="228"/>
      <c r="C2" s="228"/>
      <c r="D2" s="228"/>
      <c r="E2" s="228"/>
      <c r="F2" s="228"/>
      <c r="G2" s="228"/>
      <c r="H2" s="228"/>
      <c r="I2" s="228"/>
      <c r="K2" s="230"/>
      <c r="L2" s="896"/>
      <c r="M2" s="896"/>
      <c r="N2" s="896"/>
      <c r="O2" s="896"/>
      <c r="P2" s="897"/>
      <c r="Q2" s="900"/>
      <c r="R2" s="901"/>
      <c r="S2" s="901"/>
      <c r="T2" s="901"/>
      <c r="U2" s="901"/>
      <c r="V2" s="901"/>
      <c r="W2" s="901"/>
      <c r="X2" s="901"/>
      <c r="Y2" s="901"/>
      <c r="Z2" s="901"/>
      <c r="AH2" s="899"/>
      <c r="AI2" s="899"/>
      <c r="AJ2" s="899"/>
      <c r="AK2" s="899"/>
      <c r="AL2" s="899"/>
      <c r="AM2" s="692"/>
      <c r="AN2" s="692"/>
      <c r="AO2" s="692"/>
      <c r="AP2" s="692"/>
      <c r="AQ2" s="692"/>
      <c r="AR2" s="692"/>
      <c r="AS2" s="232"/>
      <c r="AT2" s="232"/>
      <c r="AU2" s="232"/>
      <c r="AV2" s="232"/>
      <c r="AW2" s="232"/>
      <c r="AX2" s="232"/>
      <c r="AY2" s="232"/>
      <c r="AZ2" s="232"/>
      <c r="BA2" s="232"/>
      <c r="BB2" s="232"/>
      <c r="BC2" s="232"/>
      <c r="BD2" s="232"/>
      <c r="BE2" s="232"/>
      <c r="BF2" s="232"/>
      <c r="BG2" s="232"/>
      <c r="BH2" s="232"/>
      <c r="BI2" s="232"/>
      <c r="BJ2" s="232"/>
      <c r="BK2" s="232"/>
      <c r="BL2" s="232"/>
      <c r="BM2" s="232"/>
      <c r="BN2" s="232"/>
      <c r="BO2" s="232"/>
      <c r="BP2" s="232"/>
      <c r="BQ2" s="232"/>
      <c r="BR2" s="232"/>
      <c r="BS2" s="232"/>
      <c r="BT2" s="232"/>
      <c r="BU2" s="232"/>
      <c r="BV2" s="232"/>
      <c r="BW2" s="232"/>
      <c r="BX2" s="232"/>
      <c r="BY2" s="232"/>
      <c r="BZ2" s="232"/>
      <c r="CA2" s="232"/>
      <c r="CB2" s="232"/>
      <c r="CC2" s="232"/>
      <c r="CD2" s="232"/>
      <c r="CE2" s="232"/>
      <c r="CF2" s="232"/>
      <c r="CG2" s="232"/>
      <c r="CH2" s="232"/>
      <c r="CI2" s="232"/>
      <c r="CJ2" s="232"/>
      <c r="CK2" s="232"/>
      <c r="CL2" s="232"/>
      <c r="CM2" s="232"/>
      <c r="CN2" s="232"/>
      <c r="CO2" s="232"/>
      <c r="CP2" s="232"/>
      <c r="CQ2" s="232"/>
      <c r="CR2" s="232"/>
      <c r="CS2" s="232"/>
      <c r="CT2" s="232"/>
      <c r="CU2" s="232"/>
      <c r="CV2" s="232"/>
      <c r="CW2" s="232"/>
      <c r="CX2" s="232"/>
      <c r="CY2" s="232"/>
      <c r="CZ2" s="232"/>
      <c r="DA2" s="232"/>
      <c r="DB2" s="232"/>
      <c r="DC2" s="232"/>
      <c r="DD2" s="232"/>
      <c r="DE2" s="232"/>
      <c r="DF2" s="232"/>
      <c r="DG2" s="232"/>
      <c r="DH2" s="232"/>
      <c r="DI2" s="232"/>
      <c r="DJ2" s="232"/>
      <c r="DK2" s="232"/>
      <c r="DL2" s="232"/>
      <c r="DM2" s="232"/>
      <c r="DN2" s="232"/>
      <c r="DO2" s="232"/>
      <c r="DP2" s="232"/>
      <c r="DQ2" s="232"/>
      <c r="DR2" s="232"/>
      <c r="DS2" s="232"/>
      <c r="DT2" s="232"/>
      <c r="DU2" s="232"/>
      <c r="DV2" s="232"/>
      <c r="DW2" s="232"/>
      <c r="DX2" s="232"/>
      <c r="DY2" s="232"/>
      <c r="DZ2" s="232"/>
      <c r="EA2" s="232"/>
      <c r="EB2" s="232"/>
      <c r="EC2" s="232"/>
      <c r="ED2" s="232"/>
      <c r="EE2" s="232"/>
      <c r="EF2" s="232"/>
      <c r="EG2" s="232"/>
      <c r="EH2" s="232"/>
      <c r="EI2" s="232"/>
      <c r="EJ2" s="232"/>
      <c r="EK2" s="232"/>
      <c r="EL2" s="232"/>
      <c r="EM2" s="232"/>
      <c r="EN2" s="232"/>
      <c r="EO2" s="232"/>
      <c r="EP2" s="232"/>
      <c r="EQ2" s="232"/>
      <c r="ER2" s="232"/>
      <c r="ES2" s="232"/>
      <c r="ET2" s="232"/>
      <c r="EU2" s="232"/>
      <c r="EV2" s="232"/>
      <c r="EW2" s="232"/>
      <c r="EX2" s="232"/>
      <c r="EY2" s="232"/>
      <c r="EZ2" s="232"/>
      <c r="FA2" s="232"/>
      <c r="FB2" s="232"/>
      <c r="FC2" s="232"/>
      <c r="FD2" s="232"/>
      <c r="FE2" s="232"/>
      <c r="FF2" s="232"/>
      <c r="FG2" s="232"/>
      <c r="FH2" s="232"/>
      <c r="FI2" s="232"/>
      <c r="FJ2" s="232"/>
      <c r="FK2" s="232"/>
      <c r="FL2" s="232"/>
      <c r="FM2" s="232"/>
      <c r="FN2" s="232"/>
      <c r="FO2" s="232"/>
      <c r="FP2" s="232"/>
      <c r="FQ2" s="232"/>
      <c r="FR2" s="232"/>
      <c r="FS2" s="232"/>
      <c r="FT2" s="232"/>
      <c r="FU2" s="232"/>
      <c r="FV2" s="232"/>
      <c r="FW2" s="232"/>
      <c r="FX2" s="232"/>
      <c r="FY2" s="232"/>
      <c r="FZ2" s="232"/>
      <c r="GA2" s="232"/>
      <c r="GB2" s="232"/>
      <c r="GC2" s="232"/>
      <c r="GD2" s="232"/>
      <c r="GE2" s="232"/>
      <c r="GF2" s="232"/>
      <c r="GG2" s="232"/>
      <c r="GH2" s="232"/>
      <c r="GI2" s="232"/>
      <c r="GJ2" s="232"/>
      <c r="GK2" s="232"/>
      <c r="GL2" s="232"/>
      <c r="GM2" s="232"/>
      <c r="GN2" s="232"/>
      <c r="GO2" s="232"/>
      <c r="GP2" s="232"/>
      <c r="GQ2" s="232"/>
      <c r="GR2" s="232"/>
      <c r="GS2" s="232"/>
      <c r="GT2" s="232"/>
      <c r="GU2" s="232"/>
      <c r="GV2" s="232"/>
      <c r="GW2" s="232"/>
      <c r="GX2" s="232"/>
      <c r="GY2" s="232"/>
      <c r="GZ2" s="232"/>
      <c r="HA2" s="232"/>
      <c r="HB2" s="232"/>
      <c r="HC2" s="232"/>
      <c r="HD2" s="232"/>
      <c r="HE2" s="232"/>
      <c r="HF2" s="232"/>
      <c r="HG2" s="232"/>
      <c r="HH2" s="232"/>
      <c r="HI2" s="232"/>
      <c r="HJ2" s="232"/>
      <c r="HK2" s="232"/>
      <c r="HL2" s="232"/>
      <c r="HM2" s="232"/>
      <c r="HN2" s="232"/>
      <c r="HO2" s="232"/>
      <c r="HP2" s="232"/>
      <c r="HQ2" s="232"/>
      <c r="HR2" s="232"/>
      <c r="HS2" s="232"/>
      <c r="HT2" s="232"/>
      <c r="HU2" s="232"/>
      <c r="HV2" s="232"/>
      <c r="HW2" s="232"/>
      <c r="HX2" s="232"/>
      <c r="HY2" s="232"/>
      <c r="HZ2" s="232"/>
      <c r="IA2" s="232"/>
      <c r="IB2" s="232"/>
    </row>
    <row r="3" spans="1:237" ht="15" customHeight="1">
      <c r="A3" s="364"/>
      <c r="B3" s="231"/>
      <c r="C3" s="231"/>
      <c r="D3" s="231"/>
      <c r="E3" s="231"/>
      <c r="F3" s="231"/>
      <c r="G3" s="231"/>
      <c r="H3" s="231"/>
      <c r="I3" s="231"/>
      <c r="K3" s="234" t="str">
        <f>RIGHT(I4,4)&amp;"/"&amp;RIGHT(H4,4)</f>
        <v>2021/2020</v>
      </c>
      <c r="L3" s="896"/>
      <c r="M3" s="896"/>
      <c r="N3" s="896"/>
      <c r="O3" s="896"/>
      <c r="P3" s="897"/>
      <c r="Q3" s="896"/>
      <c r="R3" s="903"/>
      <c r="S3" s="903"/>
      <c r="T3" s="903"/>
      <c r="U3" s="903"/>
      <c r="V3" s="903"/>
      <c r="W3" s="903"/>
      <c r="X3" s="903"/>
      <c r="Y3" s="903"/>
      <c r="Z3" s="904"/>
      <c r="AH3" s="899"/>
      <c r="AI3" s="899"/>
      <c r="AJ3" s="899"/>
      <c r="AK3" s="899"/>
      <c r="AL3" s="899"/>
      <c r="AM3" s="692"/>
      <c r="AN3" s="692"/>
      <c r="AO3" s="692"/>
      <c r="AP3" s="692"/>
      <c r="AQ3" s="692"/>
      <c r="AR3" s="692"/>
      <c r="AS3" s="232"/>
      <c r="AT3" s="232"/>
      <c r="AU3" s="232"/>
      <c r="AV3" s="232"/>
      <c r="AW3" s="232"/>
      <c r="AX3" s="232"/>
      <c r="AY3" s="232"/>
      <c r="AZ3" s="232"/>
      <c r="BA3" s="232"/>
      <c r="BB3" s="232"/>
      <c r="BC3" s="232"/>
      <c r="BD3" s="232"/>
      <c r="BE3" s="232"/>
      <c r="BF3" s="232"/>
      <c r="BG3" s="232"/>
      <c r="BH3" s="232"/>
      <c r="BI3" s="232"/>
      <c r="BJ3" s="232"/>
      <c r="BK3" s="232"/>
      <c r="BL3" s="232"/>
      <c r="BM3" s="232"/>
      <c r="BN3" s="232"/>
      <c r="BO3" s="232"/>
      <c r="BP3" s="232"/>
      <c r="BQ3" s="232"/>
      <c r="BR3" s="232"/>
      <c r="BS3" s="232"/>
      <c r="BT3" s="232"/>
      <c r="BU3" s="232"/>
      <c r="BV3" s="232"/>
      <c r="BW3" s="232"/>
      <c r="BX3" s="232"/>
      <c r="BY3" s="232"/>
      <c r="BZ3" s="232"/>
      <c r="CA3" s="232"/>
      <c r="CB3" s="232"/>
      <c r="CC3" s="232"/>
      <c r="CD3" s="232"/>
      <c r="CE3" s="232"/>
      <c r="CF3" s="232"/>
      <c r="CG3" s="232"/>
      <c r="CH3" s="232"/>
      <c r="CI3" s="232"/>
      <c r="CJ3" s="232"/>
      <c r="CK3" s="232"/>
      <c r="CL3" s="232"/>
      <c r="CM3" s="232"/>
      <c r="CN3" s="232"/>
      <c r="CO3" s="232"/>
      <c r="CP3" s="232"/>
      <c r="CQ3" s="232"/>
      <c r="CR3" s="232"/>
      <c r="CS3" s="232"/>
      <c r="CT3" s="232"/>
      <c r="CU3" s="232"/>
      <c r="CV3" s="232"/>
      <c r="CW3" s="232"/>
      <c r="CX3" s="232"/>
      <c r="CY3" s="232"/>
      <c r="CZ3" s="232"/>
      <c r="DA3" s="232"/>
      <c r="DB3" s="232"/>
      <c r="DC3" s="232"/>
      <c r="DD3" s="232"/>
      <c r="DE3" s="232"/>
      <c r="DF3" s="232"/>
      <c r="DG3" s="232"/>
      <c r="DH3" s="232"/>
      <c r="DI3" s="232"/>
      <c r="DJ3" s="232"/>
      <c r="DK3" s="232"/>
      <c r="DL3" s="232"/>
      <c r="DM3" s="232"/>
      <c r="DN3" s="232"/>
      <c r="DO3" s="232"/>
      <c r="DP3" s="232"/>
      <c r="DQ3" s="232"/>
      <c r="DR3" s="232"/>
      <c r="DS3" s="232"/>
      <c r="DT3" s="232"/>
      <c r="DU3" s="232"/>
      <c r="DV3" s="232"/>
      <c r="DW3" s="232"/>
      <c r="DX3" s="232"/>
      <c r="DY3" s="232"/>
      <c r="DZ3" s="232"/>
      <c r="EA3" s="232"/>
      <c r="EB3" s="232"/>
      <c r="EC3" s="232"/>
      <c r="ED3" s="232"/>
      <c r="EE3" s="232"/>
      <c r="EF3" s="232"/>
      <c r="EG3" s="232"/>
      <c r="EH3" s="232"/>
      <c r="EI3" s="232"/>
      <c r="EJ3" s="232"/>
      <c r="EK3" s="232"/>
      <c r="EL3" s="232"/>
      <c r="EM3" s="232"/>
      <c r="EN3" s="232"/>
      <c r="EO3" s="232"/>
      <c r="EP3" s="232"/>
      <c r="EQ3" s="232"/>
      <c r="ER3" s="232"/>
      <c r="ES3" s="232"/>
      <c r="ET3" s="232"/>
      <c r="EU3" s="232"/>
      <c r="EV3" s="232"/>
      <c r="EW3" s="232"/>
      <c r="EX3" s="232"/>
      <c r="EY3" s="232"/>
      <c r="EZ3" s="232"/>
      <c r="FA3" s="232"/>
      <c r="FB3" s="232"/>
      <c r="FC3" s="232"/>
      <c r="FD3" s="232"/>
      <c r="FE3" s="232"/>
      <c r="FF3" s="232"/>
      <c r="FG3" s="232"/>
      <c r="FH3" s="232"/>
      <c r="FI3" s="232"/>
      <c r="FJ3" s="232"/>
      <c r="FK3" s="232"/>
      <c r="FL3" s="232"/>
      <c r="FM3" s="232"/>
      <c r="FN3" s="232"/>
      <c r="FO3" s="232"/>
      <c r="FP3" s="232"/>
      <c r="FQ3" s="232"/>
      <c r="FR3" s="232"/>
      <c r="FS3" s="232"/>
      <c r="FT3" s="232"/>
      <c r="FU3" s="232"/>
      <c r="FV3" s="232"/>
      <c r="FW3" s="232"/>
      <c r="FX3" s="232"/>
      <c r="FY3" s="232"/>
      <c r="FZ3" s="232"/>
      <c r="GA3" s="232"/>
      <c r="GB3" s="232"/>
      <c r="GC3" s="232"/>
      <c r="GD3" s="232"/>
      <c r="GE3" s="232"/>
      <c r="GF3" s="232"/>
      <c r="GG3" s="232"/>
      <c r="GH3" s="232"/>
      <c r="GI3" s="232"/>
      <c r="GJ3" s="232"/>
      <c r="GK3" s="232"/>
      <c r="GL3" s="232"/>
      <c r="GM3" s="232"/>
      <c r="GN3" s="232"/>
      <c r="GO3" s="232"/>
      <c r="GP3" s="232"/>
      <c r="GQ3" s="232"/>
      <c r="GR3" s="232"/>
      <c r="GS3" s="232"/>
      <c r="GT3" s="232"/>
      <c r="GU3" s="232"/>
      <c r="GV3" s="232"/>
      <c r="GW3" s="232"/>
      <c r="GX3" s="232"/>
      <c r="GY3" s="232"/>
      <c r="GZ3" s="232"/>
      <c r="HA3" s="232"/>
      <c r="HB3" s="232"/>
      <c r="HC3" s="232"/>
      <c r="HD3" s="232"/>
      <c r="HE3" s="232"/>
      <c r="HF3" s="232"/>
      <c r="HG3" s="232"/>
      <c r="HH3" s="232"/>
      <c r="HI3" s="232"/>
      <c r="HJ3" s="232"/>
      <c r="HK3" s="232"/>
      <c r="HL3" s="232"/>
      <c r="HM3" s="232"/>
      <c r="HN3" s="232"/>
      <c r="HO3" s="232"/>
      <c r="HP3" s="232"/>
      <c r="HQ3" s="232"/>
      <c r="HR3" s="232"/>
      <c r="HS3" s="232"/>
      <c r="HT3" s="232"/>
      <c r="HU3" s="232"/>
      <c r="HV3" s="232"/>
      <c r="HW3" s="232"/>
      <c r="HX3" s="232"/>
      <c r="HY3" s="232"/>
      <c r="HZ3" s="232"/>
      <c r="IA3" s="232"/>
      <c r="IB3" s="232"/>
    </row>
    <row r="4" spans="1:237" ht="15" customHeight="1">
      <c r="A4" s="235" t="s">
        <v>319</v>
      </c>
      <c r="B4" s="924">
        <v>2014</v>
      </c>
      <c r="C4" s="924" t="s">
        <v>1087</v>
      </c>
      <c r="D4" s="924" t="s">
        <v>1088</v>
      </c>
      <c r="E4" s="924" t="s">
        <v>1089</v>
      </c>
      <c r="F4" s="924" t="s">
        <v>1090</v>
      </c>
      <c r="G4" s="924" t="s">
        <v>1091</v>
      </c>
      <c r="H4" s="921" t="s">
        <v>1092</v>
      </c>
      <c r="I4" s="921" t="s">
        <v>1093</v>
      </c>
      <c r="K4" s="236" t="s">
        <v>316</v>
      </c>
      <c r="L4" s="905"/>
      <c r="M4" s="905"/>
      <c r="N4" s="905"/>
      <c r="O4" s="905"/>
      <c r="P4" s="897"/>
      <c r="Q4" s="896"/>
      <c r="R4" s="903"/>
      <c r="S4" s="903"/>
      <c r="T4" s="903"/>
      <c r="U4" s="903"/>
      <c r="V4" s="903"/>
      <c r="W4" s="903"/>
      <c r="X4" s="903"/>
      <c r="Y4" s="903"/>
      <c r="Z4" s="904"/>
      <c r="AH4" s="899"/>
      <c r="AI4" s="899"/>
      <c r="AJ4" s="899"/>
      <c r="AK4" s="899"/>
      <c r="AL4" s="899"/>
      <c r="AM4" s="692"/>
      <c r="AN4" s="692"/>
      <c r="AO4" s="692"/>
      <c r="AP4" s="692"/>
      <c r="AQ4" s="692"/>
      <c r="AR4" s="692"/>
      <c r="AS4" s="232"/>
      <c r="AT4" s="232"/>
      <c r="AU4" s="232"/>
      <c r="AV4" s="232"/>
      <c r="AW4" s="232"/>
      <c r="AX4" s="232"/>
      <c r="AY4" s="232"/>
      <c r="AZ4" s="232"/>
      <c r="BA4" s="232"/>
      <c r="BB4" s="232"/>
      <c r="BC4" s="232"/>
      <c r="BD4" s="232"/>
      <c r="BE4" s="232"/>
      <c r="BF4" s="232"/>
      <c r="BG4" s="232"/>
      <c r="BH4" s="232"/>
      <c r="BI4" s="232"/>
      <c r="BJ4" s="232"/>
      <c r="BK4" s="232"/>
      <c r="BL4" s="232"/>
      <c r="BM4" s="232"/>
      <c r="BN4" s="232"/>
      <c r="BO4" s="232"/>
      <c r="BP4" s="232"/>
      <c r="BQ4" s="232"/>
      <c r="BR4" s="232"/>
      <c r="BS4" s="232"/>
      <c r="BT4" s="232"/>
      <c r="BU4" s="232"/>
      <c r="BV4" s="232"/>
      <c r="BW4" s="232"/>
      <c r="BX4" s="232"/>
      <c r="BY4" s="232"/>
      <c r="BZ4" s="232"/>
      <c r="CA4" s="232"/>
      <c r="CB4" s="232"/>
      <c r="CC4" s="232"/>
      <c r="CD4" s="232"/>
      <c r="CE4" s="232"/>
      <c r="CF4" s="232"/>
      <c r="CG4" s="232"/>
      <c r="CH4" s="232"/>
      <c r="CI4" s="232"/>
      <c r="CJ4" s="232"/>
      <c r="CK4" s="232"/>
      <c r="CL4" s="232"/>
      <c r="CM4" s="232"/>
      <c r="CN4" s="232"/>
      <c r="CO4" s="232"/>
      <c r="CP4" s="232"/>
      <c r="CQ4" s="232"/>
      <c r="CR4" s="232"/>
      <c r="CS4" s="232"/>
      <c r="CT4" s="232"/>
      <c r="CU4" s="232"/>
      <c r="CV4" s="232"/>
      <c r="CW4" s="232"/>
      <c r="CX4" s="232"/>
      <c r="CY4" s="232"/>
      <c r="CZ4" s="232"/>
      <c r="DA4" s="232"/>
      <c r="DB4" s="232"/>
      <c r="DC4" s="232"/>
      <c r="DD4" s="232"/>
      <c r="DE4" s="232"/>
      <c r="DF4" s="232"/>
      <c r="DG4" s="232"/>
      <c r="DH4" s="232"/>
      <c r="DI4" s="232"/>
      <c r="DJ4" s="232"/>
      <c r="DK4" s="232"/>
      <c r="DL4" s="232"/>
      <c r="DM4" s="232"/>
      <c r="DN4" s="232"/>
      <c r="DO4" s="232"/>
      <c r="DP4" s="232"/>
      <c r="DQ4" s="232"/>
      <c r="DR4" s="232"/>
      <c r="DS4" s="232"/>
      <c r="DT4" s="232"/>
      <c r="DU4" s="232"/>
      <c r="DV4" s="232"/>
      <c r="DW4" s="232"/>
      <c r="DX4" s="232"/>
      <c r="DY4" s="232"/>
      <c r="DZ4" s="232"/>
      <c r="EA4" s="232"/>
      <c r="EB4" s="232"/>
      <c r="EC4" s="232"/>
      <c r="ED4" s="232"/>
      <c r="EE4" s="232"/>
      <c r="EF4" s="232"/>
      <c r="EG4" s="232"/>
      <c r="EH4" s="232"/>
      <c r="EI4" s="232"/>
      <c r="EJ4" s="232"/>
      <c r="EK4" s="232"/>
      <c r="EL4" s="232"/>
      <c r="EM4" s="232"/>
      <c r="EN4" s="232"/>
      <c r="EO4" s="232"/>
      <c r="EP4" s="232"/>
      <c r="EQ4" s="232"/>
      <c r="ER4" s="232"/>
      <c r="ES4" s="232"/>
      <c r="ET4" s="232"/>
      <c r="EU4" s="232"/>
      <c r="EV4" s="232"/>
      <c r="EW4" s="232"/>
      <c r="EX4" s="232"/>
      <c r="EY4" s="232"/>
      <c r="EZ4" s="232"/>
      <c r="FA4" s="232"/>
      <c r="FB4" s="232"/>
      <c r="FC4" s="232"/>
      <c r="FD4" s="232"/>
      <c r="FE4" s="232"/>
      <c r="FF4" s="232"/>
      <c r="FG4" s="232"/>
      <c r="FH4" s="232"/>
      <c r="FI4" s="232"/>
      <c r="FJ4" s="232"/>
      <c r="FK4" s="232"/>
      <c r="FL4" s="232"/>
      <c r="FM4" s="232"/>
      <c r="FN4" s="232"/>
      <c r="FO4" s="232"/>
      <c r="FP4" s="232"/>
      <c r="FQ4" s="232"/>
      <c r="FR4" s="232"/>
      <c r="FS4" s="232"/>
      <c r="FT4" s="232"/>
      <c r="FU4" s="232"/>
      <c r="FV4" s="232"/>
      <c r="FW4" s="232"/>
      <c r="FX4" s="232"/>
      <c r="FY4" s="232"/>
      <c r="FZ4" s="232"/>
      <c r="GA4" s="232"/>
      <c r="GB4" s="232"/>
      <c r="GC4" s="232"/>
      <c r="GD4" s="232"/>
      <c r="GE4" s="232"/>
      <c r="GF4" s="232"/>
      <c r="GG4" s="232"/>
      <c r="GH4" s="232"/>
      <c r="GI4" s="232"/>
      <c r="GJ4" s="232"/>
      <c r="GK4" s="232"/>
      <c r="GL4" s="232"/>
      <c r="GM4" s="232"/>
      <c r="GN4" s="232"/>
      <c r="GO4" s="232"/>
      <c r="GP4" s="232"/>
      <c r="GQ4" s="232"/>
      <c r="GR4" s="232"/>
      <c r="GS4" s="232"/>
      <c r="GT4" s="232"/>
      <c r="GU4" s="232"/>
      <c r="GV4" s="232"/>
      <c r="GW4" s="232"/>
      <c r="GX4" s="232"/>
      <c r="GY4" s="232"/>
      <c r="GZ4" s="232"/>
      <c r="HA4" s="232"/>
      <c r="HB4" s="232"/>
      <c r="HC4" s="232"/>
      <c r="HD4" s="232"/>
      <c r="HE4" s="232"/>
      <c r="HF4" s="232"/>
      <c r="HG4" s="232"/>
      <c r="HH4" s="232"/>
      <c r="HI4" s="232"/>
      <c r="HJ4" s="232"/>
      <c r="HK4" s="232"/>
      <c r="HL4" s="232"/>
      <c r="HM4" s="232"/>
      <c r="HN4" s="232"/>
      <c r="HO4" s="232"/>
      <c r="HP4" s="232"/>
      <c r="HQ4" s="232"/>
      <c r="HR4" s="232"/>
      <c r="HS4" s="232"/>
      <c r="HT4" s="232"/>
      <c r="HU4" s="232"/>
      <c r="HV4" s="232"/>
      <c r="HW4" s="232"/>
      <c r="HX4" s="232"/>
      <c r="HY4" s="232"/>
      <c r="HZ4" s="232"/>
      <c r="IA4" s="232"/>
      <c r="IB4" s="232"/>
    </row>
    <row r="5" spans="1:237" ht="14.1" customHeight="1">
      <c r="A5" s="369"/>
      <c r="B5" s="237"/>
      <c r="C5" s="237"/>
      <c r="D5" s="237"/>
      <c r="E5" s="237"/>
      <c r="F5" s="237"/>
      <c r="G5" s="237"/>
      <c r="H5" s="237"/>
      <c r="I5" s="237"/>
      <c r="K5" s="236" t="s">
        <v>317</v>
      </c>
      <c r="L5" s="905"/>
      <c r="M5" s="905"/>
      <c r="N5" s="905"/>
      <c r="O5" s="905"/>
      <c r="P5" s="897"/>
      <c r="Q5" s="898"/>
      <c r="R5" s="899"/>
      <c r="S5" s="899"/>
      <c r="T5" s="899"/>
      <c r="U5" s="899"/>
      <c r="V5" s="906"/>
      <c r="W5" s="899"/>
      <c r="X5" s="899"/>
      <c r="Y5" s="899"/>
      <c r="Z5" s="899"/>
      <c r="AA5" s="899"/>
      <c r="AB5" s="899"/>
      <c r="AC5" s="899"/>
      <c r="AD5" s="899"/>
      <c r="AE5" s="899"/>
      <c r="AF5" s="899"/>
      <c r="AG5" s="899"/>
      <c r="AH5" s="899"/>
      <c r="AI5" s="899"/>
      <c r="AJ5" s="899"/>
      <c r="AK5" s="899"/>
      <c r="AL5" s="899"/>
      <c r="AM5" s="232"/>
      <c r="AN5" s="232"/>
      <c r="AO5" s="232"/>
      <c r="AP5" s="232"/>
      <c r="AQ5" s="232"/>
      <c r="AR5" s="232"/>
      <c r="AS5" s="232"/>
      <c r="AT5" s="232"/>
      <c r="AU5" s="232"/>
      <c r="AV5" s="232"/>
      <c r="AW5" s="232"/>
      <c r="AX5" s="232"/>
      <c r="AY5" s="232"/>
      <c r="AZ5" s="232"/>
      <c r="BA5" s="232"/>
      <c r="BB5" s="232"/>
      <c r="BC5" s="232"/>
      <c r="BD5" s="232"/>
      <c r="BE5" s="232"/>
      <c r="BF5" s="232"/>
      <c r="BG5" s="232"/>
      <c r="BH5" s="232"/>
      <c r="BI5" s="232"/>
      <c r="BJ5" s="232"/>
      <c r="BK5" s="232"/>
      <c r="BL5" s="232"/>
      <c r="BM5" s="232"/>
      <c r="BN5" s="232"/>
      <c r="BO5" s="232"/>
      <c r="BP5" s="232"/>
      <c r="BQ5" s="232"/>
      <c r="BR5" s="232"/>
      <c r="BS5" s="232"/>
      <c r="BT5" s="232"/>
      <c r="BU5" s="232"/>
      <c r="BV5" s="232"/>
      <c r="BW5" s="232"/>
      <c r="BX5" s="232"/>
      <c r="BY5" s="232"/>
      <c r="BZ5" s="232"/>
      <c r="CA5" s="232"/>
      <c r="CB5" s="232"/>
      <c r="CC5" s="232"/>
      <c r="CD5" s="232"/>
      <c r="CE5" s="232"/>
      <c r="CF5" s="232"/>
      <c r="CG5" s="232"/>
      <c r="CH5" s="232"/>
      <c r="CI5" s="232"/>
      <c r="CJ5" s="232"/>
      <c r="CK5" s="232"/>
      <c r="CL5" s="232"/>
      <c r="CM5" s="232"/>
      <c r="CN5" s="232"/>
      <c r="CO5" s="232"/>
      <c r="CP5" s="232"/>
      <c r="CQ5" s="232"/>
      <c r="CR5" s="232"/>
      <c r="CS5" s="232"/>
      <c r="CT5" s="232"/>
      <c r="CU5" s="232"/>
      <c r="CV5" s="232"/>
      <c r="CW5" s="232"/>
      <c r="CX5" s="232"/>
      <c r="CY5" s="232"/>
      <c r="CZ5" s="232"/>
      <c r="DA5" s="232"/>
      <c r="DB5" s="232"/>
      <c r="DC5" s="232"/>
      <c r="DD5" s="232"/>
      <c r="DE5" s="232"/>
      <c r="DF5" s="232"/>
      <c r="DG5" s="232"/>
      <c r="DH5" s="232"/>
      <c r="DI5" s="232"/>
      <c r="DJ5" s="232"/>
      <c r="DK5" s="232"/>
      <c r="DL5" s="232"/>
      <c r="DM5" s="232"/>
      <c r="DN5" s="232"/>
      <c r="DO5" s="232"/>
      <c r="DP5" s="232"/>
      <c r="DQ5" s="232"/>
      <c r="DR5" s="232"/>
      <c r="DS5" s="232"/>
      <c r="DT5" s="232"/>
      <c r="DU5" s="232"/>
      <c r="DV5" s="232"/>
      <c r="DW5" s="232"/>
      <c r="DX5" s="232"/>
      <c r="DY5" s="232"/>
      <c r="DZ5" s="232"/>
      <c r="EA5" s="232"/>
      <c r="EB5" s="232"/>
      <c r="EC5" s="232"/>
      <c r="ED5" s="232"/>
      <c r="EE5" s="232"/>
      <c r="EF5" s="232"/>
      <c r="EG5" s="232"/>
      <c r="EH5" s="232"/>
      <c r="EI5" s="232"/>
      <c r="EJ5" s="232"/>
      <c r="EK5" s="232"/>
      <c r="EL5" s="232"/>
      <c r="EM5" s="232"/>
      <c r="EN5" s="232"/>
      <c r="EO5" s="232"/>
      <c r="EP5" s="232"/>
      <c r="EQ5" s="232"/>
      <c r="ER5" s="232"/>
      <c r="ES5" s="232"/>
      <c r="ET5" s="232"/>
      <c r="EU5" s="232"/>
      <c r="EV5" s="232"/>
      <c r="EW5" s="232"/>
      <c r="EX5" s="232"/>
      <c r="EY5" s="232"/>
      <c r="EZ5" s="232"/>
      <c r="FA5" s="232"/>
      <c r="FB5" s="232"/>
      <c r="FC5" s="232"/>
      <c r="FD5" s="232"/>
      <c r="FE5" s="232"/>
      <c r="FF5" s="232"/>
      <c r="FG5" s="232"/>
      <c r="FH5" s="232"/>
      <c r="FI5" s="232"/>
      <c r="FJ5" s="232"/>
      <c r="FK5" s="232"/>
      <c r="FL5" s="232"/>
      <c r="FM5" s="232"/>
      <c r="FN5" s="232"/>
      <c r="FO5" s="232"/>
      <c r="FP5" s="232"/>
      <c r="FQ5" s="232"/>
      <c r="FR5" s="232"/>
      <c r="FS5" s="232"/>
      <c r="FT5" s="232"/>
      <c r="FU5" s="232"/>
      <c r="FV5" s="232"/>
      <c r="FW5" s="232"/>
      <c r="FX5" s="232"/>
      <c r="FY5" s="232"/>
      <c r="FZ5" s="232"/>
      <c r="GA5" s="232"/>
      <c r="GB5" s="232"/>
      <c r="GC5" s="232"/>
      <c r="GD5" s="232"/>
      <c r="GE5" s="232"/>
      <c r="GF5" s="232"/>
      <c r="GG5" s="232"/>
      <c r="GH5" s="232"/>
      <c r="GI5" s="232"/>
      <c r="GJ5" s="232"/>
      <c r="GK5" s="232"/>
      <c r="GL5" s="232"/>
      <c r="GM5" s="232"/>
      <c r="GN5" s="232"/>
      <c r="GO5" s="232"/>
      <c r="GP5" s="232"/>
      <c r="GQ5" s="232"/>
      <c r="GR5" s="232"/>
      <c r="GS5" s="232"/>
      <c r="GT5" s="232"/>
      <c r="GU5" s="232"/>
      <c r="GV5" s="232"/>
      <c r="GW5" s="232"/>
      <c r="GX5" s="232"/>
      <c r="GY5" s="232"/>
      <c r="GZ5" s="232"/>
      <c r="HA5" s="232"/>
      <c r="HB5" s="232"/>
      <c r="HC5" s="232"/>
      <c r="HD5" s="232"/>
      <c r="HE5" s="232"/>
      <c r="HF5" s="232"/>
      <c r="HG5" s="232"/>
      <c r="HH5" s="232"/>
      <c r="HI5" s="232"/>
      <c r="HJ5" s="232"/>
      <c r="HK5" s="232"/>
      <c r="HL5" s="232"/>
      <c r="HM5" s="232"/>
      <c r="HN5" s="232"/>
      <c r="HO5" s="232"/>
      <c r="HP5" s="232"/>
      <c r="HQ5" s="232"/>
      <c r="HR5" s="232"/>
      <c r="HS5" s="232"/>
      <c r="HT5" s="232"/>
      <c r="HU5" s="232"/>
      <c r="HV5" s="232"/>
      <c r="HW5" s="232"/>
      <c r="HX5" s="232"/>
      <c r="HY5" s="232"/>
      <c r="HZ5" s="232"/>
      <c r="IA5" s="232"/>
      <c r="IB5" s="232"/>
      <c r="IC5" s="232"/>
    </row>
    <row r="6" spans="1:237" ht="14.1" customHeight="1">
      <c r="A6" s="235" t="s">
        <v>320</v>
      </c>
      <c r="B6" s="238"/>
      <c r="C6" s="238"/>
      <c r="D6" s="238"/>
      <c r="E6" s="238"/>
      <c r="F6" s="238"/>
      <c r="G6" s="238"/>
      <c r="H6" s="238"/>
      <c r="I6" s="238"/>
      <c r="K6" s="230"/>
      <c r="L6" s="897"/>
      <c r="M6" s="897"/>
      <c r="N6" s="897"/>
      <c r="O6" s="897"/>
      <c r="P6" s="897"/>
      <c r="Q6" s="898"/>
      <c r="R6" s="899"/>
      <c r="S6" s="899"/>
      <c r="T6" s="899"/>
      <c r="U6" s="899"/>
      <c r="V6" s="899"/>
      <c r="W6" s="899"/>
      <c r="X6" s="899"/>
      <c r="Y6" s="899"/>
      <c r="Z6" s="899"/>
      <c r="AA6" s="899"/>
      <c r="AB6" s="899"/>
      <c r="AC6" s="899"/>
      <c r="AD6" s="899"/>
      <c r="AE6" s="899"/>
      <c r="AF6" s="899"/>
      <c r="AG6" s="899"/>
      <c r="AH6" s="899"/>
      <c r="AI6" s="899"/>
      <c r="AJ6" s="899"/>
      <c r="AK6" s="899"/>
      <c r="AL6" s="899"/>
      <c r="AM6" s="232"/>
      <c r="AN6" s="232"/>
      <c r="AO6" s="232"/>
      <c r="AP6" s="232"/>
      <c r="AQ6" s="232"/>
      <c r="AR6" s="232"/>
      <c r="AS6" s="232"/>
      <c r="AT6" s="232"/>
      <c r="AU6" s="232"/>
      <c r="AV6" s="232"/>
      <c r="AW6" s="232"/>
      <c r="AX6" s="232"/>
      <c r="AY6" s="232"/>
      <c r="AZ6" s="232"/>
      <c r="BA6" s="232"/>
      <c r="BB6" s="232"/>
      <c r="BC6" s="232"/>
      <c r="BD6" s="232"/>
      <c r="BE6" s="232"/>
      <c r="BF6" s="232"/>
      <c r="BG6" s="232"/>
      <c r="BH6" s="232"/>
      <c r="BI6" s="232"/>
      <c r="BJ6" s="232"/>
      <c r="BK6" s="232"/>
      <c r="BL6" s="232"/>
      <c r="BM6" s="232"/>
      <c r="BN6" s="232"/>
      <c r="BO6" s="232"/>
      <c r="BP6" s="232"/>
      <c r="BQ6" s="232"/>
      <c r="BR6" s="232"/>
      <c r="BS6" s="232"/>
      <c r="BT6" s="232"/>
      <c r="BU6" s="232"/>
      <c r="BV6" s="232"/>
      <c r="BW6" s="232"/>
      <c r="BX6" s="232"/>
      <c r="BY6" s="232"/>
      <c r="BZ6" s="232"/>
      <c r="CA6" s="232"/>
      <c r="CB6" s="232"/>
      <c r="CC6" s="232"/>
      <c r="CD6" s="232"/>
      <c r="CE6" s="232"/>
      <c r="CF6" s="232"/>
      <c r="CG6" s="232"/>
      <c r="CH6" s="232"/>
      <c r="CI6" s="232"/>
      <c r="CJ6" s="232"/>
      <c r="CK6" s="232"/>
      <c r="CL6" s="232"/>
      <c r="CM6" s="232"/>
      <c r="CN6" s="232"/>
      <c r="CO6" s="232"/>
      <c r="CP6" s="232"/>
      <c r="CQ6" s="232"/>
      <c r="CR6" s="232"/>
      <c r="CS6" s="232"/>
      <c r="CT6" s="232"/>
      <c r="CU6" s="232"/>
      <c r="CV6" s="232"/>
      <c r="CW6" s="232"/>
      <c r="CX6" s="232"/>
      <c r="CY6" s="232"/>
      <c r="CZ6" s="232"/>
      <c r="DA6" s="232"/>
      <c r="DB6" s="232"/>
      <c r="DC6" s="232"/>
      <c r="DD6" s="232"/>
      <c r="DE6" s="232"/>
      <c r="DF6" s="232"/>
      <c r="DG6" s="232"/>
      <c r="DH6" s="232"/>
      <c r="DI6" s="232"/>
      <c r="DJ6" s="232"/>
      <c r="DK6" s="232"/>
      <c r="DL6" s="232"/>
      <c r="DM6" s="232"/>
      <c r="DN6" s="232"/>
      <c r="DO6" s="232"/>
      <c r="DP6" s="232"/>
      <c r="DQ6" s="232"/>
      <c r="DR6" s="232"/>
      <c r="DS6" s="232"/>
      <c r="DT6" s="232"/>
      <c r="DU6" s="232"/>
      <c r="DV6" s="232"/>
      <c r="DW6" s="232"/>
      <c r="DX6" s="232"/>
      <c r="DY6" s="232"/>
      <c r="DZ6" s="232"/>
      <c r="EA6" s="232"/>
      <c r="EB6" s="232"/>
      <c r="EC6" s="232"/>
      <c r="ED6" s="232"/>
      <c r="EE6" s="232"/>
      <c r="EF6" s="232"/>
      <c r="EG6" s="232"/>
      <c r="EH6" s="232"/>
      <c r="EI6" s="232"/>
      <c r="EJ6" s="232"/>
      <c r="EK6" s="232"/>
      <c r="EL6" s="232"/>
      <c r="EM6" s="232"/>
      <c r="EN6" s="232"/>
      <c r="EO6" s="232"/>
      <c r="EP6" s="232"/>
      <c r="EQ6" s="232"/>
      <c r="ER6" s="232"/>
      <c r="ES6" s="232"/>
      <c r="ET6" s="232"/>
      <c r="EU6" s="232"/>
      <c r="EV6" s="232"/>
      <c r="EW6" s="232"/>
      <c r="EX6" s="232"/>
      <c r="EY6" s="232"/>
      <c r="EZ6" s="232"/>
      <c r="FA6" s="232"/>
      <c r="FB6" s="232"/>
      <c r="FC6" s="232"/>
      <c r="FD6" s="232"/>
      <c r="FE6" s="232"/>
      <c r="FF6" s="232"/>
      <c r="FG6" s="232"/>
      <c r="FH6" s="232"/>
      <c r="FI6" s="232"/>
      <c r="FJ6" s="232"/>
      <c r="FK6" s="232"/>
      <c r="FL6" s="232"/>
      <c r="FM6" s="232"/>
      <c r="FN6" s="232"/>
      <c r="FO6" s="232"/>
      <c r="FP6" s="232"/>
      <c r="FQ6" s="232"/>
      <c r="FR6" s="232"/>
      <c r="FS6" s="232"/>
      <c r="FT6" s="232"/>
      <c r="FU6" s="232"/>
      <c r="FV6" s="232"/>
      <c r="FW6" s="232"/>
      <c r="FX6" s="232"/>
      <c r="FY6" s="232"/>
      <c r="FZ6" s="232"/>
      <c r="GA6" s="232"/>
      <c r="GB6" s="232"/>
      <c r="GC6" s="232"/>
      <c r="GD6" s="232"/>
      <c r="GE6" s="232"/>
      <c r="GF6" s="232"/>
      <c r="GG6" s="232"/>
      <c r="GH6" s="232"/>
      <c r="GI6" s="232"/>
      <c r="GJ6" s="232"/>
      <c r="GK6" s="232"/>
      <c r="GL6" s="232"/>
      <c r="GM6" s="232"/>
      <c r="GN6" s="232"/>
      <c r="GO6" s="232"/>
      <c r="GP6" s="232"/>
      <c r="GQ6" s="232"/>
      <c r="GR6" s="232"/>
      <c r="GS6" s="232"/>
      <c r="GT6" s="232"/>
      <c r="GU6" s="232"/>
      <c r="GV6" s="232"/>
      <c r="GW6" s="232"/>
      <c r="GX6" s="232"/>
      <c r="GY6" s="232"/>
      <c r="GZ6" s="232"/>
      <c r="HA6" s="232"/>
      <c r="HB6" s="232"/>
      <c r="HC6" s="232"/>
      <c r="HD6" s="232"/>
      <c r="HE6" s="232"/>
      <c r="HF6" s="232"/>
      <c r="HG6" s="232"/>
      <c r="HH6" s="232"/>
      <c r="HI6" s="232"/>
      <c r="HJ6" s="232"/>
      <c r="HK6" s="232"/>
      <c r="HL6" s="232"/>
      <c r="HM6" s="232"/>
      <c r="HN6" s="232"/>
      <c r="HO6" s="232"/>
      <c r="HP6" s="232"/>
      <c r="HQ6" s="232"/>
      <c r="HR6" s="232"/>
      <c r="HS6" s="232"/>
      <c r="HT6" s="232"/>
      <c r="HU6" s="232"/>
      <c r="HV6" s="232"/>
      <c r="HW6" s="232"/>
      <c r="HX6" s="232"/>
      <c r="HY6" s="232"/>
      <c r="HZ6" s="232"/>
      <c r="IA6" s="232"/>
      <c r="IB6" s="232"/>
      <c r="IC6" s="232"/>
    </row>
    <row r="7" spans="1:237" ht="15.6" customHeight="1">
      <c r="A7" s="239" t="s">
        <v>1084</v>
      </c>
      <c r="B7" s="240"/>
      <c r="C7" s="240"/>
      <c r="D7" s="240"/>
      <c r="E7" s="240"/>
      <c r="F7" s="240"/>
      <c r="G7" s="240">
        <v>29641000</v>
      </c>
      <c r="H7" s="362">
        <f>ROUND(25949061.0787417,-3)</f>
        <v>25949000</v>
      </c>
      <c r="I7" s="362">
        <f>ROUND('5.3-5.4'!$F$29,-3)</f>
        <v>29336000</v>
      </c>
      <c r="K7" s="241">
        <f t="shared" ref="K7:K16" si="0">(I7/H7)-1</f>
        <v>0.13052526108905926</v>
      </c>
      <c r="L7" s="907"/>
      <c r="M7" s="897"/>
      <c r="N7" s="897"/>
      <c r="O7" s="897"/>
      <c r="P7" s="897"/>
      <c r="Q7" s="908"/>
      <c r="R7" s="899"/>
      <c r="S7" s="909"/>
      <c r="T7" s="899"/>
      <c r="U7" s="899"/>
      <c r="V7" s="899"/>
      <c r="W7" s="901"/>
      <c r="X7" s="901"/>
      <c r="Y7" s="901"/>
      <c r="Z7" s="901"/>
      <c r="AF7" s="899"/>
      <c r="AG7" s="899"/>
      <c r="AH7" s="899"/>
      <c r="AI7" s="899"/>
      <c r="AJ7" s="899"/>
      <c r="AK7" s="899"/>
      <c r="AL7" s="899"/>
      <c r="AM7" s="232"/>
      <c r="AN7" s="232"/>
      <c r="AO7" s="232"/>
      <c r="AP7" s="232"/>
      <c r="AQ7" s="232"/>
      <c r="AR7" s="232"/>
      <c r="AS7" s="232"/>
      <c r="AT7" s="232"/>
      <c r="AU7" s="232"/>
      <c r="AV7" s="232"/>
      <c r="AW7" s="232"/>
      <c r="AX7" s="232"/>
      <c r="AY7" s="232"/>
      <c r="AZ7" s="232"/>
      <c r="BA7" s="232"/>
      <c r="BB7" s="232"/>
      <c r="BC7" s="232"/>
      <c r="BD7" s="232"/>
      <c r="BE7" s="232"/>
      <c r="BF7" s="232"/>
      <c r="BG7" s="232"/>
      <c r="BH7" s="232"/>
      <c r="BI7" s="232"/>
      <c r="BJ7" s="232"/>
      <c r="BK7" s="232"/>
      <c r="BL7" s="232"/>
      <c r="BM7" s="232"/>
      <c r="BN7" s="232"/>
      <c r="BO7" s="232"/>
      <c r="BP7" s="232"/>
      <c r="BQ7" s="232"/>
      <c r="BR7" s="232"/>
      <c r="BS7" s="232"/>
      <c r="BT7" s="232"/>
      <c r="BU7" s="232"/>
      <c r="BV7" s="232"/>
      <c r="BW7" s="232"/>
      <c r="BX7" s="232"/>
      <c r="BY7" s="232"/>
      <c r="BZ7" s="232"/>
      <c r="CA7" s="232"/>
      <c r="CB7" s="232"/>
      <c r="CC7" s="232"/>
      <c r="CD7" s="232"/>
      <c r="CE7" s="232"/>
      <c r="CF7" s="232"/>
      <c r="CG7" s="232"/>
      <c r="CH7" s="232"/>
      <c r="CI7" s="232"/>
      <c r="CJ7" s="232"/>
      <c r="CK7" s="232"/>
      <c r="CL7" s="232"/>
      <c r="CM7" s="232"/>
      <c r="CN7" s="232"/>
      <c r="CO7" s="232"/>
      <c r="CP7" s="232"/>
      <c r="CQ7" s="232"/>
      <c r="CR7" s="232"/>
      <c r="CS7" s="232"/>
      <c r="CT7" s="232"/>
      <c r="CU7" s="232"/>
      <c r="CV7" s="232"/>
      <c r="CW7" s="232"/>
      <c r="CX7" s="232"/>
      <c r="CY7" s="232"/>
      <c r="CZ7" s="232"/>
      <c r="DA7" s="232"/>
      <c r="DB7" s="232"/>
      <c r="DC7" s="232"/>
      <c r="DD7" s="232"/>
      <c r="DE7" s="232"/>
      <c r="DF7" s="232"/>
      <c r="DG7" s="232"/>
      <c r="DH7" s="232"/>
      <c r="DI7" s="232"/>
      <c r="DJ7" s="232"/>
      <c r="DK7" s="232"/>
      <c r="DL7" s="232"/>
      <c r="DM7" s="232"/>
      <c r="DN7" s="232"/>
      <c r="DO7" s="232"/>
      <c r="DP7" s="232"/>
      <c r="DQ7" s="232"/>
      <c r="DR7" s="232"/>
      <c r="DS7" s="232"/>
      <c r="DT7" s="232"/>
      <c r="DU7" s="232"/>
      <c r="DV7" s="232"/>
      <c r="DW7" s="232"/>
      <c r="DX7" s="232"/>
      <c r="DY7" s="232"/>
      <c r="DZ7" s="232"/>
      <c r="EA7" s="232"/>
      <c r="EB7" s="232"/>
      <c r="EC7" s="232"/>
      <c r="ED7" s="232"/>
      <c r="EE7" s="232"/>
      <c r="EF7" s="232"/>
      <c r="EG7" s="232"/>
      <c r="EH7" s="232"/>
      <c r="EI7" s="232"/>
      <c r="EJ7" s="232"/>
      <c r="EK7" s="232"/>
      <c r="EL7" s="232"/>
      <c r="EM7" s="232"/>
      <c r="EN7" s="232"/>
      <c r="EO7" s="232"/>
      <c r="EP7" s="232"/>
      <c r="EQ7" s="232"/>
      <c r="ER7" s="232"/>
      <c r="ES7" s="232"/>
      <c r="ET7" s="232"/>
      <c r="EU7" s="232"/>
      <c r="EV7" s="232"/>
      <c r="EW7" s="232"/>
      <c r="EX7" s="232"/>
      <c r="EY7" s="232"/>
      <c r="EZ7" s="232"/>
      <c r="FA7" s="232"/>
      <c r="FB7" s="232"/>
      <c r="FC7" s="232"/>
      <c r="FD7" s="232"/>
      <c r="FE7" s="232"/>
      <c r="FF7" s="232"/>
      <c r="FG7" s="232"/>
      <c r="FH7" s="232"/>
      <c r="FI7" s="232"/>
      <c r="FJ7" s="232"/>
      <c r="FK7" s="232"/>
      <c r="FL7" s="232"/>
      <c r="FM7" s="232"/>
      <c r="FN7" s="232"/>
      <c r="FO7" s="232"/>
      <c r="FP7" s="232"/>
      <c r="FQ7" s="232"/>
      <c r="FR7" s="232"/>
      <c r="FS7" s="232"/>
      <c r="FT7" s="232"/>
      <c r="FU7" s="232"/>
      <c r="FV7" s="232"/>
      <c r="FW7" s="232"/>
      <c r="FX7" s="232"/>
      <c r="FY7" s="232"/>
      <c r="FZ7" s="232"/>
      <c r="GA7" s="232"/>
      <c r="GB7" s="232"/>
      <c r="GC7" s="232"/>
      <c r="GD7" s="232"/>
      <c r="GE7" s="232"/>
      <c r="GF7" s="232"/>
      <c r="GG7" s="232"/>
      <c r="GH7" s="232"/>
      <c r="GI7" s="232"/>
      <c r="GJ7" s="232"/>
      <c r="GK7" s="232"/>
      <c r="GL7" s="232"/>
      <c r="GM7" s="232"/>
      <c r="GN7" s="232"/>
      <c r="GO7" s="232"/>
      <c r="GP7" s="232"/>
      <c r="GQ7" s="232"/>
      <c r="GR7" s="232"/>
      <c r="GS7" s="232"/>
      <c r="GT7" s="232"/>
      <c r="GU7" s="232"/>
      <c r="GV7" s="232"/>
      <c r="GW7" s="232"/>
      <c r="GX7" s="232"/>
      <c r="GY7" s="232"/>
      <c r="GZ7" s="232"/>
      <c r="HA7" s="232"/>
      <c r="HB7" s="232"/>
      <c r="HC7" s="232"/>
      <c r="HD7" s="232"/>
      <c r="HE7" s="232"/>
      <c r="HF7" s="232"/>
      <c r="HG7" s="232"/>
      <c r="HH7" s="232"/>
      <c r="HI7" s="232"/>
      <c r="HJ7" s="232"/>
      <c r="HK7" s="232"/>
      <c r="HL7" s="232"/>
      <c r="HM7" s="232"/>
      <c r="HN7" s="232"/>
      <c r="HO7" s="232"/>
      <c r="HP7" s="232"/>
      <c r="HQ7" s="232"/>
      <c r="HR7" s="232"/>
      <c r="HS7" s="232"/>
      <c r="HT7" s="232"/>
      <c r="HU7" s="232"/>
      <c r="HV7" s="232"/>
      <c r="HW7" s="232"/>
      <c r="HX7" s="232"/>
      <c r="HY7" s="232"/>
      <c r="HZ7" s="232"/>
      <c r="IA7" s="232"/>
      <c r="IB7" s="232"/>
      <c r="IC7" s="232"/>
    </row>
    <row r="8" spans="1:237" ht="15.6" customHeight="1">
      <c r="A8" s="239" t="s">
        <v>938</v>
      </c>
      <c r="B8" s="228"/>
      <c r="C8" s="228"/>
      <c r="D8" s="228"/>
      <c r="E8" s="228"/>
      <c r="F8" s="228"/>
      <c r="G8" s="228">
        <v>943391000</v>
      </c>
      <c r="H8" s="228">
        <f>ROUND(1456048948.77-254758722.16-189640608.54,-3)</f>
        <v>1011650000</v>
      </c>
      <c r="I8" s="228">
        <v>1515692000</v>
      </c>
      <c r="K8" s="241">
        <f t="shared" si="0"/>
        <v>0.49823753274353777</v>
      </c>
      <c r="L8" s="907"/>
      <c r="M8" s="897"/>
      <c r="N8" s="897"/>
      <c r="O8" s="897"/>
      <c r="P8" s="897"/>
      <c r="Q8" s="908"/>
      <c r="R8" s="899"/>
      <c r="S8" s="909"/>
      <c r="T8" s="899"/>
      <c r="U8" s="899"/>
      <c r="V8" s="899"/>
      <c r="W8" s="906"/>
      <c r="X8" s="906"/>
      <c r="Y8" s="906"/>
      <c r="Z8" s="906"/>
      <c r="AF8" s="899"/>
      <c r="AG8" s="899"/>
      <c r="AH8" s="899"/>
      <c r="AI8" s="899"/>
      <c r="AJ8" s="899"/>
      <c r="AK8" s="899"/>
      <c r="AL8" s="899"/>
      <c r="AM8" s="232"/>
      <c r="AN8" s="232"/>
      <c r="AO8" s="232"/>
      <c r="AP8" s="232"/>
      <c r="AQ8" s="232"/>
      <c r="AR8" s="232"/>
      <c r="AS8" s="232"/>
      <c r="AT8" s="232"/>
      <c r="AU8" s="232"/>
      <c r="AV8" s="232"/>
      <c r="AW8" s="232"/>
      <c r="AX8" s="232"/>
      <c r="AY8" s="232"/>
      <c r="AZ8" s="232"/>
      <c r="BA8" s="232"/>
      <c r="BB8" s="232"/>
      <c r="BC8" s="232"/>
      <c r="BD8" s="232"/>
      <c r="BE8" s="232"/>
      <c r="BF8" s="232"/>
      <c r="BG8" s="232"/>
      <c r="BH8" s="232"/>
      <c r="BI8" s="232"/>
      <c r="BJ8" s="232"/>
      <c r="BK8" s="232"/>
      <c r="BL8" s="232"/>
      <c r="BM8" s="232"/>
      <c r="BN8" s="232"/>
      <c r="BO8" s="232"/>
      <c r="BP8" s="232"/>
      <c r="BQ8" s="232"/>
      <c r="BR8" s="232"/>
      <c r="BS8" s="232"/>
      <c r="BT8" s="232"/>
      <c r="BU8" s="232"/>
      <c r="BV8" s="232"/>
      <c r="BW8" s="232"/>
      <c r="BX8" s="232"/>
      <c r="BY8" s="232"/>
      <c r="BZ8" s="232"/>
      <c r="CA8" s="232"/>
      <c r="CB8" s="232"/>
      <c r="CC8" s="232"/>
      <c r="CD8" s="232"/>
      <c r="CE8" s="232"/>
      <c r="CF8" s="232"/>
      <c r="CG8" s="232"/>
      <c r="CH8" s="232"/>
      <c r="CI8" s="232"/>
      <c r="CJ8" s="232"/>
      <c r="CK8" s="232"/>
      <c r="CL8" s="232"/>
      <c r="CM8" s="232"/>
      <c r="CN8" s="232"/>
      <c r="CO8" s="232"/>
      <c r="CP8" s="232"/>
      <c r="CQ8" s="232"/>
      <c r="CR8" s="232"/>
      <c r="CS8" s="232"/>
      <c r="CT8" s="232"/>
      <c r="CU8" s="232"/>
      <c r="CV8" s="232"/>
      <c r="CW8" s="232"/>
      <c r="CX8" s="232"/>
      <c r="CY8" s="232"/>
      <c r="CZ8" s="232"/>
      <c r="DA8" s="232"/>
      <c r="DB8" s="232"/>
      <c r="DC8" s="232"/>
      <c r="DD8" s="232"/>
      <c r="DE8" s="232"/>
      <c r="DF8" s="232"/>
      <c r="DG8" s="232"/>
      <c r="DH8" s="232"/>
      <c r="DI8" s="232"/>
      <c r="DJ8" s="232"/>
      <c r="DK8" s="232"/>
      <c r="DL8" s="232"/>
      <c r="DM8" s="232"/>
      <c r="DN8" s="232"/>
      <c r="DO8" s="232"/>
      <c r="DP8" s="232"/>
      <c r="DQ8" s="232"/>
      <c r="DR8" s="232"/>
      <c r="DS8" s="232"/>
      <c r="DT8" s="232"/>
      <c r="DU8" s="232"/>
      <c r="DV8" s="232"/>
      <c r="DW8" s="232"/>
      <c r="DX8" s="232"/>
      <c r="DY8" s="232"/>
      <c r="DZ8" s="232"/>
      <c r="EA8" s="232"/>
      <c r="EB8" s="232"/>
      <c r="EC8" s="232"/>
      <c r="ED8" s="232"/>
      <c r="EE8" s="232"/>
      <c r="EF8" s="232"/>
      <c r="EG8" s="232"/>
      <c r="EH8" s="232"/>
      <c r="EI8" s="232"/>
      <c r="EJ8" s="232"/>
      <c r="EK8" s="232"/>
      <c r="EL8" s="232"/>
      <c r="EM8" s="232"/>
      <c r="EN8" s="232"/>
      <c r="EO8" s="232"/>
      <c r="EP8" s="232"/>
      <c r="EQ8" s="232"/>
      <c r="ER8" s="232"/>
      <c r="ES8" s="232"/>
      <c r="ET8" s="232"/>
      <c r="EU8" s="232"/>
      <c r="EV8" s="232"/>
      <c r="EW8" s="232"/>
      <c r="EX8" s="232"/>
      <c r="EY8" s="232"/>
      <c r="EZ8" s="232"/>
      <c r="FA8" s="232"/>
      <c r="FB8" s="232"/>
      <c r="FC8" s="232"/>
      <c r="FD8" s="232"/>
      <c r="FE8" s="232"/>
      <c r="FF8" s="232"/>
      <c r="FG8" s="232"/>
      <c r="FH8" s="232"/>
      <c r="FI8" s="232"/>
      <c r="FJ8" s="232"/>
      <c r="FK8" s="232"/>
      <c r="FL8" s="232"/>
      <c r="FM8" s="232"/>
      <c r="FN8" s="232"/>
      <c r="FO8" s="232"/>
      <c r="FP8" s="232"/>
      <c r="FQ8" s="232"/>
      <c r="FR8" s="232"/>
      <c r="FS8" s="232"/>
      <c r="FT8" s="232"/>
      <c r="FU8" s="232"/>
      <c r="FV8" s="232"/>
      <c r="FW8" s="232"/>
      <c r="FX8" s="232"/>
      <c r="FY8" s="232"/>
      <c r="FZ8" s="232"/>
      <c r="GA8" s="232"/>
      <c r="GB8" s="232"/>
      <c r="GC8" s="232"/>
      <c r="GD8" s="232"/>
      <c r="GE8" s="232"/>
      <c r="GF8" s="232"/>
      <c r="GG8" s="232"/>
      <c r="GH8" s="232"/>
      <c r="GI8" s="232"/>
      <c r="GJ8" s="232"/>
      <c r="GK8" s="232"/>
      <c r="GL8" s="232"/>
      <c r="GM8" s="232"/>
      <c r="GN8" s="232"/>
      <c r="GO8" s="232"/>
      <c r="GP8" s="232"/>
      <c r="GQ8" s="232"/>
      <c r="GR8" s="232"/>
      <c r="GS8" s="232"/>
      <c r="GT8" s="232"/>
      <c r="GU8" s="232"/>
      <c r="GV8" s="232"/>
      <c r="GW8" s="232"/>
      <c r="GX8" s="232"/>
      <c r="GY8" s="232"/>
      <c r="GZ8" s="232"/>
      <c r="HA8" s="232"/>
      <c r="HB8" s="232"/>
      <c r="HC8" s="232"/>
      <c r="HD8" s="232"/>
      <c r="HE8" s="232"/>
      <c r="HF8" s="232"/>
      <c r="HG8" s="232"/>
      <c r="HH8" s="232"/>
      <c r="HI8" s="232"/>
      <c r="HJ8" s="232"/>
      <c r="HK8" s="232"/>
      <c r="HL8" s="232"/>
      <c r="HM8" s="232"/>
      <c r="HN8" s="232"/>
      <c r="HO8" s="232"/>
      <c r="HP8" s="232"/>
      <c r="HQ8" s="232"/>
      <c r="HR8" s="232"/>
      <c r="HS8" s="232"/>
      <c r="HT8" s="232"/>
      <c r="HU8" s="232"/>
      <c r="HV8" s="232"/>
      <c r="HW8" s="232"/>
      <c r="HX8" s="232"/>
      <c r="HY8" s="232"/>
      <c r="HZ8" s="232"/>
      <c r="IA8" s="232"/>
      <c r="IB8" s="232"/>
      <c r="IC8" s="232"/>
    </row>
    <row r="9" spans="1:237" ht="15.6" customHeight="1">
      <c r="A9" s="239" t="s">
        <v>939</v>
      </c>
      <c r="B9" s="228">
        <v>11253348000</v>
      </c>
      <c r="C9" s="228">
        <v>12328675000</v>
      </c>
      <c r="D9" s="228">
        <v>12555624000</v>
      </c>
      <c r="E9" s="228">
        <v>13052887000</v>
      </c>
      <c r="F9" s="228">
        <v>14105766000</v>
      </c>
      <c r="G9" s="228">
        <v>15226471000</v>
      </c>
      <c r="H9" s="647">
        <f>ROUND(172944264.74+1634338.44+14076560.05+-12000+-2591+85344535.6+47636381.35+1347009257.04+-1782372432.02+1926281006.61+13205120102.82+-16589175.92+245232938.82+137254190.49+-31965054.43,-3)</f>
        <v>15351592000</v>
      </c>
      <c r="I9" s="228">
        <v>17237352000</v>
      </c>
      <c r="J9" s="312"/>
      <c r="K9" s="241">
        <f t="shared" si="0"/>
        <v>0.12283807438342542</v>
      </c>
      <c r="L9" s="907"/>
      <c r="M9" s="897"/>
      <c r="N9" s="897"/>
      <c r="O9" s="897"/>
      <c r="P9" s="897"/>
      <c r="Q9" s="908"/>
      <c r="R9" s="899"/>
      <c r="S9" s="909"/>
      <c r="T9" s="899"/>
      <c r="U9" s="899"/>
      <c r="V9" s="899"/>
      <c r="W9" s="906"/>
      <c r="X9" s="906"/>
      <c r="Y9" s="906"/>
      <c r="Z9" s="906"/>
      <c r="AF9" s="899"/>
      <c r="AG9" s="899"/>
      <c r="AH9" s="899"/>
      <c r="AI9" s="899"/>
      <c r="AJ9" s="899"/>
      <c r="AK9" s="899"/>
      <c r="AL9" s="899"/>
      <c r="AM9" s="232"/>
      <c r="AN9" s="232"/>
      <c r="AO9" s="232"/>
      <c r="AP9" s="232"/>
      <c r="AQ9" s="232"/>
      <c r="AR9" s="232"/>
      <c r="AS9" s="232"/>
      <c r="AT9" s="232"/>
      <c r="AU9" s="232"/>
      <c r="AV9" s="232"/>
      <c r="AW9" s="232"/>
      <c r="AX9" s="232"/>
      <c r="AY9" s="232"/>
      <c r="AZ9" s="232"/>
      <c r="BA9" s="232"/>
      <c r="BB9" s="232"/>
      <c r="BC9" s="232"/>
      <c r="BD9" s="232"/>
      <c r="BE9" s="232"/>
      <c r="BF9" s="232"/>
      <c r="BG9" s="232"/>
      <c r="BH9" s="232"/>
      <c r="BI9" s="232"/>
      <c r="BJ9" s="232"/>
      <c r="BK9" s="232"/>
      <c r="BL9" s="232"/>
      <c r="BM9" s="232"/>
      <c r="BN9" s="232"/>
      <c r="BO9" s="232"/>
      <c r="BP9" s="232"/>
      <c r="BQ9" s="232"/>
      <c r="BR9" s="232"/>
      <c r="BS9" s="232"/>
      <c r="BT9" s="232"/>
      <c r="BU9" s="232"/>
      <c r="BV9" s="232"/>
      <c r="BW9" s="232"/>
      <c r="BX9" s="232"/>
      <c r="BY9" s="232"/>
      <c r="BZ9" s="232"/>
      <c r="CA9" s="232"/>
      <c r="CB9" s="232"/>
      <c r="CC9" s="232"/>
      <c r="CD9" s="232"/>
      <c r="CE9" s="232"/>
      <c r="CF9" s="232"/>
      <c r="CG9" s="232"/>
      <c r="CH9" s="232"/>
      <c r="CI9" s="232"/>
      <c r="CJ9" s="232"/>
      <c r="CK9" s="232"/>
      <c r="CL9" s="232"/>
      <c r="CM9" s="232"/>
      <c r="CN9" s="232"/>
      <c r="CO9" s="232"/>
      <c r="CP9" s="232"/>
      <c r="CQ9" s="232"/>
      <c r="CR9" s="232"/>
      <c r="CS9" s="232"/>
      <c r="CT9" s="232"/>
      <c r="CU9" s="232"/>
      <c r="CV9" s="232"/>
      <c r="CW9" s="232"/>
      <c r="CX9" s="232"/>
      <c r="CY9" s="232"/>
      <c r="CZ9" s="232"/>
      <c r="DA9" s="232"/>
      <c r="DB9" s="232"/>
      <c r="DC9" s="232"/>
      <c r="DD9" s="232"/>
      <c r="DE9" s="232"/>
      <c r="DF9" s="232"/>
      <c r="DG9" s="232"/>
      <c r="DH9" s="232"/>
      <c r="DI9" s="232"/>
      <c r="DJ9" s="232"/>
      <c r="DK9" s="232"/>
      <c r="DL9" s="232"/>
      <c r="DM9" s="232"/>
      <c r="DN9" s="232"/>
      <c r="DO9" s="232"/>
      <c r="DP9" s="232"/>
      <c r="DQ9" s="232"/>
      <c r="DR9" s="232"/>
      <c r="DS9" s="232"/>
      <c r="DT9" s="232"/>
      <c r="DU9" s="232"/>
      <c r="DV9" s="232"/>
      <c r="DW9" s="232"/>
      <c r="DX9" s="232"/>
      <c r="DY9" s="232"/>
      <c r="DZ9" s="232"/>
      <c r="EA9" s="232"/>
      <c r="EB9" s="232"/>
      <c r="EC9" s="232"/>
      <c r="ED9" s="232"/>
      <c r="EE9" s="232"/>
      <c r="EF9" s="232"/>
      <c r="EG9" s="232"/>
      <c r="EH9" s="232"/>
      <c r="EI9" s="232"/>
      <c r="EJ9" s="232"/>
      <c r="EK9" s="232"/>
      <c r="EL9" s="232"/>
      <c r="EM9" s="232"/>
      <c r="EN9" s="232"/>
      <c r="EO9" s="232"/>
      <c r="EP9" s="232"/>
      <c r="EQ9" s="232"/>
      <c r="ER9" s="232"/>
      <c r="ES9" s="232"/>
      <c r="ET9" s="232"/>
      <c r="EU9" s="232"/>
      <c r="EV9" s="232"/>
      <c r="EW9" s="232"/>
      <c r="EX9" s="232"/>
      <c r="EY9" s="232"/>
      <c r="EZ9" s="232"/>
      <c r="FA9" s="232"/>
      <c r="FB9" s="232"/>
      <c r="FC9" s="232"/>
      <c r="FD9" s="232"/>
      <c r="FE9" s="232"/>
      <c r="FF9" s="232"/>
      <c r="FG9" s="232"/>
      <c r="FH9" s="232"/>
      <c r="FI9" s="232"/>
      <c r="FJ9" s="232"/>
      <c r="FK9" s="232"/>
      <c r="FL9" s="232"/>
      <c r="FM9" s="232"/>
      <c r="FN9" s="232"/>
      <c r="FO9" s="232"/>
      <c r="FP9" s="232"/>
      <c r="FQ9" s="232"/>
      <c r="FR9" s="232"/>
      <c r="FS9" s="232"/>
      <c r="FT9" s="232"/>
      <c r="FU9" s="232"/>
      <c r="FV9" s="232"/>
      <c r="FW9" s="232"/>
      <c r="FX9" s="232"/>
      <c r="FY9" s="232"/>
      <c r="FZ9" s="232"/>
      <c r="GA9" s="232"/>
      <c r="GB9" s="232"/>
      <c r="GC9" s="232"/>
      <c r="GD9" s="232"/>
      <c r="GE9" s="232"/>
      <c r="GF9" s="232"/>
      <c r="GG9" s="232"/>
      <c r="GH9" s="232"/>
      <c r="GI9" s="232"/>
      <c r="GJ9" s="232"/>
      <c r="GK9" s="232"/>
      <c r="GL9" s="232"/>
      <c r="GM9" s="232"/>
      <c r="GN9" s="232"/>
      <c r="GO9" s="232"/>
      <c r="GP9" s="232"/>
      <c r="GQ9" s="232"/>
      <c r="GR9" s="232"/>
      <c r="GS9" s="232"/>
      <c r="GT9" s="232"/>
      <c r="GU9" s="232"/>
      <c r="GV9" s="232"/>
      <c r="GW9" s="232"/>
      <c r="GX9" s="232"/>
      <c r="GY9" s="232"/>
      <c r="GZ9" s="232"/>
      <c r="HA9" s="232"/>
      <c r="HB9" s="232"/>
      <c r="HC9" s="232"/>
      <c r="HD9" s="232"/>
      <c r="HE9" s="232"/>
      <c r="HF9" s="232"/>
      <c r="HG9" s="232"/>
      <c r="HH9" s="232"/>
      <c r="HI9" s="232"/>
      <c r="HJ9" s="232"/>
      <c r="HK9" s="232"/>
      <c r="HL9" s="232"/>
      <c r="HM9" s="232"/>
      <c r="HN9" s="232"/>
      <c r="HO9" s="232"/>
      <c r="HP9" s="232"/>
      <c r="HQ9" s="232"/>
      <c r="HR9" s="232"/>
      <c r="HS9" s="232"/>
      <c r="HT9" s="232"/>
      <c r="HU9" s="232"/>
      <c r="HV9" s="232"/>
      <c r="HW9" s="232"/>
      <c r="HX9" s="232"/>
      <c r="HY9" s="232"/>
      <c r="HZ9" s="232"/>
      <c r="IA9" s="232"/>
      <c r="IB9" s="232"/>
      <c r="IC9" s="232"/>
    </row>
    <row r="10" spans="1:237" ht="15.6" customHeight="1">
      <c r="A10" s="239" t="s">
        <v>952</v>
      </c>
      <c r="B10" s="228"/>
      <c r="C10" s="228"/>
      <c r="D10" s="228"/>
      <c r="E10" s="228"/>
      <c r="F10" s="228"/>
      <c r="G10" s="228">
        <v>191000</v>
      </c>
      <c r="H10" s="311">
        <f>ROUND(10996+69278.18,-3)</f>
        <v>80000</v>
      </c>
      <c r="I10" s="228">
        <v>810000</v>
      </c>
      <c r="J10" s="312"/>
      <c r="K10" s="247">
        <f t="shared" si="0"/>
        <v>9.125</v>
      </c>
      <c r="L10" s="910"/>
      <c r="M10" s="897"/>
      <c r="N10" s="897"/>
      <c r="O10" s="897"/>
      <c r="P10" s="897"/>
      <c r="Q10" s="908"/>
      <c r="R10" s="899"/>
      <c r="S10" s="909"/>
      <c r="T10" s="899"/>
      <c r="U10" s="899"/>
      <c r="V10" s="899"/>
      <c r="Z10" s="906"/>
      <c r="AA10" s="899"/>
      <c r="AB10" s="899"/>
      <c r="AC10" s="899"/>
      <c r="AD10" s="899"/>
      <c r="AE10" s="899"/>
      <c r="AF10" s="899"/>
      <c r="AG10" s="899"/>
      <c r="AH10" s="899"/>
      <c r="AI10" s="899"/>
      <c r="AJ10" s="899"/>
      <c r="AK10" s="899"/>
      <c r="AL10" s="899"/>
      <c r="AM10" s="232"/>
      <c r="AN10" s="232"/>
      <c r="AO10" s="232"/>
      <c r="AP10" s="232"/>
      <c r="AQ10" s="232"/>
      <c r="AR10" s="232"/>
      <c r="AS10" s="232"/>
      <c r="AT10" s="232"/>
      <c r="AU10" s="232"/>
      <c r="AV10" s="232"/>
      <c r="AW10" s="232"/>
      <c r="AX10" s="232"/>
      <c r="AY10" s="232"/>
      <c r="AZ10" s="232"/>
      <c r="BA10" s="232"/>
      <c r="BB10" s="232"/>
      <c r="BC10" s="232"/>
      <c r="BD10" s="232"/>
      <c r="BE10" s="232"/>
      <c r="BF10" s="232"/>
      <c r="BG10" s="232"/>
      <c r="BH10" s="232"/>
      <c r="BI10" s="232"/>
      <c r="BJ10" s="232"/>
      <c r="BK10" s="232"/>
      <c r="BL10" s="232"/>
      <c r="BM10" s="232"/>
      <c r="BN10" s="232"/>
      <c r="BO10" s="232"/>
      <c r="BP10" s="232"/>
      <c r="BQ10" s="232"/>
      <c r="BR10" s="232"/>
      <c r="BS10" s="232"/>
      <c r="BT10" s="232"/>
      <c r="BU10" s="232"/>
      <c r="BV10" s="232"/>
      <c r="BW10" s="232"/>
      <c r="BX10" s="232"/>
      <c r="BY10" s="232"/>
      <c r="BZ10" s="232"/>
      <c r="CA10" s="232"/>
      <c r="CB10" s="232"/>
      <c r="CC10" s="232"/>
      <c r="CD10" s="232"/>
      <c r="CE10" s="232"/>
      <c r="CF10" s="232"/>
      <c r="CG10" s="232"/>
      <c r="CH10" s="232"/>
      <c r="CI10" s="232"/>
      <c r="CJ10" s="232"/>
      <c r="CK10" s="232"/>
      <c r="CL10" s="232"/>
      <c r="CM10" s="232"/>
      <c r="CN10" s="232"/>
      <c r="CO10" s="232"/>
      <c r="CP10" s="232"/>
      <c r="CQ10" s="232"/>
      <c r="CR10" s="232"/>
      <c r="CS10" s="232"/>
      <c r="CT10" s="232"/>
      <c r="CU10" s="232"/>
      <c r="CV10" s="232"/>
      <c r="CW10" s="232"/>
      <c r="CX10" s="232"/>
      <c r="CY10" s="232"/>
      <c r="CZ10" s="232"/>
      <c r="DA10" s="232"/>
      <c r="DB10" s="232"/>
      <c r="DC10" s="232"/>
      <c r="DD10" s="232"/>
      <c r="DE10" s="232"/>
      <c r="DF10" s="232"/>
      <c r="DG10" s="232"/>
      <c r="DH10" s="232"/>
      <c r="DI10" s="232"/>
      <c r="DJ10" s="232"/>
      <c r="DK10" s="232"/>
      <c r="DL10" s="232"/>
      <c r="DM10" s="232"/>
      <c r="DN10" s="232"/>
      <c r="DO10" s="232"/>
      <c r="DP10" s="232"/>
      <c r="DQ10" s="232"/>
      <c r="DR10" s="232"/>
      <c r="DS10" s="232"/>
      <c r="DT10" s="232"/>
      <c r="DU10" s="232"/>
      <c r="DV10" s="232"/>
      <c r="DW10" s="232"/>
      <c r="DX10" s="232"/>
      <c r="DY10" s="232"/>
      <c r="DZ10" s="232"/>
      <c r="EA10" s="232"/>
      <c r="EB10" s="232"/>
      <c r="EC10" s="232"/>
      <c r="ED10" s="232"/>
      <c r="EE10" s="232"/>
      <c r="EF10" s="232"/>
      <c r="EG10" s="232"/>
      <c r="EH10" s="232"/>
      <c r="EI10" s="232"/>
      <c r="EJ10" s="232"/>
      <c r="EK10" s="232"/>
      <c r="EL10" s="232"/>
      <c r="EM10" s="232"/>
      <c r="EN10" s="232"/>
      <c r="EO10" s="232"/>
      <c r="EP10" s="232"/>
      <c r="EQ10" s="232"/>
      <c r="ER10" s="232"/>
      <c r="ES10" s="232"/>
      <c r="ET10" s="232"/>
      <c r="EU10" s="232"/>
      <c r="EV10" s="232"/>
      <c r="EW10" s="232"/>
      <c r="EX10" s="232"/>
      <c r="EY10" s="232"/>
      <c r="EZ10" s="232"/>
      <c r="FA10" s="232"/>
      <c r="FB10" s="232"/>
      <c r="FC10" s="232"/>
      <c r="FD10" s="232"/>
      <c r="FE10" s="232"/>
      <c r="FF10" s="232"/>
      <c r="FG10" s="232"/>
      <c r="FH10" s="232"/>
      <c r="FI10" s="232"/>
      <c r="FJ10" s="232"/>
      <c r="FK10" s="232"/>
      <c r="FL10" s="232"/>
      <c r="FM10" s="232"/>
      <c r="FN10" s="232"/>
      <c r="FO10" s="232"/>
      <c r="FP10" s="232"/>
      <c r="FQ10" s="232"/>
      <c r="FR10" s="232"/>
      <c r="FS10" s="232"/>
      <c r="FT10" s="232"/>
      <c r="FU10" s="232"/>
      <c r="FV10" s="232"/>
      <c r="FW10" s="232"/>
      <c r="FX10" s="232"/>
      <c r="FY10" s="232"/>
      <c r="FZ10" s="232"/>
      <c r="GA10" s="232"/>
      <c r="GB10" s="232"/>
      <c r="GC10" s="232"/>
      <c r="GD10" s="232"/>
      <c r="GE10" s="232"/>
      <c r="GF10" s="232"/>
      <c r="GG10" s="232"/>
      <c r="GH10" s="232"/>
      <c r="GI10" s="232"/>
      <c r="GJ10" s="232"/>
      <c r="GK10" s="232"/>
      <c r="GL10" s="232"/>
      <c r="GM10" s="232"/>
      <c r="GN10" s="232"/>
      <c r="GO10" s="232"/>
      <c r="GP10" s="232"/>
      <c r="GQ10" s="232"/>
      <c r="GR10" s="232"/>
      <c r="GS10" s="232"/>
      <c r="GT10" s="232"/>
      <c r="GU10" s="232"/>
      <c r="GV10" s="232"/>
      <c r="GW10" s="232"/>
      <c r="GX10" s="232"/>
      <c r="GY10" s="232"/>
      <c r="GZ10" s="232"/>
      <c r="HA10" s="232"/>
      <c r="HB10" s="232"/>
      <c r="HC10" s="232"/>
      <c r="HD10" s="232"/>
      <c r="HE10" s="232"/>
      <c r="HF10" s="232"/>
      <c r="HG10" s="232"/>
      <c r="HH10" s="232"/>
      <c r="HI10" s="232"/>
      <c r="HJ10" s="232"/>
      <c r="HK10" s="232"/>
      <c r="HL10" s="232"/>
      <c r="HM10" s="232"/>
      <c r="HN10" s="232"/>
      <c r="HO10" s="232"/>
      <c r="HP10" s="232"/>
      <c r="HQ10" s="232"/>
      <c r="HR10" s="232"/>
      <c r="HS10" s="232"/>
      <c r="HT10" s="232"/>
      <c r="HU10" s="232"/>
      <c r="HV10" s="232"/>
      <c r="HW10" s="232"/>
      <c r="HX10" s="232"/>
      <c r="HY10" s="232"/>
      <c r="HZ10" s="232"/>
      <c r="IA10" s="232"/>
      <c r="IB10" s="232"/>
      <c r="IC10" s="232"/>
    </row>
    <row r="11" spans="1:237" ht="15.6" customHeight="1">
      <c r="A11" s="239" t="s">
        <v>321</v>
      </c>
      <c r="B11" s="228"/>
      <c r="C11" s="228"/>
      <c r="D11" s="228"/>
      <c r="E11" s="228"/>
      <c r="F11" s="228"/>
      <c r="G11" s="228">
        <v>372107000</v>
      </c>
      <c r="H11" s="228">
        <f>ROUND(39715917.44+-6507.25+-48621.15+487130322.81+-59669923.88,-3)</f>
        <v>467121000</v>
      </c>
      <c r="I11" s="228">
        <v>656756000</v>
      </c>
      <c r="J11" s="312"/>
      <c r="K11" s="313">
        <f t="shared" si="0"/>
        <v>0.4059654778954489</v>
      </c>
      <c r="L11" s="907"/>
      <c r="M11" s="897"/>
      <c r="N11" s="897"/>
      <c r="O11" s="897"/>
      <c r="P11" s="897"/>
      <c r="Q11" s="908"/>
      <c r="R11" s="899"/>
      <c r="S11" s="909"/>
      <c r="T11" s="899"/>
      <c r="U11" s="899"/>
      <c r="V11" s="899"/>
      <c r="W11" s="899"/>
      <c r="X11" s="899"/>
      <c r="Y11" s="899"/>
      <c r="Z11" s="899"/>
      <c r="AA11" s="899"/>
      <c r="AB11" s="899"/>
      <c r="AC11" s="899"/>
      <c r="AD11" s="899"/>
      <c r="AE11" s="899"/>
      <c r="AF11" s="899"/>
      <c r="AG11" s="899"/>
      <c r="AH11" s="899"/>
      <c r="AI11" s="899"/>
      <c r="AJ11" s="899"/>
      <c r="AK11" s="899"/>
      <c r="AL11" s="899"/>
      <c r="AM11" s="232"/>
      <c r="AN11" s="232"/>
      <c r="AO11" s="232"/>
      <c r="AP11" s="232"/>
      <c r="AQ11" s="232"/>
      <c r="AR11" s="232"/>
      <c r="AS11" s="232"/>
      <c r="AT11" s="232"/>
      <c r="AU11" s="232"/>
      <c r="AV11" s="232"/>
      <c r="AW11" s="232"/>
      <c r="AX11" s="232"/>
      <c r="AY11" s="232"/>
      <c r="AZ11" s="232"/>
      <c r="BA11" s="232"/>
      <c r="BB11" s="232"/>
      <c r="BC11" s="232"/>
      <c r="BD11" s="232"/>
      <c r="BE11" s="232"/>
      <c r="BF11" s="232"/>
      <c r="BG11" s="232"/>
      <c r="BH11" s="232"/>
      <c r="BI11" s="232"/>
      <c r="BJ11" s="232"/>
      <c r="BK11" s="232"/>
      <c r="BL11" s="232"/>
      <c r="BM11" s="232"/>
      <c r="BN11" s="232"/>
      <c r="BO11" s="232"/>
      <c r="BP11" s="232"/>
      <c r="BQ11" s="232"/>
      <c r="BR11" s="232"/>
      <c r="BS11" s="232"/>
      <c r="BT11" s="232"/>
      <c r="BU11" s="232"/>
      <c r="BV11" s="232"/>
      <c r="BW11" s="232"/>
      <c r="BX11" s="232"/>
      <c r="BY11" s="232"/>
      <c r="BZ11" s="232"/>
      <c r="CA11" s="232"/>
      <c r="CB11" s="232"/>
      <c r="CC11" s="232"/>
      <c r="CD11" s="232"/>
      <c r="CE11" s="232"/>
      <c r="CF11" s="232"/>
      <c r="CG11" s="232"/>
      <c r="CH11" s="232"/>
      <c r="CI11" s="232"/>
      <c r="CJ11" s="232"/>
      <c r="CK11" s="232"/>
      <c r="CL11" s="232"/>
      <c r="CM11" s="232"/>
      <c r="CN11" s="232"/>
      <c r="CO11" s="232"/>
      <c r="CP11" s="232"/>
      <c r="CQ11" s="232"/>
      <c r="CR11" s="232"/>
      <c r="CS11" s="232"/>
      <c r="CT11" s="232"/>
      <c r="CU11" s="232"/>
      <c r="CV11" s="232"/>
      <c r="CW11" s="232"/>
      <c r="CX11" s="232"/>
      <c r="CY11" s="232"/>
      <c r="CZ11" s="232"/>
      <c r="DA11" s="232"/>
      <c r="DB11" s="232"/>
      <c r="DC11" s="232"/>
      <c r="DD11" s="232"/>
      <c r="DE11" s="232"/>
      <c r="DF11" s="232"/>
      <c r="DG11" s="232"/>
      <c r="DH11" s="232"/>
      <c r="DI11" s="232"/>
      <c r="DJ11" s="232"/>
      <c r="DK11" s="232"/>
      <c r="DL11" s="232"/>
      <c r="DM11" s="232"/>
      <c r="DN11" s="232"/>
      <c r="DO11" s="232"/>
      <c r="DP11" s="232"/>
      <c r="DQ11" s="232"/>
      <c r="DR11" s="232"/>
      <c r="DS11" s="232"/>
      <c r="DT11" s="232"/>
      <c r="DU11" s="232"/>
      <c r="DV11" s="232"/>
      <c r="DW11" s="232"/>
      <c r="DX11" s="232"/>
      <c r="DY11" s="232"/>
      <c r="DZ11" s="232"/>
      <c r="EA11" s="232"/>
      <c r="EB11" s="232"/>
      <c r="EC11" s="232"/>
      <c r="ED11" s="232"/>
      <c r="EE11" s="232"/>
      <c r="EF11" s="232"/>
      <c r="EG11" s="232"/>
      <c r="EH11" s="232"/>
      <c r="EI11" s="232"/>
      <c r="EJ11" s="232"/>
      <c r="EK11" s="232"/>
      <c r="EL11" s="232"/>
      <c r="EM11" s="232"/>
      <c r="EN11" s="232"/>
      <c r="EO11" s="232"/>
      <c r="EP11" s="232"/>
      <c r="EQ11" s="232"/>
      <c r="ER11" s="232"/>
      <c r="ES11" s="232"/>
      <c r="ET11" s="232"/>
      <c r="EU11" s="232"/>
      <c r="EV11" s="232"/>
      <c r="EW11" s="232"/>
      <c r="EX11" s="232"/>
      <c r="EY11" s="232"/>
      <c r="EZ11" s="232"/>
      <c r="FA11" s="232"/>
      <c r="FB11" s="232"/>
      <c r="FC11" s="232"/>
      <c r="FD11" s="232"/>
      <c r="FE11" s="232"/>
      <c r="FF11" s="232"/>
      <c r="FG11" s="232"/>
      <c r="FH11" s="232"/>
      <c r="FI11" s="232"/>
      <c r="FJ11" s="232"/>
      <c r="FK11" s="232"/>
      <c r="FL11" s="232"/>
      <c r="FM11" s="232"/>
      <c r="FN11" s="232"/>
      <c r="FO11" s="232"/>
      <c r="FP11" s="232"/>
      <c r="FQ11" s="232"/>
      <c r="FR11" s="232"/>
      <c r="FS11" s="232"/>
      <c r="FT11" s="232"/>
      <c r="FU11" s="232"/>
      <c r="FV11" s="232"/>
      <c r="FW11" s="232"/>
      <c r="FX11" s="232"/>
      <c r="FY11" s="232"/>
      <c r="FZ11" s="232"/>
      <c r="GA11" s="232"/>
      <c r="GB11" s="232"/>
      <c r="GC11" s="232"/>
      <c r="GD11" s="232"/>
      <c r="GE11" s="232"/>
      <c r="GF11" s="232"/>
      <c r="GG11" s="232"/>
      <c r="GH11" s="232"/>
      <c r="GI11" s="232"/>
      <c r="GJ11" s="232"/>
      <c r="GK11" s="232"/>
      <c r="GL11" s="232"/>
      <c r="GM11" s="232"/>
      <c r="GN11" s="232"/>
      <c r="GO11" s="232"/>
      <c r="GP11" s="232"/>
      <c r="GQ11" s="232"/>
      <c r="GR11" s="232"/>
      <c r="GS11" s="232"/>
      <c r="GT11" s="232"/>
      <c r="GU11" s="232"/>
      <c r="GV11" s="232"/>
      <c r="GW11" s="232"/>
      <c r="GX11" s="232"/>
      <c r="GY11" s="232"/>
      <c r="GZ11" s="232"/>
      <c r="HA11" s="232"/>
      <c r="HB11" s="232"/>
      <c r="HC11" s="232"/>
      <c r="HD11" s="232"/>
      <c r="HE11" s="232"/>
      <c r="HF11" s="232"/>
      <c r="HG11" s="232"/>
      <c r="HH11" s="232"/>
      <c r="HI11" s="232"/>
      <c r="HJ11" s="232"/>
      <c r="HK11" s="232"/>
      <c r="HL11" s="232"/>
      <c r="HM11" s="232"/>
      <c r="HN11" s="232"/>
      <c r="HO11" s="232"/>
      <c r="HP11" s="232"/>
      <c r="HQ11" s="232"/>
      <c r="HR11" s="232"/>
      <c r="HS11" s="232"/>
      <c r="HT11" s="232"/>
      <c r="HU11" s="232"/>
      <c r="HV11" s="232"/>
      <c r="HW11" s="232"/>
      <c r="HX11" s="232"/>
      <c r="HY11" s="232"/>
      <c r="HZ11" s="232"/>
      <c r="IA11" s="232"/>
      <c r="IB11" s="232"/>
      <c r="IC11" s="232"/>
    </row>
    <row r="12" spans="1:237" ht="15.6" customHeight="1">
      <c r="A12" s="239" t="s">
        <v>322</v>
      </c>
      <c r="B12" s="228"/>
      <c r="C12" s="228"/>
      <c r="D12" s="228"/>
      <c r="E12" s="228"/>
      <c r="F12" s="228"/>
      <c r="G12" s="228">
        <v>6738000</v>
      </c>
      <c r="H12" s="228">
        <f>ROUND(6074046.59+-46849.18+0+560500.22,-3)</f>
        <v>6588000</v>
      </c>
      <c r="I12" s="228">
        <v>7769000</v>
      </c>
      <c r="K12" s="241">
        <f t="shared" si="0"/>
        <v>0.17926533090467522</v>
      </c>
      <c r="L12" s="907"/>
      <c r="M12" s="897"/>
      <c r="N12" s="897"/>
      <c r="O12" s="897"/>
      <c r="P12" s="897"/>
      <c r="Q12" s="908"/>
      <c r="R12" s="899"/>
      <c r="S12" s="909"/>
      <c r="T12" s="899"/>
      <c r="U12" s="899"/>
      <c r="V12" s="899"/>
      <c r="W12" s="906"/>
      <c r="X12" s="899"/>
      <c r="Y12" s="899"/>
      <c r="Z12" s="899"/>
      <c r="AA12" s="899"/>
      <c r="AB12" s="899"/>
      <c r="AC12" s="899"/>
      <c r="AD12" s="899"/>
      <c r="AE12" s="899"/>
      <c r="AF12" s="899"/>
      <c r="AG12" s="899"/>
      <c r="AH12" s="899"/>
      <c r="AI12" s="899"/>
      <c r="AJ12" s="899"/>
      <c r="AK12" s="899"/>
      <c r="AL12" s="899"/>
      <c r="AM12" s="232"/>
      <c r="AN12" s="232"/>
      <c r="AO12" s="232"/>
      <c r="AP12" s="232"/>
      <c r="AQ12" s="232"/>
      <c r="AR12" s="232"/>
      <c r="AS12" s="232"/>
      <c r="AT12" s="232"/>
      <c r="AU12" s="232"/>
      <c r="AV12" s="232"/>
      <c r="AW12" s="232"/>
      <c r="AX12" s="232"/>
      <c r="AY12" s="232"/>
      <c r="AZ12" s="232"/>
      <c r="BA12" s="232"/>
      <c r="BB12" s="232"/>
      <c r="BC12" s="232"/>
      <c r="BD12" s="232"/>
      <c r="BE12" s="232"/>
      <c r="BF12" s="232"/>
      <c r="BG12" s="232"/>
      <c r="BH12" s="232"/>
      <c r="BI12" s="232"/>
      <c r="BJ12" s="232"/>
      <c r="BK12" s="232"/>
      <c r="BL12" s="232"/>
      <c r="BM12" s="232"/>
      <c r="BN12" s="232"/>
      <c r="BO12" s="232"/>
      <c r="BP12" s="232"/>
      <c r="BQ12" s="232"/>
      <c r="BR12" s="232"/>
      <c r="BS12" s="232"/>
      <c r="BT12" s="232"/>
      <c r="BU12" s="232"/>
      <c r="BV12" s="232"/>
      <c r="BW12" s="232"/>
      <c r="BX12" s="232"/>
      <c r="BY12" s="232"/>
      <c r="BZ12" s="232"/>
      <c r="CA12" s="232"/>
      <c r="CB12" s="232"/>
      <c r="CC12" s="232"/>
      <c r="CD12" s="232"/>
      <c r="CE12" s="232"/>
      <c r="CF12" s="232"/>
      <c r="CG12" s="232"/>
      <c r="CH12" s="232"/>
      <c r="CI12" s="232"/>
      <c r="CJ12" s="232"/>
      <c r="CK12" s="232"/>
      <c r="CL12" s="232"/>
      <c r="CM12" s="232"/>
      <c r="CN12" s="232"/>
      <c r="CO12" s="232"/>
      <c r="CP12" s="232"/>
      <c r="CQ12" s="232"/>
      <c r="CR12" s="232"/>
      <c r="CS12" s="232"/>
      <c r="CT12" s="232"/>
      <c r="CU12" s="232"/>
      <c r="CV12" s="232"/>
      <c r="CW12" s="232"/>
      <c r="CX12" s="232"/>
      <c r="CY12" s="232"/>
      <c r="CZ12" s="232"/>
      <c r="DA12" s="232"/>
      <c r="DB12" s="232"/>
      <c r="DC12" s="232"/>
      <c r="DD12" s="232"/>
      <c r="DE12" s="232"/>
      <c r="DF12" s="232"/>
      <c r="DG12" s="232"/>
      <c r="DH12" s="232"/>
      <c r="DI12" s="232"/>
      <c r="DJ12" s="232"/>
      <c r="DK12" s="232"/>
      <c r="DL12" s="232"/>
      <c r="DM12" s="232"/>
      <c r="DN12" s="232"/>
      <c r="DO12" s="232"/>
      <c r="DP12" s="232"/>
      <c r="DQ12" s="232"/>
      <c r="DR12" s="232"/>
      <c r="DS12" s="232"/>
      <c r="DT12" s="232"/>
      <c r="DU12" s="232"/>
      <c r="DV12" s="232"/>
      <c r="DW12" s="232"/>
      <c r="DX12" s="232"/>
      <c r="DY12" s="232"/>
      <c r="DZ12" s="232"/>
      <c r="EA12" s="232"/>
      <c r="EB12" s="232"/>
      <c r="EC12" s="232"/>
      <c r="ED12" s="232"/>
      <c r="EE12" s="232"/>
      <c r="EF12" s="232"/>
      <c r="EG12" s="232"/>
      <c r="EH12" s="232"/>
      <c r="EI12" s="232"/>
      <c r="EJ12" s="232"/>
      <c r="EK12" s="232"/>
      <c r="EL12" s="232"/>
      <c r="EM12" s="232"/>
      <c r="EN12" s="232"/>
      <c r="EO12" s="232"/>
      <c r="EP12" s="232"/>
      <c r="EQ12" s="232"/>
      <c r="ER12" s="232"/>
      <c r="ES12" s="232"/>
      <c r="ET12" s="232"/>
      <c r="EU12" s="232"/>
      <c r="EV12" s="232"/>
      <c r="EW12" s="232"/>
      <c r="EX12" s="232"/>
      <c r="EY12" s="232"/>
      <c r="EZ12" s="232"/>
      <c r="FA12" s="232"/>
      <c r="FB12" s="232"/>
      <c r="FC12" s="232"/>
      <c r="FD12" s="232"/>
      <c r="FE12" s="232"/>
      <c r="FF12" s="232"/>
      <c r="FG12" s="232"/>
      <c r="FH12" s="232"/>
      <c r="FI12" s="232"/>
      <c r="FJ12" s="232"/>
      <c r="FK12" s="232"/>
      <c r="FL12" s="232"/>
      <c r="FM12" s="232"/>
      <c r="FN12" s="232"/>
      <c r="FO12" s="232"/>
      <c r="FP12" s="232"/>
      <c r="FQ12" s="232"/>
      <c r="FR12" s="232"/>
      <c r="FS12" s="232"/>
      <c r="FT12" s="232"/>
      <c r="FU12" s="232"/>
      <c r="FV12" s="232"/>
      <c r="FW12" s="232"/>
      <c r="FX12" s="232"/>
      <c r="FY12" s="232"/>
      <c r="FZ12" s="232"/>
      <c r="GA12" s="232"/>
      <c r="GB12" s="232"/>
      <c r="GC12" s="232"/>
      <c r="GD12" s="232"/>
      <c r="GE12" s="232"/>
      <c r="GF12" s="232"/>
      <c r="GG12" s="232"/>
      <c r="GH12" s="232"/>
      <c r="GI12" s="232"/>
      <c r="GJ12" s="232"/>
      <c r="GK12" s="232"/>
      <c r="GL12" s="232"/>
      <c r="GM12" s="232"/>
      <c r="GN12" s="232"/>
      <c r="GO12" s="232"/>
      <c r="GP12" s="232"/>
      <c r="GQ12" s="232"/>
      <c r="GR12" s="232"/>
      <c r="GS12" s="232"/>
      <c r="GT12" s="232"/>
      <c r="GU12" s="232"/>
      <c r="GV12" s="232"/>
      <c r="GW12" s="232"/>
      <c r="GX12" s="232"/>
      <c r="GY12" s="232"/>
      <c r="GZ12" s="232"/>
      <c r="HA12" s="232"/>
      <c r="HB12" s="232"/>
      <c r="HC12" s="232"/>
      <c r="HD12" s="232"/>
      <c r="HE12" s="232"/>
      <c r="HF12" s="232"/>
      <c r="HG12" s="232"/>
      <c r="HH12" s="232"/>
      <c r="HI12" s="232"/>
      <c r="HJ12" s="232"/>
      <c r="HK12" s="232"/>
      <c r="HL12" s="232"/>
      <c r="HM12" s="232"/>
      <c r="HN12" s="232"/>
      <c r="HO12" s="232"/>
      <c r="HP12" s="232"/>
      <c r="HQ12" s="232"/>
      <c r="HR12" s="232"/>
      <c r="HS12" s="232"/>
      <c r="HT12" s="232"/>
      <c r="HU12" s="232"/>
      <c r="HV12" s="232"/>
      <c r="HW12" s="232"/>
      <c r="HX12" s="232"/>
      <c r="HY12" s="232"/>
      <c r="HZ12" s="232"/>
      <c r="IA12" s="232"/>
      <c r="IB12" s="232"/>
      <c r="IC12" s="232"/>
    </row>
    <row r="13" spans="1:237" ht="15.6" customHeight="1">
      <c r="A13" s="239" t="s">
        <v>323</v>
      </c>
      <c r="B13" s="228">
        <v>3066456000</v>
      </c>
      <c r="C13" s="228">
        <v>3235444000</v>
      </c>
      <c r="D13" s="228">
        <v>3295853000</v>
      </c>
      <c r="E13" s="228">
        <v>3354561000</v>
      </c>
      <c r="F13" s="228">
        <v>3458249000</v>
      </c>
      <c r="G13" s="228">
        <v>3580355000</v>
      </c>
      <c r="H13" s="311">
        <f>ROUND(2683258.31+208033441.59+53040341.29+3169525635.96+-34441737.4+2478935.49+173593188.29+-5477492.26+540921001.82+-406044118.99+132233.73+2033538.76+338923.1,-3)</f>
        <v>3706817000</v>
      </c>
      <c r="I13" s="228">
        <v>4166182000</v>
      </c>
      <c r="K13" s="241">
        <f t="shared" si="0"/>
        <v>0.12392438040507536</v>
      </c>
      <c r="L13" s="907"/>
      <c r="M13" s="897"/>
      <c r="N13" s="897"/>
      <c r="O13" s="897"/>
      <c r="P13" s="897"/>
      <c r="Q13" s="908"/>
      <c r="R13" s="899"/>
      <c r="S13" s="909"/>
      <c r="T13" s="899"/>
      <c r="U13" s="899"/>
      <c r="V13" s="899"/>
      <c r="W13" s="899"/>
      <c r="X13" s="899"/>
      <c r="Y13" s="899"/>
      <c r="Z13" s="899"/>
      <c r="AA13" s="899"/>
      <c r="AB13" s="899"/>
      <c r="AC13" s="899"/>
      <c r="AD13" s="899"/>
      <c r="AE13" s="899"/>
      <c r="AF13" s="899"/>
      <c r="AG13" s="899"/>
      <c r="AH13" s="899"/>
      <c r="AI13" s="899"/>
      <c r="AJ13" s="899"/>
      <c r="AK13" s="899"/>
      <c r="AL13" s="899"/>
      <c r="AM13" s="232"/>
      <c r="AN13" s="232"/>
      <c r="AO13" s="232"/>
      <c r="AP13" s="232"/>
      <c r="AQ13" s="232"/>
      <c r="AR13" s="232"/>
      <c r="AS13" s="232"/>
      <c r="AT13" s="232"/>
      <c r="AU13" s="232"/>
      <c r="AV13" s="232"/>
      <c r="AW13" s="232"/>
      <c r="AX13" s="232"/>
      <c r="AY13" s="232"/>
      <c r="AZ13" s="232"/>
      <c r="BA13" s="232"/>
      <c r="BB13" s="232"/>
      <c r="BC13" s="232"/>
      <c r="BD13" s="232"/>
      <c r="BE13" s="232"/>
      <c r="BF13" s="232"/>
      <c r="BG13" s="232"/>
      <c r="BH13" s="232"/>
      <c r="BI13" s="232"/>
      <c r="BJ13" s="232"/>
      <c r="BK13" s="232"/>
      <c r="BL13" s="232"/>
      <c r="BM13" s="232"/>
      <c r="BN13" s="232"/>
      <c r="BO13" s="232"/>
      <c r="BP13" s="232"/>
      <c r="BQ13" s="232"/>
      <c r="BR13" s="232"/>
      <c r="BS13" s="232"/>
      <c r="BT13" s="232"/>
      <c r="BU13" s="232"/>
      <c r="BV13" s="232"/>
      <c r="BW13" s="232"/>
      <c r="BX13" s="232"/>
      <c r="BY13" s="232"/>
      <c r="BZ13" s="232"/>
      <c r="CA13" s="232"/>
      <c r="CB13" s="232"/>
      <c r="CC13" s="232"/>
      <c r="CD13" s="232"/>
      <c r="CE13" s="232"/>
      <c r="CF13" s="232"/>
      <c r="CG13" s="232"/>
      <c r="CH13" s="232"/>
      <c r="CI13" s="232"/>
      <c r="CJ13" s="232"/>
      <c r="CK13" s="232"/>
      <c r="CL13" s="232"/>
      <c r="CM13" s="232"/>
      <c r="CN13" s="232"/>
      <c r="CO13" s="232"/>
      <c r="CP13" s="232"/>
      <c r="CQ13" s="232"/>
      <c r="CR13" s="232"/>
      <c r="CS13" s="232"/>
      <c r="CT13" s="232"/>
      <c r="CU13" s="232"/>
      <c r="CV13" s="232"/>
      <c r="CW13" s="232"/>
      <c r="CX13" s="232"/>
      <c r="CY13" s="232"/>
      <c r="CZ13" s="232"/>
      <c r="DA13" s="232"/>
      <c r="DB13" s="232"/>
      <c r="DC13" s="232"/>
      <c r="DD13" s="232"/>
      <c r="DE13" s="232"/>
      <c r="DF13" s="232"/>
      <c r="DG13" s="232"/>
      <c r="DH13" s="232"/>
      <c r="DI13" s="232"/>
      <c r="DJ13" s="232"/>
      <c r="DK13" s="232"/>
      <c r="DL13" s="232"/>
      <c r="DM13" s="232"/>
      <c r="DN13" s="232"/>
      <c r="DO13" s="232"/>
      <c r="DP13" s="232"/>
      <c r="DQ13" s="232"/>
      <c r="DR13" s="232"/>
      <c r="DS13" s="232"/>
      <c r="DT13" s="232"/>
      <c r="DU13" s="232"/>
      <c r="DV13" s="232"/>
      <c r="DW13" s="232"/>
      <c r="DX13" s="232"/>
      <c r="DY13" s="232"/>
      <c r="DZ13" s="232"/>
      <c r="EA13" s="232"/>
      <c r="EB13" s="232"/>
      <c r="EC13" s="232"/>
      <c r="ED13" s="232"/>
      <c r="EE13" s="232"/>
      <c r="EF13" s="232"/>
      <c r="EG13" s="232"/>
      <c r="EH13" s="232"/>
      <c r="EI13" s="232"/>
      <c r="EJ13" s="232"/>
      <c r="EK13" s="232"/>
      <c r="EL13" s="232"/>
      <c r="EM13" s="232"/>
      <c r="EN13" s="232"/>
      <c r="EO13" s="232"/>
      <c r="EP13" s="232"/>
      <c r="EQ13" s="232"/>
      <c r="ER13" s="232"/>
      <c r="ES13" s="232"/>
      <c r="ET13" s="232"/>
      <c r="EU13" s="232"/>
      <c r="EV13" s="232"/>
      <c r="EW13" s="232"/>
      <c r="EX13" s="232"/>
      <c r="EY13" s="232"/>
      <c r="EZ13" s="232"/>
      <c r="FA13" s="232"/>
      <c r="FB13" s="232"/>
      <c r="FC13" s="232"/>
      <c r="FD13" s="232"/>
      <c r="FE13" s="232"/>
      <c r="FF13" s="232"/>
      <c r="FG13" s="232"/>
      <c r="FH13" s="232"/>
      <c r="FI13" s="232"/>
      <c r="FJ13" s="232"/>
      <c r="FK13" s="232"/>
      <c r="FL13" s="232"/>
      <c r="FM13" s="232"/>
      <c r="FN13" s="232"/>
      <c r="FO13" s="232"/>
      <c r="FP13" s="232"/>
      <c r="FQ13" s="232"/>
      <c r="FR13" s="232"/>
      <c r="FS13" s="232"/>
      <c r="FT13" s="232"/>
      <c r="FU13" s="232"/>
      <c r="FV13" s="232"/>
      <c r="FW13" s="232"/>
      <c r="FX13" s="232"/>
      <c r="FY13" s="232"/>
      <c r="FZ13" s="232"/>
      <c r="GA13" s="232"/>
      <c r="GB13" s="232"/>
      <c r="GC13" s="232"/>
      <c r="GD13" s="232"/>
      <c r="GE13" s="232"/>
      <c r="GF13" s="232"/>
      <c r="GG13" s="232"/>
      <c r="GH13" s="232"/>
      <c r="GI13" s="232"/>
      <c r="GJ13" s="232"/>
      <c r="GK13" s="232"/>
      <c r="GL13" s="232"/>
      <c r="GM13" s="232"/>
      <c r="GN13" s="232"/>
      <c r="GO13" s="232"/>
      <c r="GP13" s="232"/>
      <c r="GQ13" s="232"/>
      <c r="GR13" s="232"/>
      <c r="GS13" s="232"/>
      <c r="GT13" s="232"/>
      <c r="GU13" s="232"/>
      <c r="GV13" s="232"/>
      <c r="GW13" s="232"/>
      <c r="GX13" s="232"/>
      <c r="GY13" s="232"/>
      <c r="GZ13" s="232"/>
      <c r="HA13" s="232"/>
      <c r="HB13" s="232"/>
      <c r="HC13" s="232"/>
      <c r="HD13" s="232"/>
      <c r="HE13" s="232"/>
      <c r="HF13" s="232"/>
      <c r="HG13" s="232"/>
      <c r="HH13" s="232"/>
      <c r="HI13" s="232"/>
      <c r="HJ13" s="232"/>
      <c r="HK13" s="232"/>
      <c r="HL13" s="232"/>
      <c r="HM13" s="232"/>
      <c r="HN13" s="232"/>
      <c r="HO13" s="232"/>
      <c r="HP13" s="232"/>
      <c r="HQ13" s="232"/>
      <c r="HR13" s="232"/>
      <c r="HS13" s="232"/>
      <c r="HT13" s="232"/>
      <c r="HU13" s="232"/>
      <c r="HV13" s="232"/>
      <c r="HW13" s="232"/>
      <c r="HX13" s="232"/>
      <c r="HY13" s="232"/>
      <c r="HZ13" s="232"/>
      <c r="IA13" s="232"/>
      <c r="IB13" s="232"/>
      <c r="IC13" s="232"/>
    </row>
    <row r="14" spans="1:237" ht="15.6" customHeight="1">
      <c r="A14" s="239" t="s">
        <v>324</v>
      </c>
      <c r="B14" s="228"/>
      <c r="C14" s="228"/>
      <c r="D14" s="228"/>
      <c r="E14" s="228"/>
      <c r="F14" s="228"/>
      <c r="G14" s="228">
        <v>5681000</v>
      </c>
      <c r="H14" s="311">
        <f>ROUND(6772425.16,-3)</f>
        <v>6772000</v>
      </c>
      <c r="I14" s="228">
        <v>9398000</v>
      </c>
      <c r="J14" s="312"/>
      <c r="K14" s="241">
        <f t="shared" si="0"/>
        <v>0.38777318369757818</v>
      </c>
      <c r="L14" s="907"/>
      <c r="M14" s="897"/>
      <c r="N14" s="897"/>
      <c r="O14" s="897"/>
      <c r="P14" s="897"/>
      <c r="Q14" s="908"/>
      <c r="R14" s="899"/>
      <c r="S14" s="909"/>
      <c r="T14" s="899"/>
      <c r="U14" s="899"/>
      <c r="V14" s="899"/>
      <c r="W14" s="906"/>
      <c r="X14" s="899"/>
      <c r="Y14" s="899"/>
      <c r="Z14" s="899"/>
      <c r="AA14" s="899"/>
      <c r="AB14" s="899"/>
      <c r="AC14" s="899"/>
      <c r="AD14" s="899"/>
      <c r="AE14" s="899"/>
      <c r="AF14" s="899"/>
      <c r="AG14" s="899"/>
      <c r="AH14" s="899"/>
      <c r="AI14" s="899"/>
      <c r="AJ14" s="899"/>
      <c r="AK14" s="899"/>
      <c r="AL14" s="899"/>
      <c r="AM14" s="232"/>
      <c r="AN14" s="232"/>
      <c r="AO14" s="232"/>
      <c r="AP14" s="232"/>
      <c r="AQ14" s="232"/>
      <c r="AR14" s="232"/>
      <c r="AS14" s="232"/>
      <c r="AT14" s="232"/>
      <c r="AU14" s="232"/>
      <c r="AV14" s="232"/>
      <c r="AW14" s="232"/>
      <c r="AX14" s="232"/>
      <c r="AY14" s="232"/>
      <c r="AZ14" s="232"/>
      <c r="BA14" s="232"/>
      <c r="BB14" s="232"/>
      <c r="BC14" s="232"/>
      <c r="BD14" s="232"/>
      <c r="BE14" s="232"/>
      <c r="BF14" s="232"/>
      <c r="BG14" s="232"/>
      <c r="BH14" s="232"/>
      <c r="BI14" s="232"/>
      <c r="BJ14" s="232"/>
      <c r="BK14" s="232"/>
      <c r="BL14" s="232"/>
      <c r="BM14" s="232"/>
      <c r="BN14" s="232"/>
      <c r="BO14" s="232"/>
      <c r="BP14" s="232"/>
      <c r="BQ14" s="232"/>
      <c r="BR14" s="232"/>
      <c r="BS14" s="232"/>
      <c r="BT14" s="232"/>
      <c r="BU14" s="232"/>
      <c r="BV14" s="232"/>
      <c r="BW14" s="232"/>
      <c r="BX14" s="232"/>
      <c r="BY14" s="232"/>
      <c r="BZ14" s="232"/>
      <c r="CA14" s="232"/>
      <c r="CB14" s="232"/>
      <c r="CC14" s="232"/>
      <c r="CD14" s="232"/>
      <c r="CE14" s="232"/>
      <c r="CF14" s="232"/>
      <c r="CG14" s="232"/>
      <c r="CH14" s="232"/>
      <c r="CI14" s="232"/>
      <c r="CJ14" s="232"/>
      <c r="CK14" s="232"/>
      <c r="CL14" s="232"/>
      <c r="CM14" s="232"/>
      <c r="CN14" s="232"/>
      <c r="CO14" s="232"/>
      <c r="CP14" s="232"/>
      <c r="CQ14" s="232"/>
      <c r="CR14" s="232"/>
      <c r="CS14" s="232"/>
      <c r="CT14" s="232"/>
      <c r="CU14" s="232"/>
      <c r="CV14" s="232"/>
      <c r="CW14" s="232"/>
      <c r="CX14" s="232"/>
      <c r="CY14" s="232"/>
      <c r="CZ14" s="232"/>
      <c r="DA14" s="232"/>
      <c r="DB14" s="232"/>
      <c r="DC14" s="232"/>
      <c r="DD14" s="232"/>
      <c r="DE14" s="232"/>
      <c r="DF14" s="232"/>
      <c r="DG14" s="232"/>
      <c r="DH14" s="232"/>
      <c r="DI14" s="232"/>
      <c r="DJ14" s="232"/>
      <c r="DK14" s="232"/>
      <c r="DL14" s="232"/>
      <c r="DM14" s="232"/>
      <c r="DN14" s="232"/>
      <c r="DO14" s="232"/>
      <c r="DP14" s="232"/>
      <c r="DQ14" s="232"/>
      <c r="DR14" s="232"/>
      <c r="DS14" s="232"/>
      <c r="DT14" s="232"/>
      <c r="DU14" s="232"/>
      <c r="DV14" s="232"/>
      <c r="DW14" s="232"/>
      <c r="DX14" s="232"/>
      <c r="DY14" s="232"/>
      <c r="DZ14" s="232"/>
      <c r="EA14" s="232"/>
      <c r="EB14" s="232"/>
      <c r="EC14" s="232"/>
      <c r="ED14" s="232"/>
      <c r="EE14" s="232"/>
      <c r="EF14" s="232"/>
      <c r="EG14" s="232"/>
      <c r="EH14" s="232"/>
      <c r="EI14" s="232"/>
      <c r="EJ14" s="232"/>
      <c r="EK14" s="232"/>
      <c r="EL14" s="232"/>
      <c r="EM14" s="232"/>
      <c r="EN14" s="232"/>
      <c r="EO14" s="232"/>
      <c r="EP14" s="232"/>
      <c r="EQ14" s="232"/>
      <c r="ER14" s="232"/>
      <c r="ES14" s="232"/>
      <c r="ET14" s="232"/>
      <c r="EU14" s="232"/>
      <c r="EV14" s="232"/>
      <c r="EW14" s="232"/>
      <c r="EX14" s="232"/>
      <c r="EY14" s="232"/>
      <c r="EZ14" s="232"/>
      <c r="FA14" s="232"/>
      <c r="FB14" s="232"/>
      <c r="FC14" s="232"/>
      <c r="FD14" s="232"/>
      <c r="FE14" s="232"/>
      <c r="FF14" s="232"/>
      <c r="FG14" s="232"/>
      <c r="FH14" s="232"/>
      <c r="FI14" s="232"/>
      <c r="FJ14" s="232"/>
      <c r="FK14" s="232"/>
      <c r="FL14" s="232"/>
      <c r="FM14" s="232"/>
      <c r="FN14" s="232"/>
      <c r="FO14" s="232"/>
      <c r="FP14" s="232"/>
      <c r="FQ14" s="232"/>
      <c r="FR14" s="232"/>
      <c r="FS14" s="232"/>
      <c r="FT14" s="232"/>
      <c r="FU14" s="232"/>
      <c r="FV14" s="232"/>
      <c r="FW14" s="232"/>
      <c r="FX14" s="232"/>
      <c r="FY14" s="232"/>
      <c r="FZ14" s="232"/>
      <c r="GA14" s="232"/>
      <c r="GB14" s="232"/>
      <c r="GC14" s="232"/>
      <c r="GD14" s="232"/>
      <c r="GE14" s="232"/>
      <c r="GF14" s="232"/>
      <c r="GG14" s="232"/>
      <c r="GH14" s="232"/>
      <c r="GI14" s="232"/>
      <c r="GJ14" s="232"/>
      <c r="GK14" s="232"/>
      <c r="GL14" s="232"/>
      <c r="GM14" s="232"/>
      <c r="GN14" s="232"/>
      <c r="GO14" s="232"/>
      <c r="GP14" s="232"/>
      <c r="GQ14" s="232"/>
      <c r="GR14" s="232"/>
      <c r="GS14" s="232"/>
      <c r="GT14" s="232"/>
      <c r="GU14" s="232"/>
      <c r="GV14" s="232"/>
      <c r="GW14" s="232"/>
      <c r="GX14" s="232"/>
      <c r="GY14" s="232"/>
      <c r="GZ14" s="232"/>
      <c r="HA14" s="232"/>
      <c r="HB14" s="232"/>
      <c r="HC14" s="232"/>
      <c r="HD14" s="232"/>
      <c r="HE14" s="232"/>
      <c r="HF14" s="232"/>
      <c r="HG14" s="232"/>
      <c r="HH14" s="232"/>
      <c r="HI14" s="232"/>
      <c r="HJ14" s="232"/>
      <c r="HK14" s="232"/>
      <c r="HL14" s="232"/>
      <c r="HM14" s="232"/>
      <c r="HN14" s="232"/>
      <c r="HO14" s="232"/>
      <c r="HP14" s="232"/>
      <c r="HQ14" s="232"/>
      <c r="HR14" s="232"/>
      <c r="HS14" s="232"/>
      <c r="HT14" s="232"/>
      <c r="HU14" s="232"/>
      <c r="HV14" s="232"/>
      <c r="HW14" s="232"/>
      <c r="HX14" s="232"/>
      <c r="HY14" s="232"/>
      <c r="HZ14" s="232"/>
      <c r="IA14" s="232"/>
      <c r="IB14" s="232"/>
      <c r="IC14" s="232"/>
    </row>
    <row r="15" spans="1:237" ht="15.6" customHeight="1">
      <c r="A15" s="231" t="s">
        <v>815</v>
      </c>
      <c r="B15" s="228"/>
      <c r="C15" s="228"/>
      <c r="D15" s="228"/>
      <c r="E15" s="228"/>
      <c r="F15" s="228"/>
      <c r="G15" s="228">
        <v>6444000</v>
      </c>
      <c r="H15" s="228">
        <f>ROUND(5794346.74+726593.28,-3)</f>
        <v>6521000</v>
      </c>
      <c r="I15" s="228">
        <v>6051000</v>
      </c>
      <c r="K15" s="241">
        <f t="shared" si="0"/>
        <v>-7.2074835147983407E-2</v>
      </c>
      <c r="L15" s="907"/>
      <c r="M15" s="897"/>
      <c r="N15" s="897"/>
      <c r="O15" s="897"/>
      <c r="P15" s="897"/>
      <c r="Q15" s="908"/>
      <c r="R15" s="899"/>
      <c r="S15" s="909"/>
      <c r="T15" s="899"/>
      <c r="U15" s="899"/>
      <c r="V15" s="899"/>
      <c r="W15" s="906"/>
      <c r="X15" s="899"/>
      <c r="Y15" s="899"/>
      <c r="Z15" s="899"/>
      <c r="AA15" s="899"/>
      <c r="AB15" s="899"/>
      <c r="AC15" s="899"/>
      <c r="AD15" s="899"/>
      <c r="AE15" s="899"/>
      <c r="AF15" s="899"/>
      <c r="AG15" s="899"/>
      <c r="AH15" s="899"/>
      <c r="AI15" s="899"/>
      <c r="AJ15" s="899"/>
      <c r="AK15" s="899"/>
      <c r="AL15" s="899"/>
      <c r="AM15" s="232"/>
      <c r="AN15" s="232"/>
      <c r="AO15" s="232"/>
      <c r="AP15" s="232"/>
      <c r="AQ15" s="232"/>
      <c r="AR15" s="232"/>
      <c r="AS15" s="232"/>
      <c r="AT15" s="232"/>
      <c r="AU15" s="232"/>
      <c r="AV15" s="232"/>
      <c r="AW15" s="232"/>
      <c r="AX15" s="232"/>
      <c r="AY15" s="232"/>
      <c r="AZ15" s="232"/>
      <c r="BA15" s="232"/>
      <c r="BB15" s="232"/>
      <c r="BC15" s="232"/>
      <c r="BD15" s="232"/>
      <c r="BE15" s="232"/>
      <c r="BF15" s="232"/>
      <c r="BG15" s="232"/>
      <c r="BH15" s="232"/>
      <c r="BI15" s="232"/>
      <c r="BJ15" s="232"/>
      <c r="BK15" s="232"/>
      <c r="BL15" s="232"/>
      <c r="BM15" s="232"/>
      <c r="BN15" s="232"/>
      <c r="BO15" s="232"/>
      <c r="BP15" s="232"/>
      <c r="BQ15" s="232"/>
      <c r="BR15" s="232"/>
      <c r="BS15" s="232"/>
      <c r="BT15" s="232"/>
      <c r="BU15" s="232"/>
      <c r="BV15" s="232"/>
      <c r="BW15" s="232"/>
      <c r="BX15" s="232"/>
      <c r="BY15" s="232"/>
      <c r="BZ15" s="232"/>
      <c r="CA15" s="232"/>
      <c r="CB15" s="232"/>
      <c r="CC15" s="232"/>
      <c r="CD15" s="232"/>
      <c r="CE15" s="232"/>
      <c r="CF15" s="232"/>
      <c r="CG15" s="232"/>
      <c r="CH15" s="232"/>
      <c r="CI15" s="232"/>
      <c r="CJ15" s="232"/>
      <c r="CK15" s="232"/>
      <c r="CL15" s="232"/>
      <c r="CM15" s="232"/>
      <c r="CN15" s="232"/>
      <c r="CO15" s="232"/>
      <c r="CP15" s="232"/>
      <c r="CQ15" s="232"/>
      <c r="CR15" s="232"/>
      <c r="CS15" s="232"/>
      <c r="CT15" s="232"/>
      <c r="CU15" s="232"/>
      <c r="CV15" s="232"/>
      <c r="CW15" s="232"/>
      <c r="CX15" s="232"/>
      <c r="CY15" s="232"/>
      <c r="CZ15" s="232"/>
      <c r="DA15" s="232"/>
      <c r="DB15" s="232"/>
      <c r="DC15" s="232"/>
      <c r="DD15" s="232"/>
      <c r="DE15" s="232"/>
      <c r="DF15" s="232"/>
      <c r="DG15" s="232"/>
      <c r="DH15" s="232"/>
      <c r="DI15" s="232"/>
      <c r="DJ15" s="232"/>
      <c r="DK15" s="232"/>
      <c r="DL15" s="232"/>
      <c r="DM15" s="232"/>
      <c r="DN15" s="232"/>
      <c r="DO15" s="232"/>
      <c r="DP15" s="232"/>
      <c r="DQ15" s="232"/>
      <c r="DR15" s="232"/>
      <c r="DS15" s="232"/>
      <c r="DT15" s="232"/>
      <c r="DU15" s="232"/>
      <c r="DV15" s="232"/>
      <c r="DW15" s="232"/>
      <c r="DX15" s="232"/>
      <c r="DY15" s="232"/>
      <c r="DZ15" s="232"/>
      <c r="EA15" s="232"/>
      <c r="EB15" s="232"/>
      <c r="EC15" s="232"/>
      <c r="ED15" s="232"/>
      <c r="EE15" s="232"/>
      <c r="EF15" s="232"/>
      <c r="EG15" s="232"/>
      <c r="EH15" s="232"/>
      <c r="EI15" s="232"/>
      <c r="EJ15" s="232"/>
      <c r="EK15" s="232"/>
      <c r="EL15" s="232"/>
      <c r="EM15" s="232"/>
      <c r="EN15" s="232"/>
      <c r="EO15" s="232"/>
      <c r="EP15" s="232"/>
      <c r="EQ15" s="232"/>
      <c r="ER15" s="232"/>
      <c r="ES15" s="232"/>
      <c r="ET15" s="232"/>
      <c r="EU15" s="232"/>
      <c r="EV15" s="232"/>
      <c r="EW15" s="232"/>
      <c r="EX15" s="232"/>
      <c r="EY15" s="232"/>
      <c r="EZ15" s="232"/>
      <c r="FA15" s="232"/>
      <c r="FB15" s="232"/>
      <c r="FC15" s="232"/>
      <c r="FD15" s="232"/>
      <c r="FE15" s="232"/>
      <c r="FF15" s="232"/>
      <c r="FG15" s="232"/>
      <c r="FH15" s="232"/>
      <c r="FI15" s="232"/>
      <c r="FJ15" s="232"/>
      <c r="FK15" s="232"/>
      <c r="FL15" s="232"/>
      <c r="FM15" s="232"/>
      <c r="FN15" s="232"/>
      <c r="FO15" s="232"/>
      <c r="FP15" s="232"/>
      <c r="FQ15" s="232"/>
      <c r="FR15" s="232"/>
      <c r="FS15" s="232"/>
      <c r="FT15" s="232"/>
      <c r="FU15" s="232"/>
      <c r="FV15" s="232"/>
      <c r="FW15" s="232"/>
      <c r="FX15" s="232"/>
      <c r="FY15" s="232"/>
      <c r="FZ15" s="232"/>
      <c r="GA15" s="232"/>
      <c r="GB15" s="232"/>
      <c r="GC15" s="232"/>
      <c r="GD15" s="232"/>
      <c r="GE15" s="232"/>
      <c r="GF15" s="232"/>
      <c r="GG15" s="232"/>
      <c r="GH15" s="232"/>
      <c r="GI15" s="232"/>
      <c r="GJ15" s="232"/>
      <c r="GK15" s="232"/>
      <c r="GL15" s="232"/>
      <c r="GM15" s="232"/>
      <c r="GN15" s="232"/>
      <c r="GO15" s="232"/>
      <c r="GP15" s="232"/>
      <c r="GQ15" s="232"/>
      <c r="GR15" s="232"/>
      <c r="GS15" s="232"/>
      <c r="GT15" s="232"/>
      <c r="GU15" s="232"/>
      <c r="GV15" s="232"/>
      <c r="GW15" s="232"/>
      <c r="GX15" s="232"/>
      <c r="GY15" s="232"/>
      <c r="GZ15" s="232"/>
      <c r="HA15" s="232"/>
      <c r="HB15" s="232"/>
      <c r="HC15" s="232"/>
      <c r="HD15" s="232"/>
      <c r="HE15" s="232"/>
      <c r="HF15" s="232"/>
      <c r="HG15" s="232"/>
      <c r="HH15" s="232"/>
      <c r="HI15" s="232"/>
      <c r="HJ15" s="232"/>
      <c r="HK15" s="232"/>
      <c r="HL15" s="232"/>
      <c r="HM15" s="232"/>
      <c r="HN15" s="232"/>
      <c r="HO15" s="232"/>
      <c r="HP15" s="232"/>
      <c r="HQ15" s="232"/>
      <c r="HR15" s="232"/>
      <c r="HS15" s="232"/>
      <c r="HT15" s="232"/>
      <c r="HU15" s="232"/>
      <c r="HV15" s="232"/>
      <c r="HW15" s="232"/>
      <c r="HX15" s="232"/>
      <c r="HY15" s="232"/>
      <c r="HZ15" s="232"/>
      <c r="IA15" s="232"/>
      <c r="IB15" s="232"/>
      <c r="IC15" s="232"/>
    </row>
    <row r="16" spans="1:237" ht="15.6" customHeight="1">
      <c r="A16" s="363" t="s">
        <v>866</v>
      </c>
      <c r="B16" s="311"/>
      <c r="C16" s="311"/>
      <c r="D16" s="311"/>
      <c r="E16" s="311"/>
      <c r="F16" s="311"/>
      <c r="G16" s="311">
        <v>382018000</v>
      </c>
      <c r="H16" s="311">
        <f>ROUND(603081210.21-242492835.9,-3)</f>
        <v>360588000</v>
      </c>
      <c r="I16" s="228">
        <v>363105000</v>
      </c>
      <c r="J16" s="359"/>
      <c r="K16" s="241">
        <f t="shared" si="0"/>
        <v>6.9802655662418722E-3</v>
      </c>
      <c r="L16" s="907"/>
      <c r="M16" s="897"/>
      <c r="N16" s="897"/>
      <c r="O16" s="897"/>
      <c r="P16" s="897"/>
      <c r="Q16" s="908"/>
      <c r="R16" s="899"/>
      <c r="S16" s="909"/>
      <c r="T16" s="899"/>
      <c r="U16" s="899"/>
      <c r="V16" s="899"/>
      <c r="W16" s="906"/>
      <c r="X16" s="899"/>
      <c r="Y16" s="899"/>
      <c r="Z16" s="899"/>
      <c r="AA16" s="899"/>
      <c r="AB16" s="899"/>
      <c r="AC16" s="899"/>
      <c r="AD16" s="899"/>
      <c r="AE16" s="899"/>
      <c r="AF16" s="899"/>
      <c r="AG16" s="899"/>
      <c r="AH16" s="899"/>
      <c r="AI16" s="899"/>
      <c r="AJ16" s="899"/>
      <c r="AK16" s="899"/>
      <c r="AL16" s="899"/>
      <c r="AM16" s="232"/>
      <c r="AN16" s="232"/>
      <c r="AO16" s="232"/>
      <c r="AP16" s="232"/>
      <c r="AQ16" s="232"/>
      <c r="AR16" s="232"/>
      <c r="AS16" s="232"/>
      <c r="AT16" s="232"/>
      <c r="AU16" s="232"/>
      <c r="AV16" s="232"/>
      <c r="AW16" s="232"/>
      <c r="AX16" s="232"/>
      <c r="AY16" s="232"/>
      <c r="AZ16" s="232"/>
      <c r="BA16" s="232"/>
      <c r="BB16" s="232"/>
      <c r="BC16" s="232"/>
      <c r="BD16" s="232"/>
      <c r="BE16" s="232"/>
      <c r="BF16" s="232"/>
      <c r="BG16" s="232"/>
      <c r="BH16" s="232"/>
      <c r="BI16" s="232"/>
      <c r="BJ16" s="232"/>
      <c r="BK16" s="232"/>
      <c r="BL16" s="232"/>
      <c r="BM16" s="232"/>
      <c r="BN16" s="232"/>
      <c r="BO16" s="232"/>
      <c r="BP16" s="232"/>
      <c r="BQ16" s="232"/>
      <c r="BR16" s="232"/>
      <c r="BS16" s="232"/>
      <c r="BT16" s="232"/>
      <c r="BU16" s="232"/>
      <c r="BV16" s="232"/>
      <c r="BW16" s="232"/>
      <c r="BX16" s="232"/>
      <c r="BY16" s="232"/>
      <c r="BZ16" s="232"/>
      <c r="CA16" s="232"/>
      <c r="CB16" s="232"/>
      <c r="CC16" s="232"/>
      <c r="CD16" s="232"/>
      <c r="CE16" s="232"/>
      <c r="CF16" s="232"/>
      <c r="CG16" s="232"/>
      <c r="CH16" s="232"/>
      <c r="CI16" s="232"/>
      <c r="CJ16" s="232"/>
      <c r="CK16" s="232"/>
      <c r="CL16" s="232"/>
      <c r="CM16" s="232"/>
      <c r="CN16" s="232"/>
      <c r="CO16" s="232"/>
      <c r="CP16" s="232"/>
      <c r="CQ16" s="232"/>
      <c r="CR16" s="232"/>
      <c r="CS16" s="232"/>
      <c r="CT16" s="232"/>
      <c r="CU16" s="232"/>
      <c r="CV16" s="232"/>
      <c r="CW16" s="232"/>
      <c r="CX16" s="232"/>
      <c r="CY16" s="232"/>
      <c r="CZ16" s="232"/>
      <c r="DA16" s="232"/>
      <c r="DB16" s="232"/>
      <c r="DC16" s="232"/>
      <c r="DD16" s="232"/>
      <c r="DE16" s="232"/>
      <c r="DF16" s="232"/>
      <c r="DG16" s="232"/>
      <c r="DH16" s="232"/>
      <c r="DI16" s="232"/>
      <c r="DJ16" s="232"/>
      <c r="DK16" s="232"/>
      <c r="DL16" s="232"/>
      <c r="DM16" s="232"/>
      <c r="DN16" s="232"/>
      <c r="DO16" s="232"/>
      <c r="DP16" s="232"/>
      <c r="DQ16" s="232"/>
      <c r="DR16" s="232"/>
      <c r="DS16" s="232"/>
      <c r="DT16" s="232"/>
      <c r="DU16" s="232"/>
      <c r="DV16" s="232"/>
      <c r="DW16" s="232"/>
      <c r="DX16" s="232"/>
      <c r="DY16" s="232"/>
      <c r="DZ16" s="232"/>
      <c r="EA16" s="232"/>
      <c r="EB16" s="232"/>
      <c r="EC16" s="232"/>
      <c r="ED16" s="232"/>
      <c r="EE16" s="232"/>
      <c r="EF16" s="232"/>
      <c r="EG16" s="232"/>
      <c r="EH16" s="232"/>
      <c r="EI16" s="232"/>
      <c r="EJ16" s="232"/>
      <c r="EK16" s="232"/>
      <c r="EL16" s="232"/>
      <c r="EM16" s="232"/>
      <c r="EN16" s="232"/>
      <c r="EO16" s="232"/>
      <c r="EP16" s="232"/>
      <c r="EQ16" s="232"/>
      <c r="ER16" s="232"/>
      <c r="ES16" s="232"/>
      <c r="ET16" s="232"/>
      <c r="EU16" s="232"/>
      <c r="EV16" s="232"/>
      <c r="EW16" s="232"/>
      <c r="EX16" s="232"/>
      <c r="EY16" s="232"/>
      <c r="EZ16" s="232"/>
      <c r="FA16" s="232"/>
      <c r="FB16" s="232"/>
      <c r="FC16" s="232"/>
      <c r="FD16" s="232"/>
      <c r="FE16" s="232"/>
      <c r="FF16" s="232"/>
      <c r="FG16" s="232"/>
      <c r="FH16" s="232"/>
      <c r="FI16" s="232"/>
      <c r="FJ16" s="232"/>
      <c r="FK16" s="232"/>
      <c r="FL16" s="232"/>
      <c r="FM16" s="232"/>
      <c r="FN16" s="232"/>
      <c r="FO16" s="232"/>
      <c r="FP16" s="232"/>
      <c r="FQ16" s="232"/>
      <c r="FR16" s="232"/>
      <c r="FS16" s="232"/>
      <c r="FT16" s="232"/>
      <c r="FU16" s="232"/>
      <c r="FV16" s="232"/>
      <c r="FW16" s="232"/>
      <c r="FX16" s="232"/>
      <c r="FY16" s="232"/>
      <c r="FZ16" s="232"/>
      <c r="GA16" s="232"/>
      <c r="GB16" s="232"/>
      <c r="GC16" s="232"/>
      <c r="GD16" s="232"/>
      <c r="GE16" s="232"/>
      <c r="GF16" s="232"/>
      <c r="GG16" s="232"/>
      <c r="GH16" s="232"/>
      <c r="GI16" s="232"/>
      <c r="GJ16" s="232"/>
      <c r="GK16" s="232"/>
      <c r="GL16" s="232"/>
      <c r="GM16" s="232"/>
      <c r="GN16" s="232"/>
      <c r="GO16" s="232"/>
      <c r="GP16" s="232"/>
      <c r="GQ16" s="232"/>
      <c r="GR16" s="232"/>
      <c r="GS16" s="232"/>
      <c r="GT16" s="232"/>
      <c r="GU16" s="232"/>
      <c r="GV16" s="232"/>
      <c r="GW16" s="232"/>
      <c r="GX16" s="232"/>
      <c r="GY16" s="232"/>
      <c r="GZ16" s="232"/>
      <c r="HA16" s="232"/>
      <c r="HB16" s="232"/>
      <c r="HC16" s="232"/>
      <c r="HD16" s="232"/>
      <c r="HE16" s="232"/>
      <c r="HF16" s="232"/>
      <c r="HG16" s="232"/>
      <c r="HH16" s="232"/>
      <c r="HI16" s="232"/>
      <c r="HJ16" s="232"/>
      <c r="HK16" s="232"/>
      <c r="HL16" s="232"/>
      <c r="HM16" s="232"/>
      <c r="HN16" s="232"/>
      <c r="HO16" s="232"/>
      <c r="HP16" s="232"/>
      <c r="HQ16" s="232"/>
      <c r="HR16" s="232"/>
      <c r="HS16" s="232"/>
      <c r="HT16" s="232"/>
      <c r="HU16" s="232"/>
      <c r="HV16" s="232"/>
      <c r="HW16" s="232"/>
      <c r="HX16" s="232"/>
      <c r="HY16" s="232"/>
      <c r="HZ16" s="232"/>
      <c r="IA16" s="232"/>
      <c r="IB16" s="232"/>
      <c r="IC16" s="232"/>
    </row>
    <row r="17" spans="1:237" ht="6" customHeight="1">
      <c r="A17" s="231"/>
      <c r="B17" s="242"/>
      <c r="C17" s="242"/>
      <c r="D17" s="242"/>
      <c r="E17" s="242"/>
      <c r="F17" s="242"/>
      <c r="G17" s="242"/>
      <c r="K17" s="243"/>
      <c r="L17" s="897"/>
      <c r="M17" s="897"/>
      <c r="N17" s="897"/>
      <c r="O17" s="897"/>
      <c r="P17" s="897"/>
      <c r="Q17" s="908"/>
      <c r="R17" s="899"/>
      <c r="S17" s="909"/>
      <c r="T17" s="899"/>
      <c r="U17" s="899"/>
      <c r="V17" s="899"/>
      <c r="W17" s="899"/>
      <c r="X17" s="899"/>
      <c r="Y17" s="899"/>
      <c r="Z17" s="899"/>
      <c r="AA17" s="899"/>
      <c r="AB17" s="899"/>
      <c r="AC17" s="899"/>
      <c r="AD17" s="899"/>
      <c r="AE17" s="899"/>
      <c r="AF17" s="899"/>
      <c r="AG17" s="899"/>
      <c r="AH17" s="899"/>
      <c r="AI17" s="899"/>
      <c r="AJ17" s="899"/>
      <c r="AK17" s="899"/>
      <c r="AL17" s="899"/>
      <c r="AM17" s="232"/>
      <c r="AN17" s="232"/>
      <c r="AO17" s="232"/>
      <c r="AP17" s="232"/>
      <c r="AQ17" s="232"/>
      <c r="AR17" s="232"/>
      <c r="AS17" s="232"/>
      <c r="AT17" s="232"/>
      <c r="AU17" s="232"/>
      <c r="AV17" s="232"/>
      <c r="AW17" s="232"/>
      <c r="AX17" s="232"/>
      <c r="AY17" s="232"/>
      <c r="AZ17" s="232"/>
      <c r="BA17" s="232"/>
      <c r="BB17" s="232"/>
      <c r="BC17" s="232"/>
      <c r="BD17" s="232"/>
      <c r="BE17" s="232"/>
      <c r="BF17" s="232"/>
      <c r="BG17" s="232"/>
      <c r="BH17" s="232"/>
      <c r="BI17" s="232"/>
      <c r="BJ17" s="232"/>
      <c r="BK17" s="232"/>
      <c r="BL17" s="232"/>
      <c r="BM17" s="232"/>
      <c r="BN17" s="232"/>
      <c r="BO17" s="232"/>
      <c r="BP17" s="232"/>
      <c r="BQ17" s="232"/>
      <c r="BR17" s="232"/>
      <c r="BS17" s="232"/>
      <c r="BT17" s="232"/>
      <c r="BU17" s="232"/>
      <c r="BV17" s="232"/>
      <c r="BW17" s="232"/>
      <c r="BX17" s="232"/>
      <c r="BY17" s="232"/>
      <c r="BZ17" s="232"/>
      <c r="CA17" s="232"/>
      <c r="CB17" s="232"/>
      <c r="CC17" s="232"/>
      <c r="CD17" s="232"/>
      <c r="CE17" s="232"/>
      <c r="CF17" s="232"/>
      <c r="CG17" s="232"/>
      <c r="CH17" s="232"/>
      <c r="CI17" s="232"/>
      <c r="CJ17" s="232"/>
      <c r="CK17" s="232"/>
      <c r="CL17" s="232"/>
      <c r="CM17" s="232"/>
      <c r="CN17" s="232"/>
      <c r="CO17" s="232"/>
      <c r="CP17" s="232"/>
      <c r="CQ17" s="232"/>
      <c r="CR17" s="232"/>
      <c r="CS17" s="232"/>
      <c r="CT17" s="232"/>
      <c r="CU17" s="232"/>
      <c r="CV17" s="232"/>
      <c r="CW17" s="232"/>
      <c r="CX17" s="232"/>
      <c r="CY17" s="232"/>
      <c r="CZ17" s="232"/>
      <c r="DA17" s="232"/>
      <c r="DB17" s="232"/>
      <c r="DC17" s="232"/>
      <c r="DD17" s="232"/>
      <c r="DE17" s="232"/>
      <c r="DF17" s="232"/>
      <c r="DG17" s="232"/>
      <c r="DH17" s="232"/>
      <c r="DI17" s="232"/>
      <c r="DJ17" s="232"/>
      <c r="DK17" s="232"/>
      <c r="DL17" s="232"/>
      <c r="DM17" s="232"/>
      <c r="DN17" s="232"/>
      <c r="DO17" s="232"/>
      <c r="DP17" s="232"/>
      <c r="DQ17" s="232"/>
      <c r="DR17" s="232"/>
      <c r="DS17" s="232"/>
      <c r="DT17" s="232"/>
      <c r="DU17" s="232"/>
      <c r="DV17" s="232"/>
      <c r="DW17" s="232"/>
      <c r="DX17" s="232"/>
      <c r="DY17" s="232"/>
      <c r="DZ17" s="232"/>
      <c r="EA17" s="232"/>
      <c r="EB17" s="232"/>
      <c r="EC17" s="232"/>
      <c r="ED17" s="232"/>
      <c r="EE17" s="232"/>
      <c r="EF17" s="232"/>
      <c r="EG17" s="232"/>
      <c r="EH17" s="232"/>
      <c r="EI17" s="232"/>
      <c r="EJ17" s="232"/>
      <c r="EK17" s="232"/>
      <c r="EL17" s="232"/>
      <c r="EM17" s="232"/>
      <c r="EN17" s="232"/>
      <c r="EO17" s="232"/>
      <c r="EP17" s="232"/>
      <c r="EQ17" s="232"/>
      <c r="ER17" s="232"/>
      <c r="ES17" s="232"/>
      <c r="ET17" s="232"/>
      <c r="EU17" s="232"/>
      <c r="EV17" s="232"/>
      <c r="EW17" s="232"/>
      <c r="EX17" s="232"/>
      <c r="EY17" s="232"/>
      <c r="EZ17" s="232"/>
      <c r="FA17" s="232"/>
      <c r="FB17" s="232"/>
      <c r="FC17" s="232"/>
      <c r="FD17" s="232"/>
      <c r="FE17" s="232"/>
      <c r="FF17" s="232"/>
      <c r="FG17" s="232"/>
      <c r="FH17" s="232"/>
      <c r="FI17" s="232"/>
      <c r="FJ17" s="232"/>
      <c r="FK17" s="232"/>
      <c r="FL17" s="232"/>
      <c r="FM17" s="232"/>
      <c r="FN17" s="232"/>
      <c r="FO17" s="232"/>
      <c r="FP17" s="232"/>
      <c r="FQ17" s="232"/>
      <c r="FR17" s="232"/>
      <c r="FS17" s="232"/>
      <c r="FT17" s="232"/>
      <c r="FU17" s="232"/>
      <c r="FV17" s="232"/>
      <c r="FW17" s="232"/>
      <c r="FX17" s="232"/>
      <c r="FY17" s="232"/>
      <c r="FZ17" s="232"/>
      <c r="GA17" s="232"/>
      <c r="GB17" s="232"/>
      <c r="GC17" s="232"/>
      <c r="GD17" s="232"/>
      <c r="GE17" s="232"/>
      <c r="GF17" s="232"/>
      <c r="GG17" s="232"/>
      <c r="GH17" s="232"/>
      <c r="GI17" s="232"/>
      <c r="GJ17" s="232"/>
      <c r="GK17" s="232"/>
      <c r="GL17" s="232"/>
      <c r="GM17" s="232"/>
      <c r="GN17" s="232"/>
      <c r="GO17" s="232"/>
      <c r="GP17" s="232"/>
      <c r="GQ17" s="232"/>
      <c r="GR17" s="232"/>
      <c r="GS17" s="232"/>
      <c r="GT17" s="232"/>
      <c r="GU17" s="232"/>
      <c r="GV17" s="232"/>
      <c r="GW17" s="232"/>
      <c r="GX17" s="232"/>
      <c r="GY17" s="232"/>
      <c r="GZ17" s="232"/>
      <c r="HA17" s="232"/>
      <c r="HB17" s="232"/>
      <c r="HC17" s="232"/>
      <c r="HD17" s="232"/>
      <c r="HE17" s="232"/>
      <c r="HF17" s="232"/>
      <c r="HG17" s="232"/>
      <c r="HH17" s="232"/>
      <c r="HI17" s="232"/>
      <c r="HJ17" s="232"/>
      <c r="HK17" s="232"/>
      <c r="HL17" s="232"/>
      <c r="HM17" s="232"/>
      <c r="HN17" s="232"/>
      <c r="HO17" s="232"/>
      <c r="HP17" s="232"/>
      <c r="HQ17" s="232"/>
      <c r="HR17" s="232"/>
      <c r="HS17" s="232"/>
      <c r="HT17" s="232"/>
      <c r="HU17" s="232"/>
      <c r="HV17" s="232"/>
      <c r="HW17" s="232"/>
      <c r="HX17" s="232"/>
      <c r="HY17" s="232"/>
      <c r="HZ17" s="232"/>
      <c r="IA17" s="232"/>
      <c r="IB17" s="232"/>
      <c r="IC17" s="232"/>
    </row>
    <row r="18" spans="1:237" ht="15.6" customHeight="1">
      <c r="A18" s="235" t="s">
        <v>325</v>
      </c>
      <c r="B18" s="244"/>
      <c r="C18" s="244"/>
      <c r="D18" s="244"/>
      <c r="E18" s="244"/>
      <c r="F18" s="244"/>
      <c r="G18" s="244">
        <f>SUM(G7:G16)</f>
        <v>20553037000</v>
      </c>
      <c r="H18" s="244">
        <f>SUM(H7:H16)</f>
        <v>20943678000</v>
      </c>
      <c r="I18" s="244">
        <f>SUM(I7:I16)</f>
        <v>23992451000</v>
      </c>
      <c r="J18" s="245"/>
      <c r="K18" s="246">
        <f>(I18/H18)-1</f>
        <v>0.14557008563634333</v>
      </c>
      <c r="L18" s="907"/>
      <c r="M18" s="897"/>
      <c r="N18" s="897"/>
      <c r="O18" s="897"/>
      <c r="P18" s="897"/>
      <c r="Q18" s="908"/>
      <c r="R18" s="899"/>
      <c r="S18" s="909"/>
      <c r="T18" s="899"/>
      <c r="U18" s="899"/>
      <c r="V18" s="899"/>
      <c r="W18" s="899"/>
      <c r="X18" s="899"/>
      <c r="Y18" s="899"/>
      <c r="Z18" s="899"/>
      <c r="AA18" s="899"/>
      <c r="AB18" s="899"/>
      <c r="AC18" s="899"/>
      <c r="AD18" s="899"/>
      <c r="AE18" s="899"/>
      <c r="AF18" s="899"/>
      <c r="AG18" s="899"/>
      <c r="AH18" s="899"/>
      <c r="AI18" s="899"/>
      <c r="AJ18" s="899"/>
      <c r="AK18" s="899"/>
      <c r="AL18" s="899"/>
      <c r="AM18" s="232"/>
      <c r="AN18" s="232"/>
      <c r="AO18" s="232"/>
      <c r="AP18" s="232"/>
      <c r="AQ18" s="232"/>
      <c r="AR18" s="232"/>
      <c r="AS18" s="232"/>
      <c r="AT18" s="232"/>
      <c r="AU18" s="232"/>
      <c r="AV18" s="232"/>
      <c r="AW18" s="232"/>
      <c r="AX18" s="232"/>
      <c r="AY18" s="232"/>
      <c r="AZ18" s="232"/>
      <c r="BA18" s="232"/>
      <c r="BB18" s="232"/>
      <c r="BC18" s="232"/>
      <c r="BD18" s="232"/>
      <c r="BE18" s="232"/>
      <c r="BF18" s="232"/>
      <c r="BG18" s="232"/>
      <c r="BH18" s="232"/>
      <c r="BI18" s="232"/>
      <c r="BJ18" s="232"/>
      <c r="BK18" s="232"/>
      <c r="BL18" s="232"/>
      <c r="BM18" s="232"/>
      <c r="BN18" s="232"/>
      <c r="BO18" s="232"/>
      <c r="BP18" s="232"/>
      <c r="BQ18" s="232"/>
      <c r="BR18" s="232"/>
      <c r="BS18" s="232"/>
      <c r="BT18" s="232"/>
      <c r="BU18" s="232"/>
      <c r="BV18" s="232"/>
      <c r="BW18" s="232"/>
      <c r="BX18" s="232"/>
      <c r="BY18" s="232"/>
      <c r="BZ18" s="232"/>
      <c r="CA18" s="232"/>
      <c r="CB18" s="232"/>
      <c r="CC18" s="232"/>
      <c r="CD18" s="232"/>
      <c r="CE18" s="232"/>
      <c r="CF18" s="232"/>
      <c r="CG18" s="232"/>
      <c r="CH18" s="232"/>
      <c r="CI18" s="232"/>
      <c r="CJ18" s="232"/>
      <c r="CK18" s="232"/>
      <c r="CL18" s="232"/>
      <c r="CM18" s="232"/>
      <c r="CN18" s="232"/>
      <c r="CO18" s="232"/>
      <c r="CP18" s="232"/>
      <c r="CQ18" s="232"/>
      <c r="CR18" s="232"/>
      <c r="CS18" s="232"/>
      <c r="CT18" s="232"/>
      <c r="CU18" s="232"/>
      <c r="CV18" s="232"/>
      <c r="CW18" s="232"/>
      <c r="CX18" s="232"/>
      <c r="CY18" s="232"/>
      <c r="CZ18" s="232"/>
      <c r="DA18" s="232"/>
      <c r="DB18" s="232"/>
      <c r="DC18" s="232"/>
      <c r="DD18" s="232"/>
      <c r="DE18" s="232"/>
      <c r="DF18" s="232"/>
      <c r="DG18" s="232"/>
      <c r="DH18" s="232"/>
      <c r="DI18" s="232"/>
      <c r="DJ18" s="232"/>
      <c r="DK18" s="232"/>
      <c r="DL18" s="232"/>
      <c r="DM18" s="232"/>
      <c r="DN18" s="232"/>
      <c r="DO18" s="232"/>
      <c r="DP18" s="232"/>
      <c r="DQ18" s="232"/>
      <c r="DR18" s="232"/>
      <c r="DS18" s="232"/>
      <c r="DT18" s="232"/>
      <c r="DU18" s="232"/>
      <c r="DV18" s="232"/>
      <c r="DW18" s="232"/>
      <c r="DX18" s="232"/>
      <c r="DY18" s="232"/>
      <c r="DZ18" s="232"/>
      <c r="EA18" s="232"/>
      <c r="EB18" s="232"/>
      <c r="EC18" s="232"/>
      <c r="ED18" s="232"/>
      <c r="EE18" s="232"/>
      <c r="EF18" s="232"/>
      <c r="EG18" s="232"/>
      <c r="EH18" s="232"/>
      <c r="EI18" s="232"/>
      <c r="EJ18" s="232"/>
      <c r="EK18" s="232"/>
      <c r="EL18" s="232"/>
      <c r="EM18" s="232"/>
      <c r="EN18" s="232"/>
      <c r="EO18" s="232"/>
      <c r="EP18" s="232"/>
      <c r="EQ18" s="232"/>
      <c r="ER18" s="232"/>
      <c r="ES18" s="232"/>
      <c r="ET18" s="232"/>
      <c r="EU18" s="232"/>
      <c r="EV18" s="232"/>
      <c r="EW18" s="232"/>
      <c r="EX18" s="232"/>
      <c r="EY18" s="232"/>
      <c r="EZ18" s="232"/>
      <c r="FA18" s="232"/>
      <c r="FB18" s="232"/>
      <c r="FC18" s="232"/>
      <c r="FD18" s="232"/>
      <c r="FE18" s="232"/>
      <c r="FF18" s="232"/>
      <c r="FG18" s="232"/>
      <c r="FH18" s="232"/>
      <c r="FI18" s="232"/>
      <c r="FJ18" s="232"/>
      <c r="FK18" s="232"/>
      <c r="FL18" s="232"/>
      <c r="FM18" s="232"/>
      <c r="FN18" s="232"/>
      <c r="FO18" s="232"/>
      <c r="FP18" s="232"/>
      <c r="FQ18" s="232"/>
      <c r="FR18" s="232"/>
      <c r="FS18" s="232"/>
      <c r="FT18" s="232"/>
      <c r="FU18" s="232"/>
      <c r="FV18" s="232"/>
      <c r="FW18" s="232"/>
      <c r="FX18" s="232"/>
      <c r="FY18" s="232"/>
      <c r="FZ18" s="232"/>
      <c r="GA18" s="232"/>
      <c r="GB18" s="232"/>
      <c r="GC18" s="232"/>
      <c r="GD18" s="232"/>
      <c r="GE18" s="232"/>
      <c r="GF18" s="232"/>
      <c r="GG18" s="232"/>
      <c r="GH18" s="232"/>
      <c r="GI18" s="232"/>
      <c r="GJ18" s="232"/>
      <c r="GK18" s="232"/>
      <c r="GL18" s="232"/>
      <c r="GM18" s="232"/>
      <c r="GN18" s="232"/>
      <c r="GO18" s="232"/>
      <c r="GP18" s="232"/>
      <c r="GQ18" s="232"/>
      <c r="GR18" s="232"/>
      <c r="GS18" s="232"/>
      <c r="GT18" s="232"/>
      <c r="GU18" s="232"/>
      <c r="GV18" s="232"/>
      <c r="GW18" s="232"/>
      <c r="GX18" s="232"/>
      <c r="GY18" s="232"/>
      <c r="GZ18" s="232"/>
      <c r="HA18" s="232"/>
      <c r="HB18" s="232"/>
      <c r="HC18" s="232"/>
      <c r="HD18" s="232"/>
      <c r="HE18" s="232"/>
      <c r="HF18" s="232"/>
      <c r="HG18" s="232"/>
      <c r="HH18" s="232"/>
      <c r="HI18" s="232"/>
      <c r="HJ18" s="232"/>
      <c r="HK18" s="232"/>
      <c r="HL18" s="232"/>
      <c r="HM18" s="232"/>
      <c r="HN18" s="232"/>
      <c r="HO18" s="232"/>
      <c r="HP18" s="232"/>
      <c r="HQ18" s="232"/>
      <c r="HR18" s="232"/>
      <c r="HS18" s="232"/>
      <c r="HT18" s="232"/>
      <c r="HU18" s="232"/>
      <c r="HV18" s="232"/>
      <c r="HW18" s="232"/>
      <c r="HX18" s="232"/>
      <c r="HY18" s="232"/>
      <c r="HZ18" s="232"/>
      <c r="IA18" s="232"/>
      <c r="IB18" s="232"/>
      <c r="IC18" s="232"/>
    </row>
    <row r="19" spans="1:237" ht="12" customHeight="1">
      <c r="A19" s="774"/>
      <c r="B19" s="228"/>
      <c r="C19" s="228"/>
      <c r="D19" s="228"/>
      <c r="E19" s="228"/>
      <c r="F19" s="228"/>
      <c r="G19" s="228"/>
      <c r="H19" s="366"/>
      <c r="I19" s="366"/>
      <c r="K19" s="247"/>
      <c r="L19" s="897"/>
      <c r="M19" s="897"/>
      <c r="N19" s="897"/>
      <c r="O19" s="897"/>
      <c r="P19" s="897"/>
      <c r="Q19" s="908"/>
      <c r="R19" s="899"/>
      <c r="S19" s="899"/>
      <c r="T19" s="899"/>
      <c r="U19" s="899"/>
      <c r="V19" s="899"/>
      <c r="W19" s="899"/>
      <c r="X19" s="899"/>
      <c r="Y19" s="899"/>
      <c r="Z19" s="899"/>
      <c r="AA19" s="899"/>
      <c r="AB19" s="899"/>
      <c r="AC19" s="899"/>
      <c r="AD19" s="899"/>
      <c r="AE19" s="899"/>
      <c r="AF19" s="899"/>
      <c r="AG19" s="899"/>
      <c r="AH19" s="899"/>
      <c r="AI19" s="899"/>
      <c r="AJ19" s="899"/>
      <c r="AK19" s="899"/>
      <c r="AL19" s="899"/>
      <c r="AM19" s="232"/>
      <c r="AN19" s="232"/>
      <c r="AO19" s="232"/>
      <c r="AP19" s="232"/>
      <c r="AQ19" s="232"/>
      <c r="AR19" s="232"/>
      <c r="AS19" s="232"/>
      <c r="AT19" s="232"/>
      <c r="AU19" s="232"/>
      <c r="AV19" s="232"/>
      <c r="AW19" s="232"/>
      <c r="AX19" s="232"/>
      <c r="AY19" s="232"/>
      <c r="AZ19" s="232"/>
      <c r="BA19" s="232"/>
      <c r="BB19" s="232"/>
      <c r="BC19" s="232"/>
      <c r="BD19" s="232"/>
      <c r="BE19" s="232"/>
      <c r="BF19" s="232"/>
      <c r="BG19" s="232"/>
      <c r="BH19" s="232"/>
      <c r="BI19" s="232"/>
      <c r="BJ19" s="232"/>
      <c r="BK19" s="232"/>
      <c r="BL19" s="232"/>
      <c r="BM19" s="232"/>
      <c r="BN19" s="232"/>
      <c r="BO19" s="232"/>
      <c r="BP19" s="232"/>
      <c r="BQ19" s="232"/>
      <c r="BR19" s="232"/>
      <c r="BS19" s="232"/>
      <c r="BT19" s="232"/>
      <c r="BU19" s="232"/>
      <c r="BV19" s="232"/>
      <c r="BW19" s="232"/>
      <c r="BX19" s="232"/>
      <c r="BY19" s="232"/>
      <c r="BZ19" s="232"/>
      <c r="CA19" s="232"/>
      <c r="CB19" s="232"/>
      <c r="CC19" s="232"/>
      <c r="CD19" s="232"/>
      <c r="CE19" s="232"/>
      <c r="CF19" s="232"/>
      <c r="CG19" s="232"/>
      <c r="CH19" s="232"/>
      <c r="CI19" s="232"/>
      <c r="CJ19" s="232"/>
      <c r="CK19" s="232"/>
      <c r="CL19" s="232"/>
      <c r="CM19" s="232"/>
      <c r="CN19" s="232"/>
      <c r="CO19" s="232"/>
      <c r="CP19" s="232"/>
      <c r="CQ19" s="232"/>
      <c r="CR19" s="232"/>
      <c r="CS19" s="232"/>
      <c r="CT19" s="232"/>
      <c r="CU19" s="232"/>
      <c r="CV19" s="232"/>
      <c r="CW19" s="232"/>
      <c r="CX19" s="232"/>
      <c r="CY19" s="232"/>
      <c r="CZ19" s="232"/>
      <c r="DA19" s="232"/>
      <c r="DB19" s="232"/>
      <c r="DC19" s="232"/>
      <c r="DD19" s="232"/>
      <c r="DE19" s="232"/>
      <c r="DF19" s="232"/>
      <c r="DG19" s="232"/>
      <c r="DH19" s="232"/>
      <c r="DI19" s="232"/>
      <c r="DJ19" s="232"/>
      <c r="DK19" s="232"/>
      <c r="DL19" s="232"/>
      <c r="DM19" s="232"/>
      <c r="DN19" s="232"/>
      <c r="DO19" s="232"/>
      <c r="DP19" s="232"/>
      <c r="DQ19" s="232"/>
      <c r="DR19" s="232"/>
      <c r="DS19" s="232"/>
      <c r="DT19" s="232"/>
      <c r="DU19" s="232"/>
      <c r="DV19" s="232"/>
      <c r="DW19" s="232"/>
      <c r="DX19" s="232"/>
      <c r="DY19" s="232"/>
      <c r="DZ19" s="232"/>
      <c r="EA19" s="232"/>
      <c r="EB19" s="232"/>
      <c r="EC19" s="232"/>
      <c r="ED19" s="232"/>
      <c r="EE19" s="232"/>
      <c r="EF19" s="232"/>
      <c r="EG19" s="232"/>
      <c r="EH19" s="232"/>
      <c r="EI19" s="232"/>
      <c r="EJ19" s="232"/>
      <c r="EK19" s="232"/>
      <c r="EL19" s="232"/>
      <c r="EM19" s="232"/>
      <c r="EN19" s="232"/>
      <c r="EO19" s="232"/>
      <c r="EP19" s="232"/>
      <c r="EQ19" s="232"/>
      <c r="ER19" s="232"/>
      <c r="ES19" s="232"/>
      <c r="ET19" s="232"/>
      <c r="EU19" s="232"/>
      <c r="EV19" s="232"/>
      <c r="EW19" s="232"/>
      <c r="EX19" s="232"/>
      <c r="EY19" s="232"/>
      <c r="EZ19" s="232"/>
      <c r="FA19" s="232"/>
      <c r="FB19" s="232"/>
      <c r="FC19" s="232"/>
      <c r="FD19" s="232"/>
      <c r="FE19" s="232"/>
      <c r="FF19" s="232"/>
      <c r="FG19" s="232"/>
      <c r="FH19" s="232"/>
      <c r="FI19" s="232"/>
      <c r="FJ19" s="232"/>
      <c r="FK19" s="232"/>
      <c r="FL19" s="232"/>
      <c r="FM19" s="232"/>
      <c r="FN19" s="232"/>
      <c r="FO19" s="232"/>
      <c r="FP19" s="232"/>
      <c r="FQ19" s="232"/>
      <c r="FR19" s="232"/>
      <c r="FS19" s="232"/>
      <c r="FT19" s="232"/>
      <c r="FU19" s="232"/>
      <c r="FV19" s="232"/>
      <c r="FW19" s="232"/>
      <c r="FX19" s="232"/>
      <c r="FY19" s="232"/>
      <c r="FZ19" s="232"/>
      <c r="GA19" s="232"/>
      <c r="GB19" s="232"/>
      <c r="GC19" s="232"/>
      <c r="GD19" s="232"/>
      <c r="GE19" s="232"/>
      <c r="GF19" s="232"/>
      <c r="GG19" s="232"/>
      <c r="GH19" s="232"/>
      <c r="GI19" s="232"/>
      <c r="GJ19" s="232"/>
      <c r="GK19" s="232"/>
      <c r="GL19" s="232"/>
      <c r="GM19" s="232"/>
      <c r="GN19" s="232"/>
      <c r="GO19" s="232"/>
      <c r="GP19" s="232"/>
      <c r="GQ19" s="232"/>
      <c r="GR19" s="232"/>
      <c r="GS19" s="232"/>
      <c r="GT19" s="232"/>
      <c r="GU19" s="232"/>
      <c r="GV19" s="232"/>
      <c r="GW19" s="232"/>
      <c r="GX19" s="232"/>
      <c r="GY19" s="232"/>
      <c r="GZ19" s="232"/>
      <c r="HA19" s="232"/>
      <c r="HB19" s="232"/>
      <c r="HC19" s="232"/>
      <c r="HD19" s="232"/>
      <c r="HE19" s="232"/>
      <c r="HF19" s="232"/>
      <c r="HG19" s="232"/>
      <c r="HH19" s="232"/>
      <c r="HI19" s="232"/>
      <c r="HJ19" s="232"/>
      <c r="HK19" s="232"/>
      <c r="HL19" s="232"/>
      <c r="HM19" s="232"/>
      <c r="HN19" s="232"/>
      <c r="HO19" s="232"/>
      <c r="HP19" s="232"/>
      <c r="HQ19" s="232"/>
      <c r="HR19" s="232"/>
      <c r="HS19" s="232"/>
      <c r="HT19" s="232"/>
      <c r="HU19" s="232"/>
      <c r="HV19" s="232"/>
      <c r="HW19" s="232"/>
      <c r="HX19" s="232"/>
      <c r="HY19" s="232"/>
      <c r="HZ19" s="232"/>
      <c r="IA19" s="232"/>
      <c r="IB19" s="232"/>
      <c r="IC19" s="232"/>
    </row>
    <row r="20" spans="1:237" ht="15.75">
      <c r="A20" s="235" t="s">
        <v>844</v>
      </c>
      <c r="B20" s="228"/>
      <c r="C20" s="228"/>
      <c r="D20" s="228"/>
      <c r="E20" s="228"/>
      <c r="F20" s="228"/>
      <c r="G20" s="228"/>
      <c r="H20" s="228"/>
      <c r="I20" s="228"/>
      <c r="K20" s="247"/>
      <c r="L20" s="897"/>
      <c r="M20" s="897"/>
      <c r="N20" s="897"/>
      <c r="O20" s="897"/>
      <c r="P20" s="897"/>
      <c r="Q20" s="898"/>
      <c r="R20" s="899"/>
      <c r="S20" s="899"/>
      <c r="T20" s="899"/>
      <c r="U20" s="899"/>
      <c r="V20" s="899"/>
      <c r="W20" s="899"/>
      <c r="X20" s="899"/>
      <c r="Y20" s="899"/>
      <c r="Z20" s="899"/>
      <c r="AA20" s="899"/>
      <c r="AB20" s="899"/>
      <c r="AC20" s="899"/>
      <c r="AD20" s="899"/>
      <c r="AE20" s="899"/>
      <c r="AF20" s="899"/>
      <c r="AG20" s="899"/>
      <c r="AH20" s="899"/>
      <c r="AI20" s="899"/>
      <c r="AJ20" s="899"/>
      <c r="AK20" s="899"/>
      <c r="AL20" s="899"/>
      <c r="AM20" s="232"/>
      <c r="AN20" s="232"/>
      <c r="AO20" s="232"/>
      <c r="AP20" s="232"/>
      <c r="AQ20" s="232"/>
      <c r="AR20" s="232"/>
      <c r="AS20" s="232"/>
      <c r="AT20" s="232"/>
      <c r="AU20" s="232"/>
      <c r="AV20" s="232"/>
      <c r="AW20" s="232"/>
      <c r="AX20" s="232"/>
      <c r="AY20" s="232"/>
      <c r="AZ20" s="232"/>
      <c r="BA20" s="232"/>
      <c r="BB20" s="232"/>
      <c r="BC20" s="232"/>
      <c r="BD20" s="232"/>
      <c r="BE20" s="232"/>
      <c r="BF20" s="232"/>
      <c r="BG20" s="232"/>
      <c r="BH20" s="232"/>
      <c r="BI20" s="232"/>
      <c r="BJ20" s="232"/>
      <c r="BK20" s="232"/>
      <c r="BL20" s="232"/>
      <c r="BM20" s="232"/>
      <c r="BN20" s="232"/>
      <c r="BO20" s="232"/>
      <c r="BP20" s="232"/>
      <c r="BQ20" s="232"/>
      <c r="BR20" s="232"/>
      <c r="BS20" s="232"/>
      <c r="BT20" s="232"/>
      <c r="BU20" s="232"/>
      <c r="BV20" s="232"/>
      <c r="BW20" s="232"/>
      <c r="BX20" s="232"/>
      <c r="BY20" s="232"/>
      <c r="BZ20" s="232"/>
      <c r="CA20" s="232"/>
      <c r="CB20" s="232"/>
      <c r="CC20" s="232"/>
      <c r="CD20" s="232"/>
      <c r="CE20" s="232"/>
      <c r="CF20" s="232"/>
      <c r="CG20" s="232"/>
      <c r="CH20" s="232"/>
      <c r="CI20" s="232"/>
      <c r="CJ20" s="232"/>
      <c r="CK20" s="232"/>
      <c r="CL20" s="232"/>
      <c r="CM20" s="232"/>
      <c r="CN20" s="232"/>
      <c r="CO20" s="232"/>
      <c r="CP20" s="232"/>
      <c r="CQ20" s="232"/>
      <c r="CR20" s="232"/>
      <c r="CS20" s="232"/>
      <c r="CT20" s="232"/>
      <c r="CU20" s="232"/>
      <c r="CV20" s="232"/>
      <c r="CW20" s="232"/>
      <c r="CX20" s="232"/>
      <c r="CY20" s="232"/>
      <c r="CZ20" s="232"/>
      <c r="DA20" s="232"/>
      <c r="DB20" s="232"/>
      <c r="DC20" s="232"/>
      <c r="DD20" s="232"/>
      <c r="DE20" s="232"/>
      <c r="DF20" s="232"/>
      <c r="DG20" s="232"/>
      <c r="DH20" s="232"/>
      <c r="DI20" s="232"/>
      <c r="DJ20" s="232"/>
      <c r="DK20" s="232"/>
      <c r="DL20" s="232"/>
      <c r="DM20" s="232"/>
      <c r="DN20" s="232"/>
      <c r="DO20" s="232"/>
      <c r="DP20" s="232"/>
      <c r="DQ20" s="232"/>
      <c r="DR20" s="232"/>
      <c r="DS20" s="232"/>
      <c r="DT20" s="232"/>
      <c r="DU20" s="232"/>
      <c r="DV20" s="232"/>
      <c r="DW20" s="232"/>
      <c r="DX20" s="232"/>
      <c r="DY20" s="232"/>
      <c r="DZ20" s="232"/>
      <c r="EA20" s="232"/>
      <c r="EB20" s="232"/>
      <c r="EC20" s="232"/>
      <c r="ED20" s="232"/>
      <c r="EE20" s="232"/>
      <c r="EF20" s="232"/>
      <c r="EG20" s="232"/>
      <c r="EH20" s="232"/>
      <c r="EI20" s="232"/>
      <c r="EJ20" s="232"/>
      <c r="EK20" s="232"/>
      <c r="EL20" s="232"/>
      <c r="EM20" s="232"/>
      <c r="EN20" s="232"/>
      <c r="EO20" s="232"/>
      <c r="EP20" s="232"/>
      <c r="EQ20" s="232"/>
      <c r="ER20" s="232"/>
      <c r="ES20" s="232"/>
      <c r="ET20" s="232"/>
      <c r="EU20" s="232"/>
      <c r="EV20" s="232"/>
      <c r="EW20" s="232"/>
      <c r="EX20" s="232"/>
      <c r="EY20" s="232"/>
      <c r="EZ20" s="232"/>
      <c r="FA20" s="232"/>
      <c r="FB20" s="232"/>
      <c r="FC20" s="232"/>
      <c r="FD20" s="232"/>
      <c r="FE20" s="232"/>
      <c r="FF20" s="232"/>
      <c r="FG20" s="232"/>
      <c r="FH20" s="232"/>
      <c r="FI20" s="232"/>
      <c r="FJ20" s="232"/>
      <c r="FK20" s="232"/>
      <c r="FL20" s="232"/>
      <c r="FM20" s="232"/>
      <c r="FN20" s="232"/>
      <c r="FO20" s="232"/>
      <c r="FP20" s="232"/>
      <c r="FQ20" s="232"/>
      <c r="FR20" s="232"/>
      <c r="FS20" s="232"/>
      <c r="FT20" s="232"/>
      <c r="FU20" s="232"/>
      <c r="FV20" s="232"/>
      <c r="FW20" s="232"/>
      <c r="FX20" s="232"/>
      <c r="FY20" s="232"/>
      <c r="FZ20" s="232"/>
      <c r="GA20" s="232"/>
      <c r="GB20" s="232"/>
      <c r="GC20" s="232"/>
      <c r="GD20" s="232"/>
      <c r="GE20" s="232"/>
      <c r="GF20" s="232"/>
      <c r="GG20" s="232"/>
      <c r="GH20" s="232"/>
      <c r="GI20" s="232"/>
      <c r="GJ20" s="232"/>
      <c r="GK20" s="232"/>
      <c r="GL20" s="232"/>
      <c r="GM20" s="232"/>
      <c r="GN20" s="232"/>
      <c r="GO20" s="232"/>
      <c r="GP20" s="232"/>
      <c r="GQ20" s="232"/>
      <c r="GR20" s="232"/>
      <c r="GS20" s="232"/>
      <c r="GT20" s="232"/>
      <c r="GU20" s="232"/>
      <c r="GV20" s="232"/>
      <c r="GW20" s="232"/>
      <c r="GX20" s="232"/>
      <c r="GY20" s="232"/>
      <c r="GZ20" s="232"/>
      <c r="HA20" s="232"/>
      <c r="HB20" s="232"/>
      <c r="HC20" s="232"/>
      <c r="HD20" s="232"/>
      <c r="HE20" s="232"/>
      <c r="HF20" s="232"/>
      <c r="HG20" s="232"/>
      <c r="HH20" s="232"/>
      <c r="HI20" s="232"/>
      <c r="HJ20" s="232"/>
      <c r="HK20" s="232"/>
      <c r="HL20" s="232"/>
      <c r="HM20" s="232"/>
      <c r="HN20" s="232"/>
      <c r="HO20" s="232"/>
      <c r="HP20" s="232"/>
      <c r="HQ20" s="232"/>
      <c r="HR20" s="232"/>
      <c r="HS20" s="232"/>
      <c r="HT20" s="232"/>
      <c r="HU20" s="232"/>
      <c r="HV20" s="232"/>
      <c r="HW20" s="232"/>
      <c r="HX20" s="232"/>
      <c r="HY20" s="232"/>
      <c r="HZ20" s="232"/>
      <c r="IA20" s="232"/>
      <c r="IB20" s="232"/>
      <c r="IC20" s="232"/>
    </row>
    <row r="21" spans="1:237" ht="15.6" customHeight="1">
      <c r="A21" s="239" t="s">
        <v>326</v>
      </c>
      <c r="B21" s="3"/>
      <c r="C21" s="3"/>
      <c r="D21" s="3"/>
      <c r="E21" s="3"/>
      <c r="F21" s="3"/>
      <c r="G21" s="3">
        <v>12577000</v>
      </c>
      <c r="H21" s="691">
        <f>ROUND(7557161.83+0,-3)</f>
        <v>7557000</v>
      </c>
      <c r="I21" s="691">
        <v>7253000</v>
      </c>
      <c r="K21" s="241">
        <f t="shared" ref="K21:K36" si="1">(I21/H21)-1</f>
        <v>-4.0227603546380886E-2</v>
      </c>
      <c r="L21" s="907"/>
      <c r="M21" s="897"/>
      <c r="N21" s="897"/>
      <c r="O21" s="897"/>
      <c r="P21" s="897"/>
      <c r="Q21" s="898"/>
      <c r="R21" s="899"/>
      <c r="S21" s="899"/>
      <c r="T21" s="899"/>
      <c r="U21" s="899"/>
      <c r="V21" s="899"/>
      <c r="W21" s="899"/>
      <c r="X21" s="899"/>
      <c r="Y21" s="899"/>
      <c r="Z21" s="899"/>
      <c r="AA21" s="899"/>
      <c r="AB21" s="899"/>
      <c r="AC21" s="899"/>
      <c r="AD21" s="899"/>
      <c r="AE21" s="899"/>
      <c r="AF21" s="899"/>
      <c r="AG21" s="899"/>
      <c r="AH21" s="899"/>
      <c r="AI21" s="899"/>
      <c r="AJ21" s="899"/>
      <c r="AK21" s="899"/>
      <c r="AL21" s="899"/>
      <c r="AM21" s="232"/>
      <c r="AN21" s="232"/>
      <c r="AO21" s="232"/>
      <c r="AP21" s="232"/>
      <c r="AQ21" s="232"/>
      <c r="AR21" s="232"/>
      <c r="AS21" s="232"/>
      <c r="AT21" s="232"/>
      <c r="AU21" s="232"/>
      <c r="AV21" s="232"/>
      <c r="AW21" s="232"/>
      <c r="AX21" s="232"/>
      <c r="AY21" s="232"/>
      <c r="AZ21" s="232"/>
      <c r="BA21" s="232"/>
      <c r="BB21" s="232"/>
      <c r="BC21" s="232"/>
      <c r="BD21" s="232"/>
      <c r="BE21" s="232"/>
      <c r="BF21" s="232"/>
      <c r="BG21" s="232"/>
      <c r="BH21" s="232"/>
      <c r="BI21" s="232"/>
      <c r="BJ21" s="232"/>
      <c r="BK21" s="232"/>
      <c r="BL21" s="232"/>
      <c r="BM21" s="232"/>
      <c r="BN21" s="232"/>
      <c r="BO21" s="232"/>
      <c r="BP21" s="232"/>
      <c r="BQ21" s="232"/>
      <c r="BR21" s="232"/>
      <c r="BS21" s="232"/>
      <c r="BT21" s="232"/>
      <c r="BU21" s="232"/>
      <c r="BV21" s="232"/>
      <c r="BW21" s="232"/>
      <c r="BX21" s="232"/>
      <c r="BY21" s="232"/>
      <c r="BZ21" s="232"/>
      <c r="CA21" s="232"/>
      <c r="CB21" s="232"/>
      <c r="CC21" s="232"/>
      <c r="CD21" s="232"/>
      <c r="CE21" s="232"/>
      <c r="CF21" s="232"/>
      <c r="CG21" s="232"/>
      <c r="CH21" s="232"/>
      <c r="CI21" s="232"/>
      <c r="CJ21" s="232"/>
      <c r="CK21" s="232"/>
      <c r="CL21" s="232"/>
      <c r="CM21" s="232"/>
      <c r="CN21" s="232"/>
      <c r="CO21" s="232"/>
      <c r="CP21" s="232"/>
      <c r="CQ21" s="232"/>
      <c r="CR21" s="232"/>
      <c r="CS21" s="232"/>
      <c r="CT21" s="232"/>
      <c r="CU21" s="232"/>
      <c r="CV21" s="232"/>
      <c r="CW21" s="232"/>
      <c r="CX21" s="232"/>
      <c r="CY21" s="232"/>
      <c r="CZ21" s="232"/>
      <c r="DA21" s="232"/>
      <c r="DB21" s="232"/>
      <c r="DC21" s="232"/>
      <c r="DD21" s="232"/>
      <c r="DE21" s="232"/>
      <c r="DF21" s="232"/>
      <c r="DG21" s="232"/>
      <c r="DH21" s="232"/>
      <c r="DI21" s="232"/>
      <c r="DJ21" s="232"/>
      <c r="DK21" s="232"/>
      <c r="DL21" s="232"/>
      <c r="DM21" s="232"/>
      <c r="DN21" s="232"/>
      <c r="DO21" s="232"/>
      <c r="DP21" s="232"/>
      <c r="DQ21" s="232"/>
      <c r="DR21" s="232"/>
      <c r="DS21" s="232"/>
      <c r="DT21" s="232"/>
      <c r="DU21" s="232"/>
      <c r="DV21" s="232"/>
      <c r="DW21" s="232"/>
      <c r="DX21" s="232"/>
      <c r="DY21" s="232"/>
      <c r="DZ21" s="232"/>
      <c r="EA21" s="232"/>
      <c r="EB21" s="232"/>
      <c r="EC21" s="232"/>
      <c r="ED21" s="232"/>
      <c r="EE21" s="232"/>
      <c r="EF21" s="232"/>
      <c r="EG21" s="232"/>
      <c r="EH21" s="232"/>
      <c r="EI21" s="232"/>
      <c r="EJ21" s="232"/>
      <c r="EK21" s="232"/>
      <c r="EL21" s="232"/>
      <c r="EM21" s="232"/>
      <c r="EN21" s="232"/>
      <c r="EO21" s="232"/>
      <c r="EP21" s="232"/>
      <c r="EQ21" s="232"/>
      <c r="ER21" s="232"/>
      <c r="ES21" s="232"/>
      <c r="ET21" s="232"/>
      <c r="EU21" s="232"/>
      <c r="EV21" s="232"/>
      <c r="EW21" s="232"/>
      <c r="EX21" s="232"/>
      <c r="EY21" s="232"/>
      <c r="EZ21" s="232"/>
      <c r="FA21" s="232"/>
      <c r="FB21" s="232"/>
      <c r="FC21" s="232"/>
      <c r="FD21" s="232"/>
      <c r="FE21" s="232"/>
      <c r="FF21" s="232"/>
      <c r="FG21" s="232"/>
      <c r="FH21" s="232"/>
      <c r="FI21" s="232"/>
      <c r="FJ21" s="232"/>
      <c r="FK21" s="232"/>
      <c r="FL21" s="232"/>
      <c r="FM21" s="232"/>
      <c r="FN21" s="232"/>
      <c r="FO21" s="232"/>
      <c r="FP21" s="232"/>
      <c r="FQ21" s="232"/>
      <c r="FR21" s="232"/>
      <c r="FS21" s="232"/>
      <c r="FT21" s="232"/>
      <c r="FU21" s="232"/>
      <c r="FV21" s="232"/>
      <c r="FW21" s="232"/>
      <c r="FX21" s="232"/>
      <c r="FY21" s="232"/>
      <c r="FZ21" s="232"/>
      <c r="GA21" s="232"/>
      <c r="GB21" s="232"/>
      <c r="GC21" s="232"/>
      <c r="GD21" s="232"/>
      <c r="GE21" s="232"/>
      <c r="GF21" s="232"/>
      <c r="GG21" s="232"/>
      <c r="GH21" s="232"/>
      <c r="GI21" s="232"/>
      <c r="GJ21" s="232"/>
      <c r="GK21" s="232"/>
      <c r="GL21" s="232"/>
      <c r="GM21" s="232"/>
      <c r="GN21" s="232"/>
      <c r="GO21" s="232"/>
      <c r="GP21" s="232"/>
      <c r="GQ21" s="232"/>
      <c r="GR21" s="232"/>
      <c r="GS21" s="232"/>
      <c r="GT21" s="232"/>
      <c r="GU21" s="232"/>
      <c r="GV21" s="232"/>
      <c r="GW21" s="232"/>
      <c r="GX21" s="232"/>
      <c r="GY21" s="232"/>
      <c r="GZ21" s="232"/>
      <c r="HA21" s="232"/>
      <c r="HB21" s="232"/>
      <c r="HC21" s="232"/>
      <c r="HD21" s="232"/>
      <c r="HE21" s="232"/>
      <c r="HF21" s="232"/>
      <c r="HG21" s="232"/>
      <c r="HH21" s="232"/>
      <c r="HI21" s="232"/>
      <c r="HJ21" s="232"/>
      <c r="HK21" s="232"/>
      <c r="HL21" s="232"/>
      <c r="HM21" s="232"/>
      <c r="HN21" s="232"/>
      <c r="HO21" s="232"/>
      <c r="HP21" s="232"/>
      <c r="HQ21" s="232"/>
      <c r="HR21" s="232"/>
      <c r="HS21" s="232"/>
      <c r="HT21" s="232"/>
      <c r="HU21" s="232"/>
      <c r="HV21" s="232"/>
      <c r="HW21" s="232"/>
      <c r="HX21" s="232"/>
      <c r="HY21" s="232"/>
      <c r="HZ21" s="232"/>
      <c r="IA21" s="232"/>
      <c r="IB21" s="232"/>
      <c r="IC21" s="232"/>
    </row>
    <row r="22" spans="1:237" ht="15.6" customHeight="1">
      <c r="A22" s="239" t="s">
        <v>327</v>
      </c>
      <c r="B22" s="4"/>
      <c r="C22" s="4"/>
      <c r="D22" s="4"/>
      <c r="E22" s="4"/>
      <c r="F22" s="4"/>
      <c r="G22" s="4">
        <v>129451000</v>
      </c>
      <c r="H22" s="603">
        <f>ROUND(131950330.82,-3)</f>
        <v>131950000</v>
      </c>
      <c r="I22" s="691">
        <v>234194000</v>
      </c>
      <c r="J22" s="593"/>
      <c r="K22" s="241">
        <f t="shared" si="1"/>
        <v>0.77486926866237216</v>
      </c>
      <c r="L22" s="907"/>
      <c r="M22" s="897"/>
      <c r="N22" s="897"/>
      <c r="O22" s="897"/>
      <c r="P22" s="897"/>
      <c r="Q22" s="908"/>
      <c r="R22" s="899"/>
      <c r="S22" s="909"/>
      <c r="T22" s="899"/>
      <c r="U22" s="899"/>
      <c r="V22" s="899"/>
      <c r="W22" s="899"/>
      <c r="X22" s="899"/>
      <c r="Y22" s="899"/>
      <c r="Z22" s="899"/>
      <c r="AA22" s="899"/>
      <c r="AB22" s="899"/>
      <c r="AC22" s="899"/>
      <c r="AD22" s="899"/>
      <c r="AE22" s="899"/>
      <c r="AF22" s="899"/>
      <c r="AG22" s="899"/>
      <c r="AH22" s="899"/>
      <c r="AI22" s="899"/>
      <c r="AJ22" s="899"/>
      <c r="AK22" s="899"/>
      <c r="AL22" s="899"/>
      <c r="AM22" s="232"/>
      <c r="AN22" s="232"/>
      <c r="AO22" s="232"/>
      <c r="AP22" s="232"/>
      <c r="AQ22" s="232"/>
      <c r="AR22" s="232"/>
      <c r="AS22" s="232"/>
      <c r="AT22" s="232"/>
      <c r="AU22" s="232"/>
      <c r="AV22" s="232"/>
      <c r="AW22" s="232"/>
      <c r="AX22" s="232"/>
      <c r="AY22" s="232"/>
      <c r="AZ22" s="232"/>
      <c r="BA22" s="232"/>
      <c r="BB22" s="232"/>
      <c r="BC22" s="232"/>
      <c r="BD22" s="232"/>
      <c r="BE22" s="232"/>
      <c r="BF22" s="232"/>
      <c r="BG22" s="232"/>
      <c r="BH22" s="232"/>
      <c r="BI22" s="232"/>
      <c r="BJ22" s="232"/>
      <c r="BK22" s="232"/>
      <c r="BL22" s="232"/>
      <c r="BM22" s="232"/>
      <c r="BN22" s="232"/>
      <c r="BO22" s="232"/>
      <c r="BP22" s="232"/>
      <c r="BQ22" s="232"/>
      <c r="BR22" s="232"/>
      <c r="BS22" s="232"/>
      <c r="BT22" s="232"/>
      <c r="BU22" s="232"/>
      <c r="BV22" s="232"/>
      <c r="BW22" s="232"/>
      <c r="BX22" s="232"/>
      <c r="BY22" s="232"/>
      <c r="BZ22" s="232"/>
      <c r="CA22" s="232"/>
      <c r="CB22" s="232"/>
      <c r="CC22" s="232"/>
      <c r="CD22" s="232"/>
      <c r="CE22" s="232"/>
      <c r="CF22" s="232"/>
      <c r="CG22" s="232"/>
      <c r="CH22" s="232"/>
      <c r="CI22" s="232"/>
      <c r="CJ22" s="232"/>
      <c r="CK22" s="232"/>
      <c r="CL22" s="232"/>
      <c r="CM22" s="232"/>
      <c r="CN22" s="232"/>
      <c r="CO22" s="232"/>
      <c r="CP22" s="232"/>
      <c r="CQ22" s="232"/>
      <c r="CR22" s="232"/>
      <c r="CS22" s="232"/>
      <c r="CT22" s="232"/>
      <c r="CU22" s="232"/>
      <c r="CV22" s="232"/>
      <c r="CW22" s="232"/>
      <c r="CX22" s="232"/>
      <c r="CY22" s="232"/>
      <c r="CZ22" s="232"/>
      <c r="DA22" s="232"/>
      <c r="DB22" s="232"/>
      <c r="DC22" s="232"/>
      <c r="DD22" s="232"/>
      <c r="DE22" s="232"/>
      <c r="DF22" s="232"/>
      <c r="DG22" s="232"/>
      <c r="DH22" s="232"/>
      <c r="DI22" s="232"/>
      <c r="DJ22" s="232"/>
      <c r="DK22" s="232"/>
      <c r="DL22" s="232"/>
      <c r="DM22" s="232"/>
      <c r="DN22" s="232"/>
      <c r="DO22" s="232"/>
      <c r="DP22" s="232"/>
      <c r="DQ22" s="232"/>
      <c r="DR22" s="232"/>
      <c r="DS22" s="232"/>
      <c r="DT22" s="232"/>
      <c r="DU22" s="232"/>
      <c r="DV22" s="232"/>
      <c r="DW22" s="232"/>
      <c r="DX22" s="232"/>
      <c r="DY22" s="232"/>
      <c r="DZ22" s="232"/>
      <c r="EA22" s="232"/>
      <c r="EB22" s="232"/>
      <c r="EC22" s="232"/>
      <c r="ED22" s="232"/>
      <c r="EE22" s="232"/>
      <c r="EF22" s="232"/>
      <c r="EG22" s="232"/>
      <c r="EH22" s="232"/>
      <c r="EI22" s="232"/>
      <c r="EJ22" s="232"/>
      <c r="EK22" s="232"/>
      <c r="EL22" s="232"/>
      <c r="EM22" s="232"/>
      <c r="EN22" s="232"/>
      <c r="EO22" s="232"/>
      <c r="EP22" s="232"/>
      <c r="EQ22" s="232"/>
      <c r="ER22" s="232"/>
      <c r="ES22" s="232"/>
      <c r="ET22" s="232"/>
      <c r="EU22" s="232"/>
      <c r="EV22" s="232"/>
      <c r="EW22" s="232"/>
      <c r="EX22" s="232"/>
      <c r="EY22" s="232"/>
      <c r="EZ22" s="232"/>
      <c r="FA22" s="232"/>
      <c r="FB22" s="232"/>
      <c r="FC22" s="232"/>
      <c r="FD22" s="232"/>
      <c r="FE22" s="232"/>
      <c r="FF22" s="232"/>
      <c r="FG22" s="232"/>
      <c r="FH22" s="232"/>
      <c r="FI22" s="232"/>
      <c r="FJ22" s="232"/>
      <c r="FK22" s="232"/>
      <c r="FL22" s="232"/>
      <c r="FM22" s="232"/>
      <c r="FN22" s="232"/>
      <c r="FO22" s="232"/>
      <c r="FP22" s="232"/>
      <c r="FQ22" s="232"/>
      <c r="FR22" s="232"/>
      <c r="FS22" s="232"/>
      <c r="FT22" s="232"/>
      <c r="FU22" s="232"/>
      <c r="FV22" s="232"/>
      <c r="FW22" s="232"/>
      <c r="FX22" s="232"/>
      <c r="FY22" s="232"/>
      <c r="FZ22" s="232"/>
      <c r="GA22" s="232"/>
      <c r="GB22" s="232"/>
      <c r="GC22" s="232"/>
      <c r="GD22" s="232"/>
      <c r="GE22" s="232"/>
      <c r="GF22" s="232"/>
      <c r="GG22" s="232"/>
      <c r="GH22" s="232"/>
      <c r="GI22" s="232"/>
      <c r="GJ22" s="232"/>
      <c r="GK22" s="232"/>
      <c r="GL22" s="232"/>
      <c r="GM22" s="232"/>
      <c r="GN22" s="232"/>
      <c r="GO22" s="232"/>
      <c r="GP22" s="232"/>
      <c r="GQ22" s="232"/>
      <c r="GR22" s="232"/>
      <c r="GS22" s="232"/>
      <c r="GT22" s="232"/>
      <c r="GU22" s="232"/>
      <c r="GV22" s="232"/>
      <c r="GW22" s="232"/>
      <c r="GX22" s="232"/>
      <c r="GY22" s="232"/>
      <c r="GZ22" s="232"/>
      <c r="HA22" s="232"/>
      <c r="HB22" s="232"/>
      <c r="HC22" s="232"/>
      <c r="HD22" s="232"/>
      <c r="HE22" s="232"/>
      <c r="HF22" s="232"/>
      <c r="HG22" s="232"/>
      <c r="HH22" s="232"/>
      <c r="HI22" s="232"/>
      <c r="HJ22" s="232"/>
      <c r="HK22" s="232"/>
      <c r="HL22" s="232"/>
      <c r="HM22" s="232"/>
      <c r="HN22" s="232"/>
      <c r="HO22" s="232"/>
      <c r="HP22" s="232"/>
      <c r="HQ22" s="232"/>
      <c r="HR22" s="232"/>
      <c r="HS22" s="232"/>
      <c r="HT22" s="232"/>
      <c r="HU22" s="232"/>
      <c r="HV22" s="232"/>
      <c r="HW22" s="232"/>
      <c r="HX22" s="232"/>
      <c r="HY22" s="232"/>
      <c r="HZ22" s="232"/>
      <c r="IA22" s="232"/>
      <c r="IB22" s="232"/>
      <c r="IC22" s="232"/>
    </row>
    <row r="23" spans="1:237" ht="15.6" customHeight="1">
      <c r="A23" s="239" t="s">
        <v>328</v>
      </c>
      <c r="B23" s="4"/>
      <c r="C23" s="4"/>
      <c r="D23" s="4"/>
      <c r="E23" s="4"/>
      <c r="F23" s="4"/>
      <c r="G23" s="4">
        <v>21838000</v>
      </c>
      <c r="H23" s="603">
        <f>ROUND(21687544.8,-3)</f>
        <v>21688000</v>
      </c>
      <c r="I23" s="691">
        <v>52438000</v>
      </c>
      <c r="J23" s="593"/>
      <c r="K23" s="241">
        <f t="shared" si="1"/>
        <v>1.4178347473257102</v>
      </c>
      <c r="L23" s="907"/>
      <c r="M23" s="897"/>
      <c r="N23" s="897"/>
      <c r="O23" s="897"/>
      <c r="P23" s="897"/>
      <c r="Q23" s="908"/>
      <c r="R23" s="899"/>
      <c r="S23" s="909"/>
      <c r="T23" s="899"/>
      <c r="U23" s="899"/>
      <c r="V23" s="899"/>
      <c r="W23" s="899"/>
      <c r="X23" s="899"/>
      <c r="Y23" s="899"/>
      <c r="Z23" s="899"/>
      <c r="AA23" s="899"/>
      <c r="AB23" s="899"/>
      <c r="AC23" s="899"/>
      <c r="AD23" s="899"/>
      <c r="AE23" s="899"/>
      <c r="AF23" s="899"/>
      <c r="AG23" s="899"/>
      <c r="AH23" s="899"/>
      <c r="AI23" s="899"/>
      <c r="AJ23" s="899"/>
      <c r="AK23" s="899"/>
      <c r="AL23" s="899"/>
      <c r="AM23" s="232"/>
      <c r="AN23" s="232"/>
      <c r="AO23" s="232"/>
      <c r="AP23" s="232"/>
      <c r="AQ23" s="232"/>
      <c r="AR23" s="232"/>
      <c r="AS23" s="232"/>
      <c r="AT23" s="232"/>
      <c r="AU23" s="232"/>
      <c r="AV23" s="232"/>
      <c r="AW23" s="232"/>
      <c r="AX23" s="232"/>
      <c r="AY23" s="232"/>
      <c r="AZ23" s="232"/>
      <c r="BA23" s="232"/>
      <c r="BB23" s="232"/>
      <c r="BC23" s="232"/>
      <c r="BD23" s="232"/>
      <c r="BE23" s="232"/>
      <c r="BF23" s="232"/>
      <c r="BG23" s="232"/>
      <c r="BH23" s="232"/>
      <c r="BI23" s="232"/>
      <c r="BJ23" s="232"/>
      <c r="BK23" s="232"/>
      <c r="BL23" s="232"/>
      <c r="BM23" s="232"/>
      <c r="BN23" s="232"/>
      <c r="BO23" s="232"/>
      <c r="BP23" s="232"/>
      <c r="BQ23" s="232"/>
      <c r="BR23" s="232"/>
      <c r="BS23" s="232"/>
      <c r="BT23" s="232"/>
      <c r="BU23" s="232"/>
      <c r="BV23" s="232"/>
      <c r="BW23" s="232"/>
      <c r="BX23" s="232"/>
      <c r="BY23" s="232"/>
      <c r="BZ23" s="232"/>
      <c r="CA23" s="232"/>
      <c r="CB23" s="232"/>
      <c r="CC23" s="232"/>
      <c r="CD23" s="232"/>
      <c r="CE23" s="232"/>
      <c r="CF23" s="232"/>
      <c r="CG23" s="232"/>
      <c r="CH23" s="232"/>
      <c r="CI23" s="232"/>
      <c r="CJ23" s="232"/>
      <c r="CK23" s="232"/>
      <c r="CL23" s="232"/>
      <c r="CM23" s="232"/>
      <c r="CN23" s="232"/>
      <c r="CO23" s="232"/>
      <c r="CP23" s="232"/>
      <c r="CQ23" s="232"/>
      <c r="CR23" s="232"/>
      <c r="CS23" s="232"/>
      <c r="CT23" s="232"/>
      <c r="CU23" s="232"/>
      <c r="CV23" s="232"/>
      <c r="CW23" s="232"/>
      <c r="CX23" s="232"/>
      <c r="CY23" s="232"/>
      <c r="CZ23" s="232"/>
      <c r="DA23" s="232"/>
      <c r="DB23" s="232"/>
      <c r="DC23" s="232"/>
      <c r="DD23" s="232"/>
      <c r="DE23" s="232"/>
      <c r="DF23" s="232"/>
      <c r="DG23" s="232"/>
      <c r="DH23" s="232"/>
      <c r="DI23" s="232"/>
      <c r="DJ23" s="232"/>
      <c r="DK23" s="232"/>
      <c r="DL23" s="232"/>
      <c r="DM23" s="232"/>
      <c r="DN23" s="232"/>
      <c r="DO23" s="232"/>
      <c r="DP23" s="232"/>
      <c r="DQ23" s="232"/>
      <c r="DR23" s="232"/>
      <c r="DS23" s="232"/>
      <c r="DT23" s="232"/>
      <c r="DU23" s="232"/>
      <c r="DV23" s="232"/>
      <c r="DW23" s="232"/>
      <c r="DX23" s="232"/>
      <c r="DY23" s="232"/>
      <c r="DZ23" s="232"/>
      <c r="EA23" s="232"/>
      <c r="EB23" s="232"/>
      <c r="EC23" s="232"/>
      <c r="ED23" s="232"/>
      <c r="EE23" s="232"/>
      <c r="EF23" s="232"/>
      <c r="EG23" s="232"/>
      <c r="EH23" s="232"/>
      <c r="EI23" s="232"/>
      <c r="EJ23" s="232"/>
      <c r="EK23" s="232"/>
      <c r="EL23" s="232"/>
      <c r="EM23" s="232"/>
      <c r="EN23" s="232"/>
      <c r="EO23" s="232"/>
      <c r="EP23" s="232"/>
      <c r="EQ23" s="232"/>
      <c r="ER23" s="232"/>
      <c r="ES23" s="232"/>
      <c r="ET23" s="232"/>
      <c r="EU23" s="232"/>
      <c r="EV23" s="232"/>
      <c r="EW23" s="232"/>
      <c r="EX23" s="232"/>
      <c r="EY23" s="232"/>
      <c r="EZ23" s="232"/>
      <c r="FA23" s="232"/>
      <c r="FB23" s="232"/>
      <c r="FC23" s="232"/>
      <c r="FD23" s="232"/>
      <c r="FE23" s="232"/>
      <c r="FF23" s="232"/>
      <c r="FG23" s="232"/>
      <c r="FH23" s="232"/>
      <c r="FI23" s="232"/>
      <c r="FJ23" s="232"/>
      <c r="FK23" s="232"/>
      <c r="FL23" s="232"/>
      <c r="FM23" s="232"/>
      <c r="FN23" s="232"/>
      <c r="FO23" s="232"/>
      <c r="FP23" s="232"/>
      <c r="FQ23" s="232"/>
      <c r="FR23" s="232"/>
      <c r="FS23" s="232"/>
      <c r="FT23" s="232"/>
      <c r="FU23" s="232"/>
      <c r="FV23" s="232"/>
      <c r="FW23" s="232"/>
      <c r="FX23" s="232"/>
      <c r="FY23" s="232"/>
      <c r="FZ23" s="232"/>
      <c r="GA23" s="232"/>
      <c r="GB23" s="232"/>
      <c r="GC23" s="232"/>
      <c r="GD23" s="232"/>
      <c r="GE23" s="232"/>
      <c r="GF23" s="232"/>
      <c r="GG23" s="232"/>
      <c r="GH23" s="232"/>
      <c r="GI23" s="232"/>
      <c r="GJ23" s="232"/>
      <c r="GK23" s="232"/>
      <c r="GL23" s="232"/>
      <c r="GM23" s="232"/>
      <c r="GN23" s="232"/>
      <c r="GO23" s="232"/>
      <c r="GP23" s="232"/>
      <c r="GQ23" s="232"/>
      <c r="GR23" s="232"/>
      <c r="GS23" s="232"/>
      <c r="GT23" s="232"/>
      <c r="GU23" s="232"/>
      <c r="GV23" s="232"/>
      <c r="GW23" s="232"/>
      <c r="GX23" s="232"/>
      <c r="GY23" s="232"/>
      <c r="GZ23" s="232"/>
      <c r="HA23" s="232"/>
      <c r="HB23" s="232"/>
      <c r="HC23" s="232"/>
      <c r="HD23" s="232"/>
      <c r="HE23" s="232"/>
      <c r="HF23" s="232"/>
      <c r="HG23" s="232"/>
      <c r="HH23" s="232"/>
      <c r="HI23" s="232"/>
      <c r="HJ23" s="232"/>
      <c r="HK23" s="232"/>
      <c r="HL23" s="232"/>
      <c r="HM23" s="232"/>
      <c r="HN23" s="232"/>
      <c r="HO23" s="232"/>
      <c r="HP23" s="232"/>
      <c r="HQ23" s="232"/>
      <c r="HR23" s="232"/>
      <c r="HS23" s="232"/>
      <c r="HT23" s="232"/>
      <c r="HU23" s="232"/>
      <c r="HV23" s="232"/>
      <c r="HW23" s="232"/>
      <c r="HX23" s="232"/>
      <c r="HY23" s="232"/>
      <c r="HZ23" s="232"/>
      <c r="IA23" s="232"/>
      <c r="IB23" s="232"/>
      <c r="IC23" s="232"/>
    </row>
    <row r="24" spans="1:237" ht="15.6" customHeight="1">
      <c r="A24" s="239" t="s">
        <v>329</v>
      </c>
      <c r="B24" s="248"/>
      <c r="C24" s="248"/>
      <c r="D24" s="248"/>
      <c r="E24" s="248"/>
      <c r="F24" s="248"/>
      <c r="G24" s="248">
        <v>205000</v>
      </c>
      <c r="H24" s="311">
        <f>ROUND(207801.87+0,-3)</f>
        <v>208000</v>
      </c>
      <c r="I24" s="691">
        <v>195000</v>
      </c>
      <c r="J24" s="593"/>
      <c r="K24" s="241">
        <f t="shared" si="1"/>
        <v>-6.25E-2</v>
      </c>
      <c r="L24" s="907"/>
      <c r="M24" s="897"/>
      <c r="N24" s="897"/>
      <c r="O24" s="897"/>
      <c r="P24" s="897"/>
      <c r="Q24" s="908"/>
      <c r="R24" s="899"/>
      <c r="S24" s="909"/>
      <c r="T24" s="899"/>
      <c r="U24" s="899"/>
      <c r="V24" s="899"/>
      <c r="W24" s="899"/>
      <c r="X24" s="899"/>
      <c r="Y24" s="899"/>
      <c r="Z24" s="899"/>
      <c r="AA24" s="899"/>
      <c r="AB24" s="899"/>
      <c r="AC24" s="899"/>
      <c r="AD24" s="899"/>
      <c r="AE24" s="899"/>
      <c r="AF24" s="899"/>
      <c r="AG24" s="899"/>
      <c r="AH24" s="899"/>
      <c r="AI24" s="899"/>
      <c r="AJ24" s="899"/>
      <c r="AK24" s="899"/>
      <c r="AL24" s="899"/>
      <c r="AM24" s="232"/>
      <c r="AN24" s="232"/>
      <c r="AO24" s="232"/>
      <c r="AP24" s="232"/>
      <c r="AQ24" s="232"/>
      <c r="AR24" s="232"/>
      <c r="AS24" s="232"/>
      <c r="AT24" s="232"/>
      <c r="AU24" s="232"/>
      <c r="AV24" s="232"/>
      <c r="AW24" s="232"/>
      <c r="AX24" s="232"/>
      <c r="AY24" s="232"/>
      <c r="AZ24" s="232"/>
      <c r="BA24" s="232"/>
      <c r="BB24" s="232"/>
      <c r="BC24" s="232"/>
      <c r="BD24" s="232"/>
      <c r="BE24" s="232"/>
      <c r="BF24" s="232"/>
      <c r="BG24" s="232"/>
      <c r="BH24" s="232"/>
      <c r="BI24" s="232"/>
      <c r="BJ24" s="232"/>
      <c r="BK24" s="232"/>
      <c r="BL24" s="232"/>
      <c r="BM24" s="232"/>
      <c r="BN24" s="232"/>
      <c r="BO24" s="232"/>
      <c r="BP24" s="232"/>
      <c r="BQ24" s="232"/>
      <c r="BR24" s="232"/>
      <c r="BS24" s="232"/>
      <c r="BT24" s="232"/>
      <c r="BU24" s="232"/>
      <c r="BV24" s="232"/>
      <c r="BW24" s="232"/>
      <c r="BX24" s="232"/>
      <c r="BY24" s="232"/>
      <c r="BZ24" s="232"/>
      <c r="CA24" s="232"/>
      <c r="CB24" s="232"/>
      <c r="CC24" s="232"/>
      <c r="CD24" s="232"/>
      <c r="CE24" s="232"/>
      <c r="CF24" s="232"/>
      <c r="CG24" s="232"/>
      <c r="CH24" s="232"/>
      <c r="CI24" s="232"/>
      <c r="CJ24" s="232"/>
      <c r="CK24" s="232"/>
      <c r="CL24" s="232"/>
      <c r="CM24" s="232"/>
      <c r="CN24" s="232"/>
      <c r="CO24" s="232"/>
      <c r="CP24" s="232"/>
      <c r="CQ24" s="232"/>
      <c r="CR24" s="232"/>
      <c r="CS24" s="232"/>
      <c r="CT24" s="232"/>
      <c r="CU24" s="232"/>
      <c r="CV24" s="232"/>
      <c r="CW24" s="232"/>
      <c r="CX24" s="232"/>
      <c r="CY24" s="232"/>
      <c r="CZ24" s="232"/>
      <c r="DA24" s="232"/>
      <c r="DB24" s="232"/>
      <c r="DC24" s="232"/>
      <c r="DD24" s="232"/>
      <c r="DE24" s="232"/>
      <c r="DF24" s="232"/>
      <c r="DG24" s="232"/>
      <c r="DH24" s="232"/>
      <c r="DI24" s="232"/>
      <c r="DJ24" s="232"/>
      <c r="DK24" s="232"/>
      <c r="DL24" s="232"/>
      <c r="DM24" s="232"/>
      <c r="DN24" s="232"/>
      <c r="DO24" s="232"/>
      <c r="DP24" s="232"/>
      <c r="DQ24" s="232"/>
      <c r="DR24" s="232"/>
      <c r="DS24" s="232"/>
      <c r="DT24" s="232"/>
      <c r="DU24" s="232"/>
      <c r="DV24" s="232"/>
      <c r="DW24" s="232"/>
      <c r="DX24" s="232"/>
      <c r="DY24" s="232"/>
      <c r="DZ24" s="232"/>
      <c r="EA24" s="232"/>
      <c r="EB24" s="232"/>
      <c r="EC24" s="232"/>
      <c r="ED24" s="232"/>
      <c r="EE24" s="232"/>
      <c r="EF24" s="232"/>
      <c r="EG24" s="232"/>
      <c r="EH24" s="232"/>
      <c r="EI24" s="232"/>
      <c r="EJ24" s="232"/>
      <c r="EK24" s="232"/>
      <c r="EL24" s="232"/>
      <c r="EM24" s="232"/>
      <c r="EN24" s="232"/>
      <c r="EO24" s="232"/>
      <c r="EP24" s="232"/>
      <c r="EQ24" s="232"/>
      <c r="ER24" s="232"/>
      <c r="ES24" s="232"/>
      <c r="ET24" s="232"/>
      <c r="EU24" s="232"/>
      <c r="EV24" s="232"/>
      <c r="EW24" s="232"/>
      <c r="EX24" s="232"/>
      <c r="EY24" s="232"/>
      <c r="EZ24" s="232"/>
      <c r="FA24" s="232"/>
      <c r="FB24" s="232"/>
      <c r="FC24" s="232"/>
      <c r="FD24" s="232"/>
      <c r="FE24" s="232"/>
      <c r="FF24" s="232"/>
      <c r="FG24" s="232"/>
      <c r="FH24" s="232"/>
      <c r="FI24" s="232"/>
      <c r="FJ24" s="232"/>
      <c r="FK24" s="232"/>
      <c r="FL24" s="232"/>
      <c r="FM24" s="232"/>
      <c r="FN24" s="232"/>
      <c r="FO24" s="232"/>
      <c r="FP24" s="232"/>
      <c r="FQ24" s="232"/>
      <c r="FR24" s="232"/>
      <c r="FS24" s="232"/>
      <c r="FT24" s="232"/>
      <c r="FU24" s="232"/>
      <c r="FV24" s="232"/>
      <c r="FW24" s="232"/>
      <c r="FX24" s="232"/>
      <c r="FY24" s="232"/>
      <c r="FZ24" s="232"/>
      <c r="GA24" s="232"/>
      <c r="GB24" s="232"/>
      <c r="GC24" s="232"/>
      <c r="GD24" s="232"/>
      <c r="GE24" s="232"/>
      <c r="GF24" s="232"/>
      <c r="GG24" s="232"/>
      <c r="GH24" s="232"/>
      <c r="GI24" s="232"/>
      <c r="GJ24" s="232"/>
      <c r="GK24" s="232"/>
      <c r="GL24" s="232"/>
      <c r="GM24" s="232"/>
      <c r="GN24" s="232"/>
      <c r="GO24" s="232"/>
      <c r="GP24" s="232"/>
      <c r="GQ24" s="232"/>
      <c r="GR24" s="232"/>
      <c r="GS24" s="232"/>
      <c r="GT24" s="232"/>
      <c r="GU24" s="232"/>
      <c r="GV24" s="232"/>
      <c r="GW24" s="232"/>
      <c r="GX24" s="232"/>
      <c r="GY24" s="232"/>
      <c r="GZ24" s="232"/>
      <c r="HA24" s="232"/>
      <c r="HB24" s="232"/>
      <c r="HC24" s="232"/>
      <c r="HD24" s="232"/>
      <c r="HE24" s="232"/>
      <c r="HF24" s="232"/>
      <c r="HG24" s="232"/>
      <c r="HH24" s="232"/>
      <c r="HI24" s="232"/>
      <c r="HJ24" s="232"/>
      <c r="HK24" s="232"/>
      <c r="HL24" s="232"/>
      <c r="HM24" s="232"/>
      <c r="HN24" s="232"/>
      <c r="HO24" s="232"/>
      <c r="HP24" s="232"/>
      <c r="HQ24" s="232"/>
      <c r="HR24" s="232"/>
      <c r="HS24" s="232"/>
      <c r="HT24" s="232"/>
      <c r="HU24" s="232"/>
      <c r="HV24" s="232"/>
      <c r="HW24" s="232"/>
      <c r="HX24" s="232"/>
      <c r="HY24" s="232"/>
      <c r="HZ24" s="232"/>
      <c r="IA24" s="232"/>
      <c r="IB24" s="232"/>
      <c r="IC24" s="232"/>
    </row>
    <row r="25" spans="1:237" ht="15.6" customHeight="1">
      <c r="A25" s="239" t="s">
        <v>330</v>
      </c>
      <c r="B25" s="248"/>
      <c r="C25" s="248"/>
      <c r="D25" s="248"/>
      <c r="E25" s="248"/>
      <c r="F25" s="248"/>
      <c r="G25" s="248">
        <v>2604000</v>
      </c>
      <c r="H25" s="311">
        <f>ROUND(1840522.66+614428.88, -3)</f>
        <v>2455000</v>
      </c>
      <c r="I25" s="691">
        <v>2400000</v>
      </c>
      <c r="J25" s="593"/>
      <c r="K25" s="241">
        <f t="shared" si="1"/>
        <v>-2.2403258655804503E-2</v>
      </c>
      <c r="L25" s="907"/>
      <c r="M25" s="897"/>
      <c r="N25" s="897"/>
      <c r="O25" s="897"/>
      <c r="P25" s="897"/>
      <c r="Q25" s="908"/>
      <c r="R25" s="899"/>
      <c r="S25" s="909"/>
      <c r="T25" s="899"/>
      <c r="U25" s="899"/>
      <c r="V25" s="899"/>
      <c r="W25" s="899"/>
      <c r="X25" s="899"/>
      <c r="Y25" s="899"/>
      <c r="Z25" s="899"/>
      <c r="AA25" s="899"/>
      <c r="AB25" s="899"/>
      <c r="AC25" s="899"/>
      <c r="AD25" s="899"/>
      <c r="AE25" s="899"/>
      <c r="AF25" s="899"/>
      <c r="AG25" s="899"/>
      <c r="AH25" s="899"/>
      <c r="AI25" s="899"/>
      <c r="AJ25" s="899"/>
      <c r="AK25" s="899"/>
      <c r="AL25" s="899"/>
      <c r="AM25" s="232"/>
      <c r="AN25" s="232"/>
      <c r="AO25" s="232"/>
      <c r="AP25" s="232"/>
      <c r="AQ25" s="232"/>
      <c r="AR25" s="232"/>
      <c r="AS25" s="232"/>
      <c r="AT25" s="232"/>
      <c r="AU25" s="232"/>
      <c r="AV25" s="232"/>
      <c r="AW25" s="232"/>
      <c r="AX25" s="232"/>
      <c r="AY25" s="232"/>
      <c r="AZ25" s="232"/>
      <c r="BA25" s="232"/>
      <c r="BB25" s="232"/>
      <c r="BC25" s="232"/>
      <c r="BD25" s="232"/>
      <c r="BE25" s="232"/>
      <c r="BF25" s="232"/>
      <c r="BG25" s="232"/>
      <c r="BH25" s="232"/>
      <c r="BI25" s="232"/>
      <c r="BJ25" s="232"/>
      <c r="BK25" s="232"/>
      <c r="BL25" s="232"/>
      <c r="BM25" s="232"/>
      <c r="BN25" s="232"/>
      <c r="BO25" s="232"/>
      <c r="BP25" s="232"/>
      <c r="BQ25" s="232"/>
      <c r="BR25" s="232"/>
      <c r="BS25" s="232"/>
      <c r="BT25" s="232"/>
      <c r="BU25" s="232"/>
      <c r="BV25" s="232"/>
      <c r="BW25" s="232"/>
      <c r="BX25" s="232"/>
      <c r="BY25" s="232"/>
      <c r="BZ25" s="232"/>
      <c r="CA25" s="232"/>
      <c r="CB25" s="232"/>
      <c r="CC25" s="232"/>
      <c r="CD25" s="232"/>
      <c r="CE25" s="232"/>
      <c r="CF25" s="232"/>
      <c r="CG25" s="232"/>
      <c r="CH25" s="232"/>
      <c r="CI25" s="232"/>
      <c r="CJ25" s="232"/>
      <c r="CK25" s="232"/>
      <c r="CL25" s="232"/>
      <c r="CM25" s="232"/>
      <c r="CN25" s="232"/>
      <c r="CO25" s="232"/>
      <c r="CP25" s="232"/>
      <c r="CQ25" s="232"/>
      <c r="CR25" s="232"/>
      <c r="CS25" s="232"/>
      <c r="CT25" s="232"/>
      <c r="CU25" s="232"/>
      <c r="CV25" s="232"/>
      <c r="CW25" s="232"/>
      <c r="CX25" s="232"/>
      <c r="CY25" s="232"/>
      <c r="CZ25" s="232"/>
      <c r="DA25" s="232"/>
      <c r="DB25" s="232"/>
      <c r="DC25" s="232"/>
      <c r="DD25" s="232"/>
      <c r="DE25" s="232"/>
      <c r="DF25" s="232"/>
      <c r="DG25" s="232"/>
      <c r="DH25" s="232"/>
      <c r="DI25" s="232"/>
      <c r="DJ25" s="232"/>
      <c r="DK25" s="232"/>
      <c r="DL25" s="232"/>
      <c r="DM25" s="232"/>
      <c r="DN25" s="232"/>
      <c r="DO25" s="232"/>
      <c r="DP25" s="232"/>
      <c r="DQ25" s="232"/>
      <c r="DR25" s="232"/>
      <c r="DS25" s="232"/>
      <c r="DT25" s="232"/>
      <c r="DU25" s="232"/>
      <c r="DV25" s="232"/>
      <c r="DW25" s="232"/>
      <c r="DX25" s="232"/>
      <c r="DY25" s="232"/>
      <c r="DZ25" s="232"/>
      <c r="EA25" s="232"/>
      <c r="EB25" s="232"/>
      <c r="EC25" s="232"/>
      <c r="ED25" s="232"/>
      <c r="EE25" s="232"/>
      <c r="EF25" s="232"/>
      <c r="EG25" s="232"/>
      <c r="EH25" s="232"/>
      <c r="EI25" s="232"/>
      <c r="EJ25" s="232"/>
      <c r="EK25" s="232"/>
      <c r="EL25" s="232"/>
      <c r="EM25" s="232"/>
      <c r="EN25" s="232"/>
      <c r="EO25" s="232"/>
      <c r="EP25" s="232"/>
      <c r="EQ25" s="232"/>
      <c r="ER25" s="232"/>
      <c r="ES25" s="232"/>
      <c r="ET25" s="232"/>
      <c r="EU25" s="232"/>
      <c r="EV25" s="232"/>
      <c r="EW25" s="232"/>
      <c r="EX25" s="232"/>
      <c r="EY25" s="232"/>
      <c r="EZ25" s="232"/>
      <c r="FA25" s="232"/>
      <c r="FB25" s="232"/>
      <c r="FC25" s="232"/>
      <c r="FD25" s="232"/>
      <c r="FE25" s="232"/>
      <c r="FF25" s="232"/>
      <c r="FG25" s="232"/>
      <c r="FH25" s="232"/>
      <c r="FI25" s="232"/>
      <c r="FJ25" s="232"/>
      <c r="FK25" s="232"/>
      <c r="FL25" s="232"/>
      <c r="FM25" s="232"/>
      <c r="FN25" s="232"/>
      <c r="FO25" s="232"/>
      <c r="FP25" s="232"/>
      <c r="FQ25" s="232"/>
      <c r="FR25" s="232"/>
      <c r="FS25" s="232"/>
      <c r="FT25" s="232"/>
      <c r="FU25" s="232"/>
      <c r="FV25" s="232"/>
      <c r="FW25" s="232"/>
      <c r="FX25" s="232"/>
      <c r="FY25" s="232"/>
      <c r="FZ25" s="232"/>
      <c r="GA25" s="232"/>
      <c r="GB25" s="232"/>
      <c r="GC25" s="232"/>
      <c r="GD25" s="232"/>
      <c r="GE25" s="232"/>
      <c r="GF25" s="232"/>
      <c r="GG25" s="232"/>
      <c r="GH25" s="232"/>
      <c r="GI25" s="232"/>
      <c r="GJ25" s="232"/>
      <c r="GK25" s="232"/>
      <c r="GL25" s="232"/>
      <c r="GM25" s="232"/>
      <c r="GN25" s="232"/>
      <c r="GO25" s="232"/>
      <c r="GP25" s="232"/>
      <c r="GQ25" s="232"/>
      <c r="GR25" s="232"/>
      <c r="GS25" s="232"/>
      <c r="GT25" s="232"/>
      <c r="GU25" s="232"/>
      <c r="GV25" s="232"/>
      <c r="GW25" s="232"/>
      <c r="GX25" s="232"/>
      <c r="GY25" s="232"/>
      <c r="GZ25" s="232"/>
      <c r="HA25" s="232"/>
      <c r="HB25" s="232"/>
      <c r="HC25" s="232"/>
      <c r="HD25" s="232"/>
      <c r="HE25" s="232"/>
      <c r="HF25" s="232"/>
      <c r="HG25" s="232"/>
      <c r="HH25" s="232"/>
      <c r="HI25" s="232"/>
      <c r="HJ25" s="232"/>
      <c r="HK25" s="232"/>
      <c r="HL25" s="232"/>
      <c r="HM25" s="232"/>
      <c r="HN25" s="232"/>
      <c r="HO25" s="232"/>
      <c r="HP25" s="232"/>
      <c r="HQ25" s="232"/>
      <c r="HR25" s="232"/>
      <c r="HS25" s="232"/>
      <c r="HT25" s="232"/>
      <c r="HU25" s="232"/>
      <c r="HV25" s="232"/>
      <c r="HW25" s="232"/>
      <c r="HX25" s="232"/>
      <c r="HY25" s="232"/>
      <c r="HZ25" s="232"/>
      <c r="IA25" s="232"/>
      <c r="IB25" s="232"/>
      <c r="IC25" s="232"/>
    </row>
    <row r="26" spans="1:237" ht="15.6" customHeight="1">
      <c r="A26" s="239" t="s">
        <v>331</v>
      </c>
      <c r="B26" s="248"/>
      <c r="C26" s="248"/>
      <c r="D26" s="248"/>
      <c r="E26" s="248"/>
      <c r="F26" s="248"/>
      <c r="G26" s="248">
        <v>309000</v>
      </c>
      <c r="H26" s="311">
        <f>ROUND(365532.86,-3)</f>
        <v>366000</v>
      </c>
      <c r="I26" s="691">
        <v>353000</v>
      </c>
      <c r="J26" s="593"/>
      <c r="K26" s="313">
        <f t="shared" si="1"/>
        <v>-3.5519125683060149E-2</v>
      </c>
      <c r="L26" s="907"/>
      <c r="M26" s="897"/>
      <c r="N26" s="897"/>
      <c r="O26" s="897"/>
      <c r="P26" s="897"/>
      <c r="Q26" s="908"/>
      <c r="R26" s="899"/>
      <c r="S26" s="909"/>
      <c r="T26" s="899"/>
      <c r="U26" s="899"/>
      <c r="V26" s="899"/>
      <c r="W26" s="899"/>
      <c r="X26" s="899"/>
      <c r="Y26" s="899"/>
      <c r="Z26" s="899"/>
      <c r="AA26" s="899"/>
      <c r="AB26" s="899"/>
      <c r="AC26" s="899"/>
      <c r="AD26" s="899"/>
      <c r="AE26" s="899"/>
      <c r="AF26" s="899"/>
      <c r="AG26" s="899"/>
      <c r="AH26" s="899"/>
      <c r="AI26" s="899"/>
      <c r="AJ26" s="899"/>
      <c r="AK26" s="899"/>
      <c r="AL26" s="899"/>
      <c r="AM26" s="232"/>
      <c r="AN26" s="232"/>
      <c r="AO26" s="232"/>
      <c r="AP26" s="232"/>
      <c r="AQ26" s="232"/>
      <c r="AR26" s="232"/>
      <c r="AS26" s="232"/>
      <c r="AT26" s="232"/>
      <c r="AU26" s="232"/>
      <c r="AV26" s="232"/>
      <c r="AW26" s="232"/>
      <c r="AX26" s="232"/>
      <c r="AY26" s="232"/>
      <c r="AZ26" s="232"/>
      <c r="BA26" s="232"/>
      <c r="BB26" s="232"/>
      <c r="BC26" s="232"/>
      <c r="BD26" s="232"/>
      <c r="BE26" s="232"/>
      <c r="BF26" s="232"/>
      <c r="BG26" s="232"/>
      <c r="BH26" s="232"/>
      <c r="BI26" s="232"/>
      <c r="BJ26" s="232"/>
      <c r="BK26" s="232"/>
      <c r="BL26" s="232"/>
      <c r="BM26" s="232"/>
      <c r="BN26" s="232"/>
      <c r="BO26" s="232"/>
      <c r="BP26" s="232"/>
      <c r="BQ26" s="232"/>
      <c r="BR26" s="232"/>
      <c r="BS26" s="232"/>
      <c r="BT26" s="232"/>
      <c r="BU26" s="232"/>
      <c r="BV26" s="232"/>
      <c r="BW26" s="232"/>
      <c r="BX26" s="232"/>
      <c r="BY26" s="232"/>
      <c r="BZ26" s="232"/>
      <c r="CA26" s="232"/>
      <c r="CB26" s="232"/>
      <c r="CC26" s="232"/>
      <c r="CD26" s="232"/>
      <c r="CE26" s="232"/>
      <c r="CF26" s="232"/>
      <c r="CG26" s="232"/>
      <c r="CH26" s="232"/>
      <c r="CI26" s="232"/>
      <c r="CJ26" s="232"/>
      <c r="CK26" s="232"/>
      <c r="CL26" s="232"/>
      <c r="CM26" s="232"/>
      <c r="CN26" s="232"/>
      <c r="CO26" s="232"/>
      <c r="CP26" s="232"/>
      <c r="CQ26" s="232"/>
      <c r="CR26" s="232"/>
      <c r="CS26" s="232"/>
      <c r="CT26" s="232"/>
      <c r="CU26" s="232"/>
      <c r="CV26" s="232"/>
      <c r="CW26" s="232"/>
      <c r="CX26" s="232"/>
      <c r="CY26" s="232"/>
      <c r="CZ26" s="232"/>
      <c r="DA26" s="232"/>
      <c r="DB26" s="232"/>
      <c r="DC26" s="232"/>
      <c r="DD26" s="232"/>
      <c r="DE26" s="232"/>
      <c r="DF26" s="232"/>
      <c r="DG26" s="232"/>
      <c r="DH26" s="232"/>
      <c r="DI26" s="232"/>
      <c r="DJ26" s="232"/>
      <c r="DK26" s="232"/>
      <c r="DL26" s="232"/>
      <c r="DM26" s="232"/>
      <c r="DN26" s="232"/>
      <c r="DO26" s="232"/>
      <c r="DP26" s="232"/>
      <c r="DQ26" s="232"/>
      <c r="DR26" s="232"/>
      <c r="DS26" s="232"/>
      <c r="DT26" s="232"/>
      <c r="DU26" s="232"/>
      <c r="DV26" s="232"/>
      <c r="DW26" s="232"/>
      <c r="DX26" s="232"/>
      <c r="DY26" s="232"/>
      <c r="DZ26" s="232"/>
      <c r="EA26" s="232"/>
      <c r="EB26" s="232"/>
      <c r="EC26" s="232"/>
      <c r="ED26" s="232"/>
      <c r="EE26" s="232"/>
      <c r="EF26" s="232"/>
      <c r="EG26" s="232"/>
      <c r="EH26" s="232"/>
      <c r="EI26" s="232"/>
      <c r="EJ26" s="232"/>
      <c r="EK26" s="232"/>
      <c r="EL26" s="232"/>
      <c r="EM26" s="232"/>
      <c r="EN26" s="232"/>
      <c r="EO26" s="232"/>
      <c r="EP26" s="232"/>
      <c r="EQ26" s="232"/>
      <c r="ER26" s="232"/>
      <c r="ES26" s="232"/>
      <c r="ET26" s="232"/>
      <c r="EU26" s="232"/>
      <c r="EV26" s="232"/>
      <c r="EW26" s="232"/>
      <c r="EX26" s="232"/>
      <c r="EY26" s="232"/>
      <c r="EZ26" s="232"/>
      <c r="FA26" s="232"/>
      <c r="FB26" s="232"/>
      <c r="FC26" s="232"/>
      <c r="FD26" s="232"/>
      <c r="FE26" s="232"/>
      <c r="FF26" s="232"/>
      <c r="FG26" s="232"/>
      <c r="FH26" s="232"/>
      <c r="FI26" s="232"/>
      <c r="FJ26" s="232"/>
      <c r="FK26" s="232"/>
      <c r="FL26" s="232"/>
      <c r="FM26" s="232"/>
      <c r="FN26" s="232"/>
      <c r="FO26" s="232"/>
      <c r="FP26" s="232"/>
      <c r="FQ26" s="232"/>
      <c r="FR26" s="232"/>
      <c r="FS26" s="232"/>
      <c r="FT26" s="232"/>
      <c r="FU26" s="232"/>
      <c r="FV26" s="232"/>
      <c r="FW26" s="232"/>
      <c r="FX26" s="232"/>
      <c r="FY26" s="232"/>
      <c r="FZ26" s="232"/>
      <c r="GA26" s="232"/>
      <c r="GB26" s="232"/>
      <c r="GC26" s="232"/>
      <c r="GD26" s="232"/>
      <c r="GE26" s="232"/>
      <c r="GF26" s="232"/>
      <c r="GG26" s="232"/>
      <c r="GH26" s="232"/>
      <c r="GI26" s="232"/>
      <c r="GJ26" s="232"/>
      <c r="GK26" s="232"/>
      <c r="GL26" s="232"/>
      <c r="GM26" s="232"/>
      <c r="GN26" s="232"/>
      <c r="GO26" s="232"/>
      <c r="GP26" s="232"/>
      <c r="GQ26" s="232"/>
      <c r="GR26" s="232"/>
      <c r="GS26" s="232"/>
      <c r="GT26" s="232"/>
      <c r="GU26" s="232"/>
      <c r="GV26" s="232"/>
      <c r="GW26" s="232"/>
      <c r="GX26" s="232"/>
      <c r="GY26" s="232"/>
      <c r="GZ26" s="232"/>
      <c r="HA26" s="232"/>
      <c r="HB26" s="232"/>
      <c r="HC26" s="232"/>
      <c r="HD26" s="232"/>
      <c r="HE26" s="232"/>
      <c r="HF26" s="232"/>
      <c r="HG26" s="232"/>
      <c r="HH26" s="232"/>
      <c r="HI26" s="232"/>
      <c r="HJ26" s="232"/>
      <c r="HK26" s="232"/>
      <c r="HL26" s="232"/>
      <c r="HM26" s="232"/>
      <c r="HN26" s="232"/>
      <c r="HO26" s="232"/>
      <c r="HP26" s="232"/>
      <c r="HQ26" s="232"/>
      <c r="HR26" s="232"/>
      <c r="HS26" s="232"/>
      <c r="HT26" s="232"/>
      <c r="HU26" s="232"/>
      <c r="HV26" s="232"/>
      <c r="HW26" s="232"/>
      <c r="HX26" s="232"/>
      <c r="HY26" s="232"/>
      <c r="HZ26" s="232"/>
      <c r="IA26" s="232"/>
      <c r="IB26" s="232"/>
      <c r="IC26" s="232"/>
    </row>
    <row r="27" spans="1:237" ht="15.6" customHeight="1">
      <c r="A27" s="239" t="s">
        <v>332</v>
      </c>
      <c r="B27" s="248"/>
      <c r="C27" s="248"/>
      <c r="D27" s="248"/>
      <c r="E27" s="248"/>
      <c r="F27" s="248"/>
      <c r="G27" s="248">
        <v>1050000</v>
      </c>
      <c r="H27" s="311">
        <f>ROUND(934707.14+0,-3)</f>
        <v>935000</v>
      </c>
      <c r="I27" s="691">
        <v>1363000</v>
      </c>
      <c r="J27" s="593"/>
      <c r="K27" s="313">
        <f t="shared" si="1"/>
        <v>0.45775401069518717</v>
      </c>
      <c r="L27" s="907"/>
      <c r="M27" s="897"/>
      <c r="N27" s="897"/>
      <c r="O27" s="897"/>
      <c r="P27" s="897"/>
      <c r="Q27" s="908"/>
      <c r="R27" s="899"/>
      <c r="S27" s="909"/>
      <c r="T27" s="899"/>
      <c r="U27" s="899"/>
      <c r="V27" s="899"/>
      <c r="W27" s="899"/>
      <c r="X27" s="899"/>
      <c r="Y27" s="899"/>
      <c r="Z27" s="899"/>
      <c r="AA27" s="899"/>
      <c r="AB27" s="899"/>
      <c r="AC27" s="899"/>
      <c r="AD27" s="899"/>
      <c r="AE27" s="899"/>
      <c r="AF27" s="899"/>
      <c r="AG27" s="899"/>
      <c r="AH27" s="899"/>
      <c r="AI27" s="899"/>
      <c r="AJ27" s="899"/>
      <c r="AK27" s="899"/>
      <c r="AL27" s="899"/>
      <c r="AM27" s="232"/>
      <c r="AN27" s="232"/>
      <c r="AO27" s="232"/>
      <c r="AP27" s="232"/>
      <c r="AQ27" s="232"/>
      <c r="AR27" s="232"/>
      <c r="AS27" s="232"/>
      <c r="AT27" s="232"/>
      <c r="AU27" s="232"/>
      <c r="AV27" s="232"/>
      <c r="AW27" s="232"/>
      <c r="AX27" s="232"/>
      <c r="AY27" s="232"/>
      <c r="AZ27" s="232"/>
      <c r="BA27" s="232"/>
      <c r="BB27" s="232"/>
      <c r="BC27" s="232"/>
      <c r="BD27" s="232"/>
      <c r="BE27" s="232"/>
      <c r="BF27" s="232"/>
      <c r="BG27" s="232"/>
      <c r="BH27" s="232"/>
      <c r="BI27" s="232"/>
      <c r="BJ27" s="232"/>
      <c r="BK27" s="232"/>
      <c r="BL27" s="232"/>
      <c r="BM27" s="232"/>
      <c r="BN27" s="232"/>
      <c r="BO27" s="232"/>
      <c r="BP27" s="232"/>
      <c r="BQ27" s="232"/>
      <c r="BR27" s="232"/>
      <c r="BS27" s="232"/>
      <c r="BT27" s="232"/>
      <c r="BU27" s="232"/>
      <c r="BV27" s="232"/>
      <c r="BW27" s="232"/>
      <c r="BX27" s="232"/>
      <c r="BY27" s="232"/>
      <c r="BZ27" s="232"/>
      <c r="CA27" s="232"/>
      <c r="CB27" s="232"/>
      <c r="CC27" s="232"/>
      <c r="CD27" s="232"/>
      <c r="CE27" s="232"/>
      <c r="CF27" s="232"/>
      <c r="CG27" s="232"/>
      <c r="CH27" s="232"/>
      <c r="CI27" s="232"/>
      <c r="CJ27" s="232"/>
      <c r="CK27" s="232"/>
      <c r="CL27" s="232"/>
      <c r="CM27" s="232"/>
      <c r="CN27" s="232"/>
      <c r="CO27" s="232"/>
      <c r="CP27" s="232"/>
      <c r="CQ27" s="232"/>
      <c r="CR27" s="232"/>
      <c r="CS27" s="232"/>
      <c r="CT27" s="232"/>
      <c r="CU27" s="232"/>
      <c r="CV27" s="232"/>
      <c r="CW27" s="232"/>
      <c r="CX27" s="232"/>
      <c r="CY27" s="232"/>
      <c r="CZ27" s="232"/>
      <c r="DA27" s="232"/>
      <c r="DB27" s="232"/>
      <c r="DC27" s="232"/>
      <c r="DD27" s="232"/>
      <c r="DE27" s="232"/>
      <c r="DF27" s="232"/>
      <c r="DG27" s="232"/>
      <c r="DH27" s="232"/>
      <c r="DI27" s="232"/>
      <c r="DJ27" s="232"/>
      <c r="DK27" s="232"/>
      <c r="DL27" s="232"/>
      <c r="DM27" s="232"/>
      <c r="DN27" s="232"/>
      <c r="DO27" s="232"/>
      <c r="DP27" s="232"/>
      <c r="DQ27" s="232"/>
      <c r="DR27" s="232"/>
      <c r="DS27" s="232"/>
      <c r="DT27" s="232"/>
      <c r="DU27" s="232"/>
      <c r="DV27" s="232"/>
      <c r="DW27" s="232"/>
      <c r="DX27" s="232"/>
      <c r="DY27" s="232"/>
      <c r="DZ27" s="232"/>
      <c r="EA27" s="232"/>
      <c r="EB27" s="232"/>
      <c r="EC27" s="232"/>
      <c r="ED27" s="232"/>
      <c r="EE27" s="232"/>
      <c r="EF27" s="232"/>
      <c r="EG27" s="232"/>
      <c r="EH27" s="232"/>
      <c r="EI27" s="232"/>
      <c r="EJ27" s="232"/>
      <c r="EK27" s="232"/>
      <c r="EL27" s="232"/>
      <c r="EM27" s="232"/>
      <c r="EN27" s="232"/>
      <c r="EO27" s="232"/>
      <c r="EP27" s="232"/>
      <c r="EQ27" s="232"/>
      <c r="ER27" s="232"/>
      <c r="ES27" s="232"/>
      <c r="ET27" s="232"/>
      <c r="EU27" s="232"/>
      <c r="EV27" s="232"/>
      <c r="EW27" s="232"/>
      <c r="EX27" s="232"/>
      <c r="EY27" s="232"/>
      <c r="EZ27" s="232"/>
      <c r="FA27" s="232"/>
      <c r="FB27" s="232"/>
      <c r="FC27" s="232"/>
      <c r="FD27" s="232"/>
      <c r="FE27" s="232"/>
      <c r="FF27" s="232"/>
      <c r="FG27" s="232"/>
      <c r="FH27" s="232"/>
      <c r="FI27" s="232"/>
      <c r="FJ27" s="232"/>
      <c r="FK27" s="232"/>
      <c r="FL27" s="232"/>
      <c r="FM27" s="232"/>
      <c r="FN27" s="232"/>
      <c r="FO27" s="232"/>
      <c r="FP27" s="232"/>
      <c r="FQ27" s="232"/>
      <c r="FR27" s="232"/>
      <c r="FS27" s="232"/>
      <c r="FT27" s="232"/>
      <c r="FU27" s="232"/>
      <c r="FV27" s="232"/>
      <c r="FW27" s="232"/>
      <c r="FX27" s="232"/>
      <c r="FY27" s="232"/>
      <c r="FZ27" s="232"/>
      <c r="GA27" s="232"/>
      <c r="GB27" s="232"/>
      <c r="GC27" s="232"/>
      <c r="GD27" s="232"/>
      <c r="GE27" s="232"/>
      <c r="GF27" s="232"/>
      <c r="GG27" s="232"/>
      <c r="GH27" s="232"/>
      <c r="GI27" s="232"/>
      <c r="GJ27" s="232"/>
      <c r="GK27" s="232"/>
      <c r="GL27" s="232"/>
      <c r="GM27" s="232"/>
      <c r="GN27" s="232"/>
      <c r="GO27" s="232"/>
      <c r="GP27" s="232"/>
      <c r="GQ27" s="232"/>
      <c r="GR27" s="232"/>
      <c r="GS27" s="232"/>
      <c r="GT27" s="232"/>
      <c r="GU27" s="232"/>
      <c r="GV27" s="232"/>
      <c r="GW27" s="232"/>
      <c r="GX27" s="232"/>
      <c r="GY27" s="232"/>
      <c r="GZ27" s="232"/>
      <c r="HA27" s="232"/>
      <c r="HB27" s="232"/>
      <c r="HC27" s="232"/>
      <c r="HD27" s="232"/>
      <c r="HE27" s="232"/>
      <c r="HF27" s="232"/>
      <c r="HG27" s="232"/>
      <c r="HH27" s="232"/>
      <c r="HI27" s="232"/>
      <c r="HJ27" s="232"/>
      <c r="HK27" s="232"/>
      <c r="HL27" s="232"/>
      <c r="HM27" s="232"/>
      <c r="HN27" s="232"/>
      <c r="HO27" s="232"/>
      <c r="HP27" s="232"/>
      <c r="HQ27" s="232"/>
      <c r="HR27" s="232"/>
      <c r="HS27" s="232"/>
      <c r="HT27" s="232"/>
      <c r="HU27" s="232"/>
      <c r="HV27" s="232"/>
      <c r="HW27" s="232"/>
      <c r="HX27" s="232"/>
      <c r="HY27" s="232"/>
      <c r="HZ27" s="232"/>
      <c r="IA27" s="232"/>
      <c r="IB27" s="232"/>
      <c r="IC27" s="232"/>
    </row>
    <row r="28" spans="1:237" ht="15.6" customHeight="1">
      <c r="A28" s="1311" t="s">
        <v>1223</v>
      </c>
      <c r="B28" s="228"/>
      <c r="C28" s="228"/>
      <c r="D28" s="228"/>
      <c r="E28" s="228"/>
      <c r="F28" s="228"/>
      <c r="G28" s="228">
        <v>649451000</v>
      </c>
      <c r="H28" s="228">
        <f>SUM('4.1'!C15:G15)</f>
        <v>1123440000</v>
      </c>
      <c r="I28" s="691">
        <f>'4.1'!C16</f>
        <v>1264050000</v>
      </c>
      <c r="J28" s="593"/>
      <c r="K28" s="241">
        <f t="shared" si="1"/>
        <v>0.12516022217474898</v>
      </c>
      <c r="L28" s="907"/>
      <c r="M28" s="897"/>
      <c r="N28" s="897"/>
      <c r="O28" s="897"/>
      <c r="P28" s="897"/>
      <c r="Q28" s="908"/>
      <c r="R28" s="899"/>
      <c r="S28" s="909"/>
      <c r="T28" s="899"/>
      <c r="U28" s="899"/>
      <c r="V28" s="899"/>
      <c r="W28" s="899"/>
      <c r="X28" s="899"/>
      <c r="Y28" s="899"/>
      <c r="Z28" s="899"/>
      <c r="AA28" s="899"/>
      <c r="AB28" s="899"/>
      <c r="AC28" s="899"/>
      <c r="AD28" s="899"/>
      <c r="AE28" s="899"/>
      <c r="AF28" s="899"/>
      <c r="AG28" s="899"/>
      <c r="AH28" s="899"/>
      <c r="AI28" s="899"/>
      <c r="AJ28" s="899"/>
      <c r="AK28" s="899"/>
      <c r="AL28" s="899"/>
      <c r="AM28" s="232"/>
      <c r="AN28" s="232"/>
      <c r="AO28" s="232"/>
      <c r="AP28" s="232"/>
      <c r="AQ28" s="232"/>
      <c r="AR28" s="232"/>
      <c r="AS28" s="232"/>
      <c r="AT28" s="232"/>
      <c r="AU28" s="232"/>
      <c r="AV28" s="232"/>
      <c r="AW28" s="232"/>
      <c r="AX28" s="232"/>
      <c r="AY28" s="232"/>
      <c r="AZ28" s="232"/>
      <c r="BA28" s="232"/>
      <c r="BB28" s="232"/>
      <c r="BC28" s="232"/>
      <c r="BD28" s="232"/>
      <c r="BE28" s="232"/>
      <c r="BF28" s="232"/>
      <c r="BG28" s="232"/>
      <c r="BH28" s="232"/>
      <c r="BI28" s="232"/>
      <c r="BJ28" s="232"/>
      <c r="BK28" s="232"/>
      <c r="BL28" s="232"/>
      <c r="BM28" s="232"/>
      <c r="BN28" s="232"/>
      <c r="BO28" s="232"/>
      <c r="BP28" s="232"/>
      <c r="BQ28" s="232"/>
      <c r="BR28" s="232"/>
      <c r="BS28" s="232"/>
      <c r="BT28" s="232"/>
      <c r="BU28" s="232"/>
      <c r="BV28" s="232"/>
      <c r="BW28" s="232"/>
      <c r="BX28" s="232"/>
      <c r="BY28" s="232"/>
      <c r="BZ28" s="232"/>
      <c r="CA28" s="232"/>
      <c r="CB28" s="232"/>
      <c r="CC28" s="232"/>
      <c r="CD28" s="232"/>
      <c r="CE28" s="232"/>
      <c r="CF28" s="232"/>
      <c r="CG28" s="232"/>
      <c r="CH28" s="232"/>
      <c r="CI28" s="232"/>
      <c r="CJ28" s="232"/>
      <c r="CK28" s="232"/>
      <c r="CL28" s="232"/>
      <c r="CM28" s="232"/>
      <c r="CN28" s="232"/>
      <c r="CO28" s="232"/>
      <c r="CP28" s="232"/>
      <c r="CQ28" s="232"/>
      <c r="CR28" s="232"/>
      <c r="CS28" s="232"/>
      <c r="CT28" s="232"/>
      <c r="CU28" s="232"/>
      <c r="CV28" s="232"/>
      <c r="CW28" s="232"/>
      <c r="CX28" s="232"/>
      <c r="CY28" s="232"/>
      <c r="CZ28" s="232"/>
      <c r="DA28" s="232"/>
      <c r="DB28" s="232"/>
      <c r="DC28" s="232"/>
      <c r="DD28" s="232"/>
      <c r="DE28" s="232"/>
      <c r="DF28" s="232"/>
      <c r="DG28" s="232"/>
      <c r="DH28" s="232"/>
      <c r="DI28" s="232"/>
      <c r="DJ28" s="232"/>
      <c r="DK28" s="232"/>
      <c r="DL28" s="232"/>
      <c r="DM28" s="232"/>
      <c r="DN28" s="232"/>
      <c r="DO28" s="232"/>
      <c r="DP28" s="232"/>
      <c r="DQ28" s="232"/>
      <c r="DR28" s="232"/>
      <c r="DS28" s="232"/>
      <c r="DT28" s="232"/>
      <c r="DU28" s="232"/>
      <c r="DV28" s="232"/>
      <c r="DW28" s="232"/>
      <c r="DX28" s="232"/>
      <c r="DY28" s="232"/>
      <c r="DZ28" s="232"/>
      <c r="EA28" s="232"/>
      <c r="EB28" s="232"/>
      <c r="EC28" s="232"/>
      <c r="ED28" s="232"/>
      <c r="EE28" s="232"/>
      <c r="EF28" s="232"/>
      <c r="EG28" s="232"/>
      <c r="EH28" s="232"/>
      <c r="EI28" s="232"/>
      <c r="EJ28" s="232"/>
      <c r="EK28" s="232"/>
      <c r="EL28" s="232"/>
      <c r="EM28" s="232"/>
      <c r="EN28" s="232"/>
      <c r="EO28" s="232"/>
      <c r="EP28" s="232"/>
      <c r="EQ28" s="232"/>
      <c r="ER28" s="232"/>
      <c r="ES28" s="232"/>
      <c r="ET28" s="232"/>
      <c r="EU28" s="232"/>
      <c r="EV28" s="232"/>
      <c r="EW28" s="232"/>
      <c r="EX28" s="232"/>
      <c r="EY28" s="232"/>
      <c r="EZ28" s="232"/>
      <c r="FA28" s="232"/>
      <c r="FB28" s="232"/>
      <c r="FC28" s="232"/>
      <c r="FD28" s="232"/>
      <c r="FE28" s="232"/>
      <c r="FF28" s="232"/>
      <c r="FG28" s="232"/>
      <c r="FH28" s="232"/>
      <c r="FI28" s="232"/>
      <c r="FJ28" s="232"/>
      <c r="FK28" s="232"/>
      <c r="FL28" s="232"/>
      <c r="FM28" s="232"/>
      <c r="FN28" s="232"/>
      <c r="FO28" s="232"/>
      <c r="FP28" s="232"/>
      <c r="FQ28" s="232"/>
      <c r="FR28" s="232"/>
      <c r="FS28" s="232"/>
      <c r="FT28" s="232"/>
      <c r="FU28" s="232"/>
      <c r="FV28" s="232"/>
      <c r="FW28" s="232"/>
      <c r="FX28" s="232"/>
      <c r="FY28" s="232"/>
      <c r="FZ28" s="232"/>
      <c r="GA28" s="232"/>
      <c r="GB28" s="232"/>
      <c r="GC28" s="232"/>
      <c r="GD28" s="232"/>
      <c r="GE28" s="232"/>
      <c r="GF28" s="232"/>
      <c r="GG28" s="232"/>
      <c r="GH28" s="232"/>
      <c r="GI28" s="232"/>
      <c r="GJ28" s="232"/>
      <c r="GK28" s="232"/>
      <c r="GL28" s="232"/>
      <c r="GM28" s="232"/>
      <c r="GN28" s="232"/>
      <c r="GO28" s="232"/>
      <c r="GP28" s="232"/>
      <c r="GQ28" s="232"/>
      <c r="GR28" s="232"/>
      <c r="GS28" s="232"/>
      <c r="GT28" s="232"/>
      <c r="GU28" s="232"/>
      <c r="GV28" s="232"/>
      <c r="GW28" s="232"/>
      <c r="GX28" s="232"/>
      <c r="GY28" s="232"/>
      <c r="GZ28" s="232"/>
      <c r="HA28" s="232"/>
      <c r="HB28" s="232"/>
      <c r="HC28" s="232"/>
      <c r="HD28" s="232"/>
      <c r="HE28" s="232"/>
      <c r="HF28" s="232"/>
      <c r="HG28" s="232"/>
      <c r="HH28" s="232"/>
      <c r="HI28" s="232"/>
      <c r="HJ28" s="232"/>
      <c r="HK28" s="232"/>
      <c r="HL28" s="232"/>
      <c r="HM28" s="232"/>
      <c r="HN28" s="232"/>
      <c r="HO28" s="232"/>
      <c r="HP28" s="232"/>
      <c r="HQ28" s="232"/>
      <c r="HR28" s="232"/>
      <c r="HS28" s="232"/>
      <c r="HT28" s="232"/>
      <c r="HU28" s="232"/>
      <c r="HV28" s="232"/>
      <c r="HW28" s="232"/>
      <c r="HX28" s="232"/>
      <c r="HY28" s="232"/>
      <c r="HZ28" s="232"/>
      <c r="IA28" s="232"/>
      <c r="IB28" s="232"/>
      <c r="IC28" s="232"/>
    </row>
    <row r="29" spans="1:237" ht="15.6" customHeight="1">
      <c r="A29" s="231" t="s">
        <v>333</v>
      </c>
      <c r="B29" s="248"/>
      <c r="C29" s="248"/>
      <c r="D29" s="248"/>
      <c r="E29" s="248"/>
      <c r="F29" s="248"/>
      <c r="G29" s="248">
        <v>3060000</v>
      </c>
      <c r="H29" s="311">
        <f>ROUND(3214035.05+0,-3)</f>
        <v>3214000</v>
      </c>
      <c r="I29" s="691">
        <v>2893000</v>
      </c>
      <c r="J29" s="593"/>
      <c r="K29" s="241">
        <f t="shared" si="1"/>
        <v>-9.987554449284386E-2</v>
      </c>
      <c r="L29" s="907"/>
      <c r="M29" s="897"/>
      <c r="N29" s="897"/>
      <c r="O29" s="897"/>
      <c r="P29" s="897"/>
      <c r="Q29" s="908"/>
      <c r="R29" s="899"/>
      <c r="S29" s="899"/>
      <c r="T29" s="906"/>
      <c r="U29" s="911"/>
      <c r="V29" s="899"/>
      <c r="W29" s="899"/>
      <c r="X29" s="899"/>
      <c r="Y29" s="899"/>
      <c r="Z29" s="899"/>
      <c r="AA29" s="899"/>
      <c r="AB29" s="899"/>
      <c r="AC29" s="899"/>
      <c r="AD29" s="899"/>
      <c r="AE29" s="899"/>
      <c r="AF29" s="899"/>
      <c r="AG29" s="899"/>
      <c r="AH29" s="899"/>
      <c r="AI29" s="899"/>
      <c r="AJ29" s="899"/>
      <c r="AK29" s="899"/>
      <c r="AL29" s="899"/>
      <c r="AM29" s="232"/>
      <c r="AN29" s="232"/>
      <c r="AO29" s="232"/>
      <c r="AP29" s="232"/>
      <c r="AQ29" s="232"/>
      <c r="AR29" s="232"/>
      <c r="AS29" s="232"/>
      <c r="AT29" s="232"/>
      <c r="AU29" s="232"/>
      <c r="AV29" s="232"/>
      <c r="AW29" s="232"/>
      <c r="AX29" s="232"/>
      <c r="AY29" s="232"/>
      <c r="AZ29" s="232"/>
      <c r="BA29" s="232"/>
      <c r="BB29" s="232"/>
      <c r="BC29" s="232"/>
      <c r="BD29" s="232"/>
      <c r="BE29" s="232"/>
      <c r="BF29" s="232"/>
      <c r="BG29" s="232"/>
      <c r="BH29" s="232"/>
      <c r="BI29" s="232"/>
      <c r="BJ29" s="232"/>
      <c r="BK29" s="232"/>
      <c r="BL29" s="232"/>
      <c r="BM29" s="232"/>
      <c r="BN29" s="232"/>
      <c r="BO29" s="232"/>
      <c r="BP29" s="232"/>
      <c r="BQ29" s="232"/>
      <c r="BR29" s="232"/>
      <c r="BS29" s="232"/>
      <c r="BT29" s="232"/>
      <c r="BU29" s="232"/>
      <c r="BV29" s="232"/>
      <c r="BW29" s="232"/>
      <c r="BX29" s="232"/>
      <c r="BY29" s="232"/>
      <c r="BZ29" s="232"/>
      <c r="CA29" s="232"/>
      <c r="CB29" s="232"/>
      <c r="CC29" s="232"/>
      <c r="CD29" s="232"/>
      <c r="CE29" s="232"/>
      <c r="CF29" s="232"/>
      <c r="CG29" s="232"/>
      <c r="CH29" s="232"/>
      <c r="CI29" s="232"/>
      <c r="CJ29" s="232"/>
      <c r="CK29" s="232"/>
      <c r="CL29" s="232"/>
      <c r="CM29" s="232"/>
      <c r="CN29" s="232"/>
      <c r="CO29" s="232"/>
      <c r="CP29" s="232"/>
      <c r="CQ29" s="232"/>
      <c r="CR29" s="232"/>
      <c r="CS29" s="232"/>
      <c r="CT29" s="232"/>
      <c r="CU29" s="232"/>
      <c r="CV29" s="232"/>
      <c r="CW29" s="232"/>
      <c r="CX29" s="232"/>
      <c r="CY29" s="232"/>
      <c r="CZ29" s="232"/>
      <c r="DA29" s="232"/>
      <c r="DB29" s="232"/>
      <c r="DC29" s="232"/>
      <c r="DD29" s="232"/>
      <c r="DE29" s="232"/>
      <c r="DF29" s="232"/>
      <c r="DG29" s="232"/>
      <c r="DH29" s="232"/>
      <c r="DI29" s="232"/>
      <c r="DJ29" s="232"/>
      <c r="DK29" s="232"/>
      <c r="DL29" s="232"/>
      <c r="DM29" s="232"/>
      <c r="DN29" s="232"/>
      <c r="DO29" s="232"/>
      <c r="DP29" s="232"/>
      <c r="DQ29" s="232"/>
      <c r="DR29" s="232"/>
      <c r="DS29" s="232"/>
      <c r="DT29" s="232"/>
      <c r="DU29" s="232"/>
      <c r="DV29" s="232"/>
      <c r="DW29" s="232"/>
      <c r="DX29" s="232"/>
      <c r="DY29" s="232"/>
      <c r="DZ29" s="232"/>
      <c r="EA29" s="232"/>
      <c r="EB29" s="232"/>
      <c r="EC29" s="232"/>
      <c r="ED29" s="232"/>
      <c r="EE29" s="232"/>
      <c r="EF29" s="232"/>
      <c r="EG29" s="232"/>
      <c r="EH29" s="232"/>
      <c r="EI29" s="232"/>
      <c r="EJ29" s="232"/>
      <c r="EK29" s="232"/>
      <c r="EL29" s="232"/>
      <c r="EM29" s="232"/>
      <c r="EN29" s="232"/>
      <c r="EO29" s="232"/>
      <c r="EP29" s="232"/>
      <c r="EQ29" s="232"/>
      <c r="ER29" s="232"/>
      <c r="ES29" s="232"/>
      <c r="ET29" s="232"/>
      <c r="EU29" s="232"/>
      <c r="EV29" s="232"/>
      <c r="EW29" s="232"/>
      <c r="EX29" s="232"/>
      <c r="EY29" s="232"/>
      <c r="EZ29" s="232"/>
      <c r="FA29" s="232"/>
      <c r="FB29" s="232"/>
      <c r="FC29" s="232"/>
      <c r="FD29" s="232"/>
      <c r="FE29" s="232"/>
      <c r="FF29" s="232"/>
      <c r="FG29" s="232"/>
      <c r="FH29" s="232"/>
      <c r="FI29" s="232"/>
      <c r="FJ29" s="232"/>
      <c r="FK29" s="232"/>
      <c r="FL29" s="232"/>
      <c r="FM29" s="232"/>
      <c r="FN29" s="232"/>
      <c r="FO29" s="232"/>
      <c r="FP29" s="232"/>
      <c r="FQ29" s="232"/>
      <c r="FR29" s="232"/>
      <c r="FS29" s="232"/>
      <c r="FT29" s="232"/>
      <c r="FU29" s="232"/>
      <c r="FV29" s="232"/>
      <c r="FW29" s="232"/>
      <c r="FX29" s="232"/>
      <c r="FY29" s="232"/>
      <c r="FZ29" s="232"/>
      <c r="GA29" s="232"/>
      <c r="GB29" s="232"/>
      <c r="GC29" s="232"/>
      <c r="GD29" s="232"/>
      <c r="GE29" s="232"/>
      <c r="GF29" s="232"/>
      <c r="GG29" s="232"/>
      <c r="GH29" s="232"/>
      <c r="GI29" s="232"/>
      <c r="GJ29" s="232"/>
      <c r="GK29" s="232"/>
      <c r="GL29" s="232"/>
      <c r="GM29" s="232"/>
      <c r="GN29" s="232"/>
      <c r="GO29" s="232"/>
      <c r="GP29" s="232"/>
      <c r="GQ29" s="232"/>
      <c r="GR29" s="232"/>
      <c r="GS29" s="232"/>
      <c r="GT29" s="232"/>
      <c r="GU29" s="232"/>
      <c r="GV29" s="232"/>
      <c r="GW29" s="232"/>
      <c r="GX29" s="232"/>
      <c r="GY29" s="232"/>
      <c r="GZ29" s="232"/>
      <c r="HA29" s="232"/>
      <c r="HB29" s="232"/>
      <c r="HC29" s="232"/>
      <c r="HD29" s="232"/>
      <c r="HE29" s="232"/>
      <c r="HF29" s="232"/>
      <c r="HG29" s="232"/>
      <c r="HH29" s="232"/>
      <c r="HI29" s="232"/>
      <c r="HJ29" s="232"/>
      <c r="HK29" s="232"/>
      <c r="HL29" s="232"/>
      <c r="HM29" s="232"/>
      <c r="HN29" s="232"/>
      <c r="HO29" s="232"/>
      <c r="HP29" s="232"/>
      <c r="HQ29" s="232"/>
      <c r="HR29" s="232"/>
      <c r="HS29" s="232"/>
      <c r="HT29" s="232"/>
      <c r="HU29" s="232"/>
      <c r="HV29" s="232"/>
      <c r="HW29" s="232"/>
      <c r="HX29" s="232"/>
      <c r="HY29" s="232"/>
      <c r="HZ29" s="232"/>
      <c r="IA29" s="232"/>
      <c r="IB29" s="232"/>
      <c r="IC29" s="232"/>
    </row>
    <row r="30" spans="1:237" ht="15.6" customHeight="1">
      <c r="A30" s="231" t="s">
        <v>335</v>
      </c>
      <c r="B30" s="248"/>
      <c r="C30" s="248"/>
      <c r="D30" s="248"/>
      <c r="E30" s="248"/>
      <c r="F30" s="248"/>
      <c r="G30" s="248">
        <v>398000</v>
      </c>
      <c r="H30" s="311">
        <f>ROUND(460022.04+0,-3)</f>
        <v>460000</v>
      </c>
      <c r="I30" s="691">
        <v>435000</v>
      </c>
      <c r="J30" s="593"/>
      <c r="K30" s="247">
        <f t="shared" si="1"/>
        <v>-5.4347826086956541E-2</v>
      </c>
      <c r="L30" s="907"/>
      <c r="M30" s="897"/>
      <c r="N30" s="897"/>
      <c r="O30" s="897"/>
      <c r="P30" s="897"/>
      <c r="Q30" s="908"/>
      <c r="R30" s="899"/>
      <c r="S30" s="899"/>
      <c r="T30" s="906"/>
      <c r="U30" s="911"/>
      <c r="V30" s="899"/>
      <c r="W30" s="899"/>
      <c r="X30" s="899"/>
      <c r="Y30" s="899"/>
      <c r="Z30" s="899"/>
      <c r="AA30" s="899"/>
      <c r="AB30" s="899"/>
      <c r="AC30" s="899"/>
      <c r="AD30" s="899"/>
      <c r="AE30" s="899"/>
      <c r="AF30" s="899"/>
      <c r="AG30" s="899"/>
      <c r="AH30" s="899"/>
      <c r="AI30" s="899"/>
      <c r="AJ30" s="899"/>
      <c r="AK30" s="899"/>
      <c r="AL30" s="899"/>
      <c r="AM30" s="232"/>
      <c r="AN30" s="232"/>
      <c r="AO30" s="232"/>
      <c r="AP30" s="232"/>
      <c r="AQ30" s="232"/>
      <c r="AR30" s="232"/>
      <c r="AS30" s="232"/>
      <c r="AT30" s="232"/>
      <c r="AU30" s="232"/>
      <c r="AV30" s="232"/>
      <c r="AW30" s="232"/>
      <c r="AX30" s="232"/>
      <c r="AY30" s="232"/>
      <c r="AZ30" s="232"/>
      <c r="BA30" s="232"/>
      <c r="BB30" s="232"/>
      <c r="BC30" s="232"/>
      <c r="BD30" s="232"/>
      <c r="BE30" s="232"/>
      <c r="BF30" s="232"/>
      <c r="BG30" s="232"/>
      <c r="BH30" s="232"/>
      <c r="BI30" s="232"/>
      <c r="BJ30" s="232"/>
      <c r="BK30" s="232"/>
      <c r="BL30" s="232"/>
      <c r="BM30" s="232"/>
      <c r="BN30" s="232"/>
      <c r="BO30" s="232"/>
      <c r="BP30" s="232"/>
      <c r="BQ30" s="232"/>
      <c r="BR30" s="232"/>
      <c r="BS30" s="232"/>
      <c r="BT30" s="232"/>
      <c r="BU30" s="232"/>
      <c r="BV30" s="232"/>
      <c r="BW30" s="232"/>
      <c r="BX30" s="232"/>
      <c r="BY30" s="232"/>
      <c r="BZ30" s="232"/>
      <c r="CA30" s="232"/>
      <c r="CB30" s="232"/>
      <c r="CC30" s="232"/>
      <c r="CD30" s="232"/>
      <c r="CE30" s="232"/>
      <c r="CF30" s="232"/>
      <c r="CG30" s="232"/>
      <c r="CH30" s="232"/>
      <c r="CI30" s="232"/>
      <c r="CJ30" s="232"/>
      <c r="CK30" s="232"/>
      <c r="CL30" s="232"/>
      <c r="CM30" s="232"/>
      <c r="CN30" s="232"/>
      <c r="CO30" s="232"/>
      <c r="CP30" s="232"/>
      <c r="CQ30" s="232"/>
      <c r="CR30" s="232"/>
      <c r="CS30" s="232"/>
      <c r="CT30" s="232"/>
      <c r="CU30" s="232"/>
      <c r="CV30" s="232"/>
      <c r="CW30" s="232"/>
      <c r="CX30" s="232"/>
      <c r="CY30" s="232"/>
      <c r="CZ30" s="232"/>
      <c r="DA30" s="232"/>
      <c r="DB30" s="232"/>
      <c r="DC30" s="232"/>
      <c r="DD30" s="232"/>
      <c r="DE30" s="232"/>
      <c r="DF30" s="232"/>
      <c r="DG30" s="232"/>
      <c r="DH30" s="232"/>
      <c r="DI30" s="232"/>
      <c r="DJ30" s="232"/>
      <c r="DK30" s="232"/>
      <c r="DL30" s="232"/>
      <c r="DM30" s="232"/>
      <c r="DN30" s="232"/>
      <c r="DO30" s="232"/>
      <c r="DP30" s="232"/>
      <c r="DQ30" s="232"/>
      <c r="DR30" s="232"/>
      <c r="DS30" s="232"/>
      <c r="DT30" s="232"/>
      <c r="DU30" s="232"/>
      <c r="DV30" s="232"/>
      <c r="DW30" s="232"/>
      <c r="DX30" s="232"/>
      <c r="DY30" s="232"/>
      <c r="DZ30" s="232"/>
      <c r="EA30" s="232"/>
      <c r="EB30" s="232"/>
      <c r="EC30" s="232"/>
      <c r="ED30" s="232"/>
      <c r="EE30" s="232"/>
      <c r="EF30" s="232"/>
      <c r="EG30" s="232"/>
      <c r="EH30" s="232"/>
      <c r="EI30" s="232"/>
      <c r="EJ30" s="232"/>
      <c r="EK30" s="232"/>
      <c r="EL30" s="232"/>
      <c r="EM30" s="232"/>
      <c r="EN30" s="232"/>
      <c r="EO30" s="232"/>
      <c r="EP30" s="232"/>
      <c r="EQ30" s="232"/>
      <c r="ER30" s="232"/>
      <c r="ES30" s="232"/>
      <c r="ET30" s="232"/>
      <c r="EU30" s="232"/>
      <c r="EV30" s="232"/>
      <c r="EW30" s="232"/>
      <c r="EX30" s="232"/>
      <c r="EY30" s="232"/>
      <c r="EZ30" s="232"/>
      <c r="FA30" s="232"/>
      <c r="FB30" s="232"/>
      <c r="FC30" s="232"/>
      <c r="FD30" s="232"/>
      <c r="FE30" s="232"/>
      <c r="FF30" s="232"/>
      <c r="FG30" s="232"/>
      <c r="FH30" s="232"/>
      <c r="FI30" s="232"/>
      <c r="FJ30" s="232"/>
      <c r="FK30" s="232"/>
      <c r="FL30" s="232"/>
      <c r="FM30" s="232"/>
      <c r="FN30" s="232"/>
      <c r="FO30" s="232"/>
      <c r="FP30" s="232"/>
      <c r="FQ30" s="232"/>
      <c r="FR30" s="232"/>
      <c r="FS30" s="232"/>
      <c r="FT30" s="232"/>
      <c r="FU30" s="232"/>
      <c r="FV30" s="232"/>
      <c r="FW30" s="232"/>
      <c r="FX30" s="232"/>
      <c r="FY30" s="232"/>
      <c r="FZ30" s="232"/>
      <c r="GA30" s="232"/>
      <c r="GB30" s="232"/>
      <c r="GC30" s="232"/>
      <c r="GD30" s="232"/>
      <c r="GE30" s="232"/>
      <c r="GF30" s="232"/>
      <c r="GG30" s="232"/>
      <c r="GH30" s="232"/>
      <c r="GI30" s="232"/>
      <c r="GJ30" s="232"/>
      <c r="GK30" s="232"/>
      <c r="GL30" s="232"/>
      <c r="GM30" s="232"/>
      <c r="GN30" s="232"/>
      <c r="GO30" s="232"/>
      <c r="GP30" s="232"/>
      <c r="GQ30" s="232"/>
      <c r="GR30" s="232"/>
      <c r="GS30" s="232"/>
      <c r="GT30" s="232"/>
      <c r="GU30" s="232"/>
      <c r="GV30" s="232"/>
      <c r="GW30" s="232"/>
      <c r="GX30" s="232"/>
      <c r="GY30" s="232"/>
      <c r="GZ30" s="232"/>
      <c r="HA30" s="232"/>
      <c r="HB30" s="232"/>
      <c r="HC30" s="232"/>
      <c r="HD30" s="232"/>
      <c r="HE30" s="232"/>
      <c r="HF30" s="232"/>
      <c r="HG30" s="232"/>
      <c r="HH30" s="232"/>
      <c r="HI30" s="232"/>
      <c r="HJ30" s="232"/>
      <c r="HK30" s="232"/>
      <c r="HL30" s="232"/>
      <c r="HM30" s="232"/>
      <c r="HN30" s="232"/>
      <c r="HO30" s="232"/>
      <c r="HP30" s="232"/>
      <c r="HQ30" s="232"/>
      <c r="HR30" s="232"/>
      <c r="HS30" s="232"/>
      <c r="HT30" s="232"/>
      <c r="HU30" s="232"/>
      <c r="HV30" s="232"/>
      <c r="HW30" s="232"/>
      <c r="HX30" s="232"/>
      <c r="HY30" s="232"/>
      <c r="HZ30" s="232"/>
      <c r="IA30" s="232"/>
      <c r="IB30" s="232"/>
      <c r="IC30" s="232"/>
    </row>
    <row r="31" spans="1:237" ht="15.6" customHeight="1">
      <c r="A31" s="231" t="s">
        <v>336</v>
      </c>
      <c r="B31" s="248"/>
      <c r="C31" s="248"/>
      <c r="D31" s="248"/>
      <c r="E31" s="248"/>
      <c r="F31" s="248"/>
      <c r="G31" s="248">
        <v>179000</v>
      </c>
      <c r="H31" s="311">
        <f>ROUND(142617.3+0,-3)</f>
        <v>143000</v>
      </c>
      <c r="I31" s="691">
        <v>205000</v>
      </c>
      <c r="J31" s="593"/>
      <c r="K31" s="241">
        <f t="shared" si="1"/>
        <v>0.43356643356643354</v>
      </c>
      <c r="L31" s="907"/>
      <c r="M31" s="897"/>
      <c r="N31" s="897"/>
      <c r="O31" s="897"/>
      <c r="P31" s="897"/>
      <c r="Q31" s="908"/>
      <c r="T31" s="906"/>
      <c r="U31" s="911"/>
      <c r="V31" s="899"/>
      <c r="W31" s="899"/>
      <c r="X31" s="899"/>
      <c r="Y31" s="899"/>
      <c r="Z31" s="899"/>
      <c r="AA31" s="899"/>
      <c r="AB31" s="899"/>
      <c r="AC31" s="899"/>
      <c r="AD31" s="899"/>
      <c r="AE31" s="899"/>
      <c r="AF31" s="899"/>
      <c r="AG31" s="899"/>
      <c r="AH31" s="899"/>
      <c r="AI31" s="899"/>
      <c r="AJ31" s="899"/>
      <c r="AK31" s="899"/>
      <c r="AL31" s="899"/>
      <c r="AM31" s="232"/>
      <c r="AN31" s="232"/>
      <c r="AO31" s="232"/>
      <c r="AP31" s="232"/>
      <c r="AQ31" s="232"/>
      <c r="AR31" s="232"/>
      <c r="AS31" s="232"/>
      <c r="AT31" s="232"/>
      <c r="AU31" s="232"/>
      <c r="AV31" s="232"/>
      <c r="AW31" s="232"/>
      <c r="AX31" s="232"/>
      <c r="AY31" s="232"/>
      <c r="AZ31" s="232"/>
      <c r="BA31" s="232"/>
      <c r="BB31" s="232"/>
      <c r="BC31" s="232"/>
      <c r="BD31" s="232"/>
      <c r="BE31" s="232"/>
      <c r="BF31" s="232"/>
      <c r="BG31" s="232"/>
      <c r="BH31" s="232"/>
      <c r="BI31" s="232"/>
      <c r="BJ31" s="232"/>
      <c r="BK31" s="232"/>
      <c r="BL31" s="232"/>
      <c r="BM31" s="232"/>
      <c r="BN31" s="232"/>
      <c r="BO31" s="232"/>
      <c r="BP31" s="232"/>
      <c r="BQ31" s="232"/>
      <c r="BR31" s="232"/>
      <c r="BS31" s="232"/>
      <c r="BT31" s="232"/>
      <c r="BU31" s="232"/>
      <c r="BV31" s="232"/>
      <c r="BW31" s="232"/>
      <c r="BX31" s="232"/>
      <c r="BY31" s="232"/>
      <c r="BZ31" s="232"/>
      <c r="CA31" s="232"/>
      <c r="CB31" s="232"/>
      <c r="CC31" s="232"/>
      <c r="CD31" s="232"/>
      <c r="CE31" s="232"/>
      <c r="CF31" s="232"/>
      <c r="CG31" s="232"/>
      <c r="CH31" s="232"/>
      <c r="CI31" s="232"/>
      <c r="CJ31" s="232"/>
      <c r="CK31" s="232"/>
      <c r="CL31" s="232"/>
      <c r="CM31" s="232"/>
      <c r="CN31" s="232"/>
      <c r="CO31" s="232"/>
      <c r="CP31" s="232"/>
      <c r="CQ31" s="232"/>
      <c r="CR31" s="232"/>
      <c r="CS31" s="232"/>
      <c r="CT31" s="232"/>
      <c r="CU31" s="232"/>
      <c r="CV31" s="232"/>
      <c r="CW31" s="232"/>
      <c r="CX31" s="232"/>
      <c r="CY31" s="232"/>
      <c r="CZ31" s="232"/>
      <c r="DA31" s="232"/>
      <c r="DB31" s="232"/>
      <c r="DC31" s="232"/>
      <c r="DD31" s="232"/>
      <c r="DE31" s="232"/>
      <c r="DF31" s="232"/>
      <c r="DG31" s="232"/>
      <c r="DH31" s="232"/>
      <c r="DI31" s="232"/>
      <c r="DJ31" s="232"/>
      <c r="DK31" s="232"/>
      <c r="DL31" s="232"/>
      <c r="DM31" s="232"/>
      <c r="DN31" s="232"/>
      <c r="DO31" s="232"/>
      <c r="DP31" s="232"/>
      <c r="DQ31" s="232"/>
      <c r="DR31" s="232"/>
      <c r="DS31" s="232"/>
      <c r="DT31" s="232"/>
      <c r="DU31" s="232"/>
      <c r="DV31" s="232"/>
      <c r="DW31" s="232"/>
      <c r="DX31" s="232"/>
      <c r="DY31" s="232"/>
      <c r="DZ31" s="232"/>
      <c r="EA31" s="232"/>
      <c r="EB31" s="232"/>
      <c r="EC31" s="232"/>
      <c r="ED31" s="232"/>
      <c r="EE31" s="232"/>
      <c r="EF31" s="232"/>
      <c r="EG31" s="232"/>
      <c r="EH31" s="232"/>
      <c r="EI31" s="232"/>
      <c r="EJ31" s="232"/>
      <c r="EK31" s="232"/>
      <c r="EL31" s="232"/>
      <c r="EM31" s="232"/>
      <c r="EN31" s="232"/>
      <c r="EO31" s="232"/>
      <c r="EP31" s="232"/>
      <c r="EQ31" s="232"/>
      <c r="ER31" s="232"/>
      <c r="ES31" s="232"/>
      <c r="ET31" s="232"/>
      <c r="EU31" s="232"/>
      <c r="EV31" s="232"/>
      <c r="EW31" s="232"/>
      <c r="EX31" s="232"/>
      <c r="EY31" s="232"/>
      <c r="EZ31" s="232"/>
      <c r="FA31" s="232"/>
      <c r="FB31" s="232"/>
      <c r="FC31" s="232"/>
      <c r="FD31" s="232"/>
      <c r="FE31" s="232"/>
      <c r="FF31" s="232"/>
      <c r="FG31" s="232"/>
      <c r="FH31" s="232"/>
      <c r="FI31" s="232"/>
      <c r="FJ31" s="232"/>
      <c r="FK31" s="232"/>
      <c r="FL31" s="232"/>
      <c r="FM31" s="232"/>
      <c r="FN31" s="232"/>
      <c r="FO31" s="232"/>
      <c r="FP31" s="232"/>
      <c r="FQ31" s="232"/>
      <c r="FR31" s="232"/>
      <c r="FS31" s="232"/>
      <c r="FT31" s="232"/>
      <c r="FU31" s="232"/>
      <c r="FV31" s="232"/>
      <c r="FW31" s="232"/>
      <c r="FX31" s="232"/>
      <c r="FY31" s="232"/>
      <c r="FZ31" s="232"/>
      <c r="GA31" s="232"/>
      <c r="GB31" s="232"/>
      <c r="GC31" s="232"/>
      <c r="GD31" s="232"/>
      <c r="GE31" s="232"/>
      <c r="GF31" s="232"/>
      <c r="GG31" s="232"/>
      <c r="GH31" s="232"/>
      <c r="GI31" s="232"/>
      <c r="GJ31" s="232"/>
      <c r="GK31" s="232"/>
      <c r="GL31" s="232"/>
      <c r="GM31" s="232"/>
      <c r="GN31" s="232"/>
      <c r="GO31" s="232"/>
      <c r="GP31" s="232"/>
      <c r="GQ31" s="232"/>
      <c r="GR31" s="232"/>
      <c r="GS31" s="232"/>
      <c r="GT31" s="232"/>
      <c r="GU31" s="232"/>
      <c r="GV31" s="232"/>
      <c r="GW31" s="232"/>
      <c r="GX31" s="232"/>
      <c r="GY31" s="232"/>
      <c r="GZ31" s="232"/>
      <c r="HA31" s="232"/>
      <c r="HB31" s="232"/>
      <c r="HC31" s="232"/>
      <c r="HD31" s="232"/>
      <c r="HE31" s="232"/>
      <c r="HF31" s="232"/>
      <c r="HG31" s="232"/>
      <c r="HH31" s="232"/>
      <c r="HI31" s="232"/>
      <c r="HJ31" s="232"/>
      <c r="HK31" s="232"/>
      <c r="HL31" s="232"/>
      <c r="HM31" s="232"/>
      <c r="HN31" s="232"/>
      <c r="HO31" s="232"/>
      <c r="HP31" s="232"/>
      <c r="HQ31" s="232"/>
      <c r="HR31" s="232"/>
      <c r="HS31" s="232"/>
      <c r="HT31" s="232"/>
      <c r="HU31" s="232"/>
      <c r="HV31" s="232"/>
      <c r="HW31" s="232"/>
      <c r="HX31" s="232"/>
      <c r="HY31" s="232"/>
      <c r="HZ31" s="232"/>
      <c r="IA31" s="232"/>
      <c r="IB31" s="232"/>
      <c r="IC31" s="232"/>
    </row>
    <row r="32" spans="1:237" ht="15.6" customHeight="1">
      <c r="A32" s="231" t="s">
        <v>315</v>
      </c>
      <c r="B32" s="248"/>
      <c r="C32" s="248"/>
      <c r="D32" s="248"/>
      <c r="E32" s="248"/>
      <c r="F32" s="248"/>
      <c r="G32" s="248">
        <v>12000</v>
      </c>
      <c r="H32" s="311">
        <f>ROUND(12296.11+0,-3)</f>
        <v>12000</v>
      </c>
      <c r="I32" s="691">
        <v>13000</v>
      </c>
      <c r="J32" s="593"/>
      <c r="K32" s="247">
        <f t="shared" si="1"/>
        <v>8.3333333333333259E-2</v>
      </c>
      <c r="L32" s="907"/>
      <c r="M32" s="897"/>
      <c r="N32" s="897"/>
      <c r="O32" s="897"/>
      <c r="P32" s="897"/>
      <c r="Q32" s="908"/>
      <c r="R32" s="899"/>
      <c r="S32" s="899"/>
      <c r="T32" s="906"/>
      <c r="U32" s="911"/>
      <c r="V32" s="899"/>
      <c r="W32" s="899"/>
      <c r="X32" s="899"/>
      <c r="Y32" s="899"/>
      <c r="Z32" s="899"/>
      <c r="AA32" s="899"/>
      <c r="AB32" s="899"/>
      <c r="AC32" s="899"/>
      <c r="AD32" s="899"/>
      <c r="AE32" s="899"/>
      <c r="AF32" s="899"/>
      <c r="AG32" s="899"/>
      <c r="AH32" s="899"/>
      <c r="AI32" s="899"/>
      <c r="AJ32" s="899"/>
      <c r="AK32" s="899"/>
      <c r="AL32" s="899"/>
      <c r="AM32" s="232"/>
      <c r="AN32" s="232"/>
      <c r="AO32" s="232"/>
      <c r="AP32" s="232"/>
      <c r="AQ32" s="232"/>
      <c r="AR32" s="232"/>
      <c r="AS32" s="232"/>
      <c r="AT32" s="232"/>
      <c r="AU32" s="232"/>
      <c r="AV32" s="232"/>
      <c r="AW32" s="232"/>
      <c r="AX32" s="232"/>
      <c r="AY32" s="232"/>
      <c r="AZ32" s="232"/>
      <c r="BA32" s="232"/>
      <c r="BB32" s="232"/>
      <c r="BC32" s="232"/>
      <c r="BD32" s="232"/>
      <c r="BE32" s="232"/>
      <c r="BF32" s="232"/>
      <c r="BG32" s="232"/>
      <c r="BH32" s="232"/>
      <c r="BI32" s="232"/>
      <c r="BJ32" s="232"/>
      <c r="BK32" s="232"/>
      <c r="BL32" s="232"/>
      <c r="BM32" s="232"/>
      <c r="BN32" s="232"/>
      <c r="BO32" s="232"/>
      <c r="BP32" s="232"/>
      <c r="BQ32" s="232"/>
      <c r="BR32" s="232"/>
      <c r="BS32" s="232"/>
      <c r="BT32" s="232"/>
      <c r="BU32" s="232"/>
      <c r="BV32" s="232"/>
      <c r="BW32" s="232"/>
      <c r="BX32" s="232"/>
      <c r="BY32" s="232"/>
      <c r="BZ32" s="232"/>
      <c r="CA32" s="232"/>
      <c r="CB32" s="232"/>
      <c r="CC32" s="232"/>
      <c r="CD32" s="232"/>
      <c r="CE32" s="232"/>
      <c r="CF32" s="232"/>
      <c r="CG32" s="232"/>
      <c r="CH32" s="232"/>
      <c r="CI32" s="232"/>
      <c r="CJ32" s="232"/>
      <c r="CK32" s="232"/>
      <c r="CL32" s="232"/>
      <c r="CM32" s="232"/>
      <c r="CN32" s="232"/>
      <c r="CO32" s="232"/>
      <c r="CP32" s="232"/>
      <c r="CQ32" s="232"/>
      <c r="CR32" s="232"/>
      <c r="CS32" s="232"/>
      <c r="CT32" s="232"/>
      <c r="CU32" s="232"/>
      <c r="CV32" s="232"/>
      <c r="CW32" s="232"/>
      <c r="CX32" s="232"/>
      <c r="CY32" s="232"/>
      <c r="CZ32" s="232"/>
      <c r="DA32" s="232"/>
      <c r="DB32" s="232"/>
      <c r="DC32" s="232"/>
      <c r="DD32" s="232"/>
      <c r="DE32" s="232"/>
      <c r="DF32" s="232"/>
      <c r="DG32" s="232"/>
      <c r="DH32" s="232"/>
      <c r="DI32" s="232"/>
      <c r="DJ32" s="232"/>
      <c r="DK32" s="232"/>
      <c r="DL32" s="232"/>
      <c r="DM32" s="232"/>
      <c r="DN32" s="232"/>
      <c r="DO32" s="232"/>
      <c r="DP32" s="232"/>
      <c r="DQ32" s="232"/>
      <c r="DR32" s="232"/>
      <c r="DS32" s="232"/>
      <c r="DT32" s="232"/>
      <c r="DU32" s="232"/>
      <c r="DV32" s="232"/>
      <c r="DW32" s="232"/>
      <c r="DX32" s="232"/>
      <c r="DY32" s="232"/>
      <c r="DZ32" s="232"/>
      <c r="EA32" s="232"/>
      <c r="EB32" s="232"/>
      <c r="EC32" s="232"/>
      <c r="ED32" s="232"/>
      <c r="EE32" s="232"/>
      <c r="EF32" s="232"/>
      <c r="EG32" s="232"/>
      <c r="EH32" s="232"/>
      <c r="EI32" s="232"/>
      <c r="EJ32" s="232"/>
      <c r="EK32" s="232"/>
      <c r="EL32" s="232"/>
      <c r="EM32" s="232"/>
      <c r="EN32" s="232"/>
      <c r="EO32" s="232"/>
      <c r="EP32" s="232"/>
      <c r="EQ32" s="232"/>
      <c r="ER32" s="232"/>
      <c r="ES32" s="232"/>
      <c r="ET32" s="232"/>
      <c r="EU32" s="232"/>
      <c r="EV32" s="232"/>
      <c r="EW32" s="232"/>
      <c r="EX32" s="232"/>
      <c r="EY32" s="232"/>
      <c r="EZ32" s="232"/>
      <c r="FA32" s="232"/>
      <c r="FB32" s="232"/>
      <c r="FC32" s="232"/>
      <c r="FD32" s="232"/>
      <c r="FE32" s="232"/>
      <c r="FF32" s="232"/>
      <c r="FG32" s="232"/>
      <c r="FH32" s="232"/>
      <c r="FI32" s="232"/>
      <c r="FJ32" s="232"/>
      <c r="FK32" s="232"/>
      <c r="FL32" s="232"/>
      <c r="FM32" s="232"/>
      <c r="FN32" s="232"/>
      <c r="FO32" s="232"/>
      <c r="FP32" s="232"/>
      <c r="FQ32" s="232"/>
      <c r="FR32" s="232"/>
      <c r="FS32" s="232"/>
      <c r="FT32" s="232"/>
      <c r="FU32" s="232"/>
      <c r="FV32" s="232"/>
      <c r="FW32" s="232"/>
      <c r="FX32" s="232"/>
      <c r="FY32" s="232"/>
      <c r="FZ32" s="232"/>
      <c r="GA32" s="232"/>
      <c r="GB32" s="232"/>
      <c r="GC32" s="232"/>
      <c r="GD32" s="232"/>
      <c r="GE32" s="232"/>
      <c r="GF32" s="232"/>
      <c r="GG32" s="232"/>
      <c r="GH32" s="232"/>
      <c r="GI32" s="232"/>
      <c r="GJ32" s="232"/>
      <c r="GK32" s="232"/>
      <c r="GL32" s="232"/>
      <c r="GM32" s="232"/>
      <c r="GN32" s="232"/>
      <c r="GO32" s="232"/>
      <c r="GP32" s="232"/>
      <c r="GQ32" s="232"/>
      <c r="GR32" s="232"/>
      <c r="GS32" s="232"/>
      <c r="GT32" s="232"/>
      <c r="GU32" s="232"/>
      <c r="GV32" s="232"/>
      <c r="GW32" s="232"/>
      <c r="GX32" s="232"/>
      <c r="GY32" s="232"/>
      <c r="GZ32" s="232"/>
      <c r="HA32" s="232"/>
      <c r="HB32" s="232"/>
      <c r="HC32" s="232"/>
      <c r="HD32" s="232"/>
      <c r="HE32" s="232"/>
      <c r="HF32" s="232"/>
      <c r="HG32" s="232"/>
      <c r="HH32" s="232"/>
      <c r="HI32" s="232"/>
      <c r="HJ32" s="232"/>
      <c r="HK32" s="232"/>
      <c r="HL32" s="232"/>
      <c r="HM32" s="232"/>
      <c r="HN32" s="232"/>
      <c r="HO32" s="232"/>
      <c r="HP32" s="232"/>
      <c r="HQ32" s="232"/>
      <c r="HR32" s="232"/>
      <c r="HS32" s="232"/>
      <c r="HT32" s="232"/>
      <c r="HU32" s="232"/>
      <c r="HV32" s="232"/>
      <c r="HW32" s="232"/>
      <c r="HX32" s="232"/>
      <c r="HY32" s="232"/>
      <c r="HZ32" s="232"/>
      <c r="IA32" s="232"/>
      <c r="IB32" s="232"/>
      <c r="IC32" s="232"/>
    </row>
    <row r="33" spans="1:238" ht="15.6" customHeight="1">
      <c r="A33" s="231" t="s">
        <v>337</v>
      </c>
      <c r="B33" s="248"/>
      <c r="C33" s="248"/>
      <c r="D33" s="248"/>
      <c r="E33" s="248"/>
      <c r="F33" s="248"/>
      <c r="G33" s="248">
        <v>664000</v>
      </c>
      <c r="H33" s="311">
        <f>ROUND(878294.38+0,-3)</f>
        <v>878000</v>
      </c>
      <c r="I33" s="691">
        <v>1597000</v>
      </c>
      <c r="J33" s="593"/>
      <c r="K33" s="241">
        <f t="shared" si="1"/>
        <v>0.81890660592255116</v>
      </c>
      <c r="L33" s="907"/>
      <c r="M33" s="897"/>
      <c r="N33" s="897"/>
      <c r="O33" s="897"/>
      <c r="P33" s="897"/>
      <c r="Q33" s="908"/>
      <c r="R33" s="899"/>
      <c r="S33" s="909"/>
      <c r="T33" s="899"/>
      <c r="U33" s="899"/>
      <c r="V33" s="899"/>
      <c r="W33" s="899"/>
      <c r="X33" s="899"/>
      <c r="Y33" s="899"/>
      <c r="Z33" s="899"/>
      <c r="AA33" s="899"/>
      <c r="AB33" s="899"/>
      <c r="AC33" s="899"/>
      <c r="AD33" s="899"/>
      <c r="AE33" s="899"/>
      <c r="AF33" s="899"/>
      <c r="AG33" s="899"/>
      <c r="AH33" s="899"/>
      <c r="AI33" s="899"/>
      <c r="AJ33" s="899"/>
      <c r="AK33" s="899"/>
      <c r="AL33" s="899"/>
      <c r="AM33" s="232"/>
      <c r="AN33" s="232"/>
      <c r="AO33" s="232"/>
      <c r="AP33" s="232"/>
      <c r="AQ33" s="232"/>
      <c r="AR33" s="232"/>
      <c r="AS33" s="232"/>
      <c r="AT33" s="232"/>
      <c r="AU33" s="232"/>
      <c r="AV33" s="232"/>
      <c r="AW33" s="232"/>
      <c r="AX33" s="232"/>
      <c r="AY33" s="232"/>
      <c r="AZ33" s="232"/>
      <c r="BA33" s="232"/>
      <c r="BB33" s="232"/>
      <c r="BC33" s="232"/>
      <c r="BD33" s="232"/>
      <c r="BE33" s="232"/>
      <c r="BF33" s="232"/>
      <c r="BG33" s="232"/>
      <c r="BH33" s="232"/>
      <c r="BI33" s="232"/>
      <c r="BJ33" s="232"/>
      <c r="BK33" s="232"/>
      <c r="BL33" s="232"/>
      <c r="BM33" s="232"/>
      <c r="BN33" s="232"/>
      <c r="BO33" s="232"/>
      <c r="BP33" s="232"/>
      <c r="BQ33" s="232"/>
      <c r="BR33" s="232"/>
      <c r="BS33" s="232"/>
      <c r="BT33" s="232"/>
      <c r="BU33" s="232"/>
      <c r="BV33" s="232"/>
      <c r="BW33" s="232"/>
      <c r="BX33" s="232"/>
      <c r="BY33" s="232"/>
      <c r="BZ33" s="232"/>
      <c r="CA33" s="232"/>
      <c r="CB33" s="232"/>
      <c r="CC33" s="232"/>
      <c r="CD33" s="232"/>
      <c r="CE33" s="232"/>
      <c r="CF33" s="232"/>
      <c r="CG33" s="232"/>
      <c r="CH33" s="232"/>
      <c r="CI33" s="232"/>
      <c r="CJ33" s="232"/>
      <c r="CK33" s="232"/>
      <c r="CL33" s="232"/>
      <c r="CM33" s="232"/>
      <c r="CN33" s="232"/>
      <c r="CO33" s="232"/>
      <c r="CP33" s="232"/>
      <c r="CQ33" s="232"/>
      <c r="CR33" s="232"/>
      <c r="CS33" s="232"/>
      <c r="CT33" s="232"/>
      <c r="CU33" s="232"/>
      <c r="CV33" s="232"/>
      <c r="CW33" s="232"/>
      <c r="CX33" s="232"/>
      <c r="CY33" s="232"/>
      <c r="CZ33" s="232"/>
      <c r="DA33" s="232"/>
      <c r="DB33" s="232"/>
      <c r="DC33" s="232"/>
      <c r="DD33" s="232"/>
      <c r="DE33" s="232"/>
      <c r="DF33" s="232"/>
      <c r="DG33" s="232"/>
      <c r="DH33" s="232"/>
      <c r="DI33" s="232"/>
      <c r="DJ33" s="232"/>
      <c r="DK33" s="232"/>
      <c r="DL33" s="232"/>
      <c r="DM33" s="232"/>
      <c r="DN33" s="232"/>
      <c r="DO33" s="232"/>
      <c r="DP33" s="232"/>
      <c r="DQ33" s="232"/>
      <c r="DR33" s="232"/>
      <c r="DS33" s="232"/>
      <c r="DT33" s="232"/>
      <c r="DU33" s="232"/>
      <c r="DV33" s="232"/>
      <c r="DW33" s="232"/>
      <c r="DX33" s="232"/>
      <c r="DY33" s="232"/>
      <c r="DZ33" s="232"/>
      <c r="EA33" s="232"/>
      <c r="EB33" s="232"/>
      <c r="EC33" s="232"/>
      <c r="ED33" s="232"/>
      <c r="EE33" s="232"/>
      <c r="EF33" s="232"/>
      <c r="EG33" s="232"/>
      <c r="EH33" s="232"/>
      <c r="EI33" s="232"/>
      <c r="EJ33" s="232"/>
      <c r="EK33" s="232"/>
      <c r="EL33" s="232"/>
      <c r="EM33" s="232"/>
      <c r="EN33" s="232"/>
      <c r="EO33" s="232"/>
      <c r="EP33" s="232"/>
      <c r="EQ33" s="232"/>
      <c r="ER33" s="232"/>
      <c r="ES33" s="232"/>
      <c r="ET33" s="232"/>
      <c r="EU33" s="232"/>
      <c r="EV33" s="232"/>
      <c r="EW33" s="232"/>
      <c r="EX33" s="232"/>
      <c r="EY33" s="232"/>
      <c r="EZ33" s="232"/>
      <c r="FA33" s="232"/>
      <c r="FB33" s="232"/>
      <c r="FC33" s="232"/>
      <c r="FD33" s="232"/>
      <c r="FE33" s="232"/>
      <c r="FF33" s="232"/>
      <c r="FG33" s="232"/>
      <c r="FH33" s="232"/>
      <c r="FI33" s="232"/>
      <c r="FJ33" s="232"/>
      <c r="FK33" s="232"/>
      <c r="FL33" s="232"/>
      <c r="FM33" s="232"/>
      <c r="FN33" s="232"/>
      <c r="FO33" s="232"/>
      <c r="FP33" s="232"/>
      <c r="FQ33" s="232"/>
      <c r="FR33" s="232"/>
      <c r="FS33" s="232"/>
      <c r="FT33" s="232"/>
      <c r="FU33" s="232"/>
      <c r="FV33" s="232"/>
      <c r="FW33" s="232"/>
      <c r="FX33" s="232"/>
      <c r="FY33" s="232"/>
      <c r="FZ33" s="232"/>
      <c r="GA33" s="232"/>
      <c r="GB33" s="232"/>
      <c r="GC33" s="232"/>
      <c r="GD33" s="232"/>
      <c r="GE33" s="232"/>
      <c r="GF33" s="232"/>
      <c r="GG33" s="232"/>
      <c r="GH33" s="232"/>
      <c r="GI33" s="232"/>
      <c r="GJ33" s="232"/>
      <c r="GK33" s="232"/>
      <c r="GL33" s="232"/>
      <c r="GM33" s="232"/>
      <c r="GN33" s="232"/>
      <c r="GO33" s="232"/>
      <c r="GP33" s="232"/>
      <c r="GQ33" s="232"/>
      <c r="GR33" s="232"/>
      <c r="GS33" s="232"/>
      <c r="GT33" s="232"/>
      <c r="GU33" s="232"/>
      <c r="GV33" s="232"/>
      <c r="GW33" s="232"/>
      <c r="GX33" s="232"/>
      <c r="GY33" s="232"/>
      <c r="GZ33" s="232"/>
      <c r="HA33" s="232"/>
      <c r="HB33" s="232"/>
      <c r="HC33" s="232"/>
      <c r="HD33" s="232"/>
      <c r="HE33" s="232"/>
      <c r="HF33" s="232"/>
      <c r="HG33" s="232"/>
      <c r="HH33" s="232"/>
      <c r="HI33" s="232"/>
      <c r="HJ33" s="232"/>
      <c r="HK33" s="232"/>
      <c r="HL33" s="232"/>
      <c r="HM33" s="232"/>
      <c r="HN33" s="232"/>
      <c r="HO33" s="232"/>
      <c r="HP33" s="232"/>
      <c r="HQ33" s="232"/>
      <c r="HR33" s="232"/>
      <c r="HS33" s="232"/>
      <c r="HT33" s="232"/>
      <c r="HU33" s="232"/>
      <c r="HV33" s="232"/>
      <c r="HW33" s="232"/>
      <c r="HX33" s="232"/>
      <c r="HY33" s="232"/>
      <c r="HZ33" s="232"/>
      <c r="IA33" s="232"/>
      <c r="IB33" s="232"/>
      <c r="IC33" s="232"/>
    </row>
    <row r="34" spans="1:238" ht="15.6" customHeight="1">
      <c r="A34" s="231" t="s">
        <v>338</v>
      </c>
      <c r="B34" s="248"/>
      <c r="C34" s="248"/>
      <c r="D34" s="248"/>
      <c r="E34" s="248"/>
      <c r="F34" s="248"/>
      <c r="G34" s="248">
        <v>175000</v>
      </c>
      <c r="H34" s="311">
        <f>ROUND(216842.49+0,-3)</f>
        <v>217000</v>
      </c>
      <c r="I34" s="691">
        <v>233000</v>
      </c>
      <c r="J34" s="593"/>
      <c r="K34" s="241">
        <f t="shared" si="1"/>
        <v>7.3732718894009119E-2</v>
      </c>
      <c r="L34" s="907"/>
      <c r="M34" s="897"/>
      <c r="N34" s="897"/>
      <c r="O34" s="897"/>
      <c r="P34" s="897"/>
      <c r="Q34" s="908"/>
      <c r="R34" s="899"/>
      <c r="S34" s="909"/>
      <c r="T34" s="899"/>
      <c r="U34" s="899"/>
      <c r="V34" s="899"/>
      <c r="W34" s="899"/>
      <c r="X34" s="899"/>
      <c r="Y34" s="899"/>
      <c r="Z34" s="899"/>
      <c r="AA34" s="899"/>
      <c r="AB34" s="899"/>
      <c r="AC34" s="899"/>
      <c r="AD34" s="899"/>
      <c r="AE34" s="899"/>
      <c r="AF34" s="899"/>
      <c r="AG34" s="899"/>
      <c r="AH34" s="899"/>
      <c r="AI34" s="899"/>
      <c r="AJ34" s="899"/>
      <c r="AK34" s="899"/>
      <c r="AL34" s="899"/>
      <c r="AM34" s="232"/>
      <c r="AN34" s="232"/>
      <c r="AO34" s="232"/>
      <c r="AP34" s="232"/>
      <c r="AQ34" s="232"/>
      <c r="AR34" s="232"/>
      <c r="AS34" s="232"/>
      <c r="AT34" s="232"/>
      <c r="AU34" s="232"/>
      <c r="AV34" s="232"/>
      <c r="AW34" s="232"/>
      <c r="AX34" s="232"/>
      <c r="AY34" s="232"/>
      <c r="AZ34" s="232"/>
      <c r="BA34" s="232"/>
      <c r="BB34" s="232"/>
      <c r="BC34" s="232"/>
      <c r="BD34" s="232"/>
      <c r="BE34" s="232"/>
      <c r="BF34" s="232"/>
      <c r="BG34" s="232"/>
      <c r="BH34" s="232"/>
      <c r="BI34" s="232"/>
      <c r="BJ34" s="232"/>
      <c r="BK34" s="232"/>
      <c r="BL34" s="232"/>
      <c r="BM34" s="232"/>
      <c r="BN34" s="232"/>
      <c r="BO34" s="232"/>
      <c r="BP34" s="232"/>
      <c r="BQ34" s="232"/>
      <c r="BR34" s="232"/>
      <c r="BS34" s="232"/>
      <c r="BT34" s="232"/>
      <c r="BU34" s="232"/>
      <c r="BV34" s="232"/>
      <c r="BW34" s="232"/>
      <c r="BX34" s="232"/>
      <c r="BY34" s="232"/>
      <c r="BZ34" s="232"/>
      <c r="CA34" s="232"/>
      <c r="CB34" s="232"/>
      <c r="CC34" s="232"/>
      <c r="CD34" s="232"/>
      <c r="CE34" s="232"/>
      <c r="CF34" s="232"/>
      <c r="CG34" s="232"/>
      <c r="CH34" s="232"/>
      <c r="CI34" s="232"/>
      <c r="CJ34" s="232"/>
      <c r="CK34" s="232"/>
      <c r="CL34" s="232"/>
      <c r="CM34" s="232"/>
      <c r="CN34" s="232"/>
      <c r="CO34" s="232"/>
      <c r="CP34" s="232"/>
      <c r="CQ34" s="232"/>
      <c r="CR34" s="232"/>
      <c r="CS34" s="232"/>
      <c r="CT34" s="232"/>
      <c r="CU34" s="232"/>
      <c r="CV34" s="232"/>
      <c r="CW34" s="232"/>
      <c r="CX34" s="232"/>
      <c r="CY34" s="232"/>
      <c r="CZ34" s="232"/>
      <c r="DA34" s="232"/>
      <c r="DB34" s="232"/>
      <c r="DC34" s="232"/>
      <c r="DD34" s="232"/>
      <c r="DE34" s="232"/>
      <c r="DF34" s="232"/>
      <c r="DG34" s="232"/>
      <c r="DH34" s="232"/>
      <c r="DI34" s="232"/>
      <c r="DJ34" s="232"/>
      <c r="DK34" s="232"/>
      <c r="DL34" s="232"/>
      <c r="DM34" s="232"/>
      <c r="DN34" s="232"/>
      <c r="DO34" s="232"/>
      <c r="DP34" s="232"/>
      <c r="DQ34" s="232"/>
      <c r="DR34" s="232"/>
      <c r="DS34" s="232"/>
      <c r="DT34" s="232"/>
      <c r="DU34" s="232"/>
      <c r="DV34" s="232"/>
      <c r="DW34" s="232"/>
      <c r="DX34" s="232"/>
      <c r="DY34" s="232"/>
      <c r="DZ34" s="232"/>
      <c r="EA34" s="232"/>
      <c r="EB34" s="232"/>
      <c r="EC34" s="232"/>
      <c r="ED34" s="232"/>
      <c r="EE34" s="232"/>
      <c r="EF34" s="232"/>
      <c r="EG34" s="232"/>
      <c r="EH34" s="232"/>
      <c r="EI34" s="232"/>
      <c r="EJ34" s="232"/>
      <c r="EK34" s="232"/>
      <c r="EL34" s="232"/>
      <c r="EM34" s="232"/>
      <c r="EN34" s="232"/>
      <c r="EO34" s="232"/>
      <c r="EP34" s="232"/>
      <c r="EQ34" s="232"/>
      <c r="ER34" s="232"/>
      <c r="ES34" s="232"/>
      <c r="ET34" s="232"/>
      <c r="EU34" s="232"/>
      <c r="EV34" s="232"/>
      <c r="EW34" s="232"/>
      <c r="EX34" s="232"/>
      <c r="EY34" s="232"/>
      <c r="EZ34" s="232"/>
      <c r="FA34" s="232"/>
      <c r="FB34" s="232"/>
      <c r="FC34" s="232"/>
      <c r="FD34" s="232"/>
      <c r="FE34" s="232"/>
      <c r="FF34" s="232"/>
      <c r="FG34" s="232"/>
      <c r="FH34" s="232"/>
      <c r="FI34" s="232"/>
      <c r="FJ34" s="232"/>
      <c r="FK34" s="232"/>
      <c r="FL34" s="232"/>
      <c r="FM34" s="232"/>
      <c r="FN34" s="232"/>
      <c r="FO34" s="232"/>
      <c r="FP34" s="232"/>
      <c r="FQ34" s="232"/>
      <c r="FR34" s="232"/>
      <c r="FS34" s="232"/>
      <c r="FT34" s="232"/>
      <c r="FU34" s="232"/>
      <c r="FV34" s="232"/>
      <c r="FW34" s="232"/>
      <c r="FX34" s="232"/>
      <c r="FY34" s="232"/>
      <c r="FZ34" s="232"/>
      <c r="GA34" s="232"/>
      <c r="GB34" s="232"/>
      <c r="GC34" s="232"/>
      <c r="GD34" s="232"/>
      <c r="GE34" s="232"/>
      <c r="GF34" s="232"/>
      <c r="GG34" s="232"/>
      <c r="GH34" s="232"/>
      <c r="GI34" s="232"/>
      <c r="GJ34" s="232"/>
      <c r="GK34" s="232"/>
      <c r="GL34" s="232"/>
      <c r="GM34" s="232"/>
      <c r="GN34" s="232"/>
      <c r="GO34" s="232"/>
      <c r="GP34" s="232"/>
      <c r="GQ34" s="232"/>
      <c r="GR34" s="232"/>
      <c r="GS34" s="232"/>
      <c r="GT34" s="232"/>
      <c r="GU34" s="232"/>
      <c r="GV34" s="232"/>
      <c r="GW34" s="232"/>
      <c r="GX34" s="232"/>
      <c r="GY34" s="232"/>
      <c r="GZ34" s="232"/>
      <c r="HA34" s="232"/>
      <c r="HB34" s="232"/>
      <c r="HC34" s="232"/>
      <c r="HD34" s="232"/>
      <c r="HE34" s="232"/>
      <c r="HF34" s="232"/>
      <c r="HG34" s="232"/>
      <c r="HH34" s="232"/>
      <c r="HI34" s="232"/>
      <c r="HJ34" s="232"/>
      <c r="HK34" s="232"/>
      <c r="HL34" s="232"/>
      <c r="HM34" s="232"/>
      <c r="HN34" s="232"/>
      <c r="HO34" s="232"/>
      <c r="HP34" s="232"/>
      <c r="HQ34" s="232"/>
      <c r="HR34" s="232"/>
      <c r="HS34" s="232"/>
      <c r="HT34" s="232"/>
      <c r="HU34" s="232"/>
      <c r="HV34" s="232"/>
      <c r="HW34" s="232"/>
      <c r="HX34" s="232"/>
      <c r="HY34" s="232"/>
      <c r="HZ34" s="232"/>
      <c r="IA34" s="232"/>
      <c r="IB34" s="232"/>
      <c r="IC34" s="232"/>
    </row>
    <row r="35" spans="1:238" ht="15.6" customHeight="1">
      <c r="A35" s="231" t="s">
        <v>314</v>
      </c>
      <c r="B35" s="248"/>
      <c r="C35" s="248"/>
      <c r="D35" s="248"/>
      <c r="E35" s="248"/>
      <c r="F35" s="248"/>
      <c r="G35" s="248">
        <v>178000</v>
      </c>
      <c r="H35" s="311">
        <f>ROUND(218257.13,-3)</f>
        <v>218000</v>
      </c>
      <c r="I35" s="691">
        <v>114000</v>
      </c>
      <c r="J35" s="593"/>
      <c r="K35" s="247">
        <f t="shared" si="1"/>
        <v>-0.47706422018348627</v>
      </c>
      <c r="L35" s="907"/>
      <c r="M35" s="897"/>
      <c r="N35" s="897"/>
      <c r="O35" s="897"/>
      <c r="P35" s="897"/>
      <c r="Q35" s="908"/>
      <c r="R35" s="899"/>
      <c r="S35" s="909"/>
      <c r="U35" s="899"/>
      <c r="V35" s="899"/>
      <c r="W35" s="899"/>
      <c r="X35" s="899"/>
      <c r="Y35" s="899"/>
      <c r="Z35" s="899"/>
      <c r="AA35" s="899"/>
      <c r="AB35" s="899"/>
      <c r="AC35" s="899"/>
      <c r="AD35" s="899"/>
      <c r="AE35" s="899"/>
      <c r="AF35" s="899"/>
      <c r="AG35" s="899"/>
      <c r="AH35" s="899"/>
      <c r="AI35" s="899"/>
      <c r="AJ35" s="899"/>
      <c r="AK35" s="899"/>
      <c r="AL35" s="899"/>
      <c r="AM35" s="232"/>
      <c r="AN35" s="232"/>
      <c r="AO35" s="232"/>
      <c r="AP35" s="232"/>
      <c r="AQ35" s="232"/>
      <c r="AR35" s="232"/>
      <c r="AS35" s="232"/>
      <c r="AT35" s="232"/>
      <c r="AU35" s="232"/>
      <c r="AV35" s="232"/>
      <c r="AW35" s="232"/>
      <c r="AX35" s="232"/>
      <c r="AY35" s="232"/>
      <c r="AZ35" s="232"/>
      <c r="BA35" s="232"/>
      <c r="BB35" s="232"/>
      <c r="BC35" s="232"/>
      <c r="BD35" s="232"/>
      <c r="BE35" s="232"/>
      <c r="BF35" s="232"/>
      <c r="BG35" s="232"/>
      <c r="BH35" s="232"/>
      <c r="BI35" s="232"/>
      <c r="BJ35" s="232"/>
      <c r="BK35" s="232"/>
      <c r="BL35" s="232"/>
      <c r="BM35" s="232"/>
      <c r="BN35" s="232"/>
      <c r="BO35" s="232"/>
      <c r="BP35" s="232"/>
      <c r="BQ35" s="232"/>
      <c r="BR35" s="232"/>
      <c r="BS35" s="232"/>
      <c r="BT35" s="232"/>
      <c r="BU35" s="232"/>
      <c r="BV35" s="232"/>
      <c r="BW35" s="232"/>
      <c r="BX35" s="232"/>
      <c r="BY35" s="232"/>
      <c r="BZ35" s="232"/>
      <c r="CA35" s="232"/>
      <c r="CB35" s="232"/>
      <c r="CC35" s="232"/>
      <c r="CD35" s="232"/>
      <c r="CE35" s="232"/>
      <c r="CF35" s="232"/>
      <c r="CG35" s="232"/>
      <c r="CH35" s="232"/>
      <c r="CI35" s="232"/>
      <c r="CJ35" s="232"/>
      <c r="CK35" s="232"/>
      <c r="CL35" s="232"/>
      <c r="CM35" s="232"/>
      <c r="CN35" s="232"/>
      <c r="CO35" s="232"/>
      <c r="CP35" s="232"/>
      <c r="CQ35" s="232"/>
      <c r="CR35" s="232"/>
      <c r="CS35" s="232"/>
      <c r="CT35" s="232"/>
      <c r="CU35" s="232"/>
      <c r="CV35" s="232"/>
      <c r="CW35" s="232"/>
      <c r="CX35" s="232"/>
      <c r="CY35" s="232"/>
      <c r="CZ35" s="232"/>
      <c r="DA35" s="232"/>
      <c r="DB35" s="232"/>
      <c r="DC35" s="232"/>
      <c r="DD35" s="232"/>
      <c r="DE35" s="232"/>
      <c r="DF35" s="232"/>
      <c r="DG35" s="232"/>
      <c r="DH35" s="232"/>
      <c r="DI35" s="232"/>
      <c r="DJ35" s="232"/>
      <c r="DK35" s="232"/>
      <c r="DL35" s="232"/>
      <c r="DM35" s="232"/>
      <c r="DN35" s="232"/>
      <c r="DO35" s="232"/>
      <c r="DP35" s="232"/>
      <c r="DQ35" s="232"/>
      <c r="DR35" s="232"/>
      <c r="DS35" s="232"/>
      <c r="DT35" s="232"/>
      <c r="DU35" s="232"/>
      <c r="DV35" s="232"/>
      <c r="DW35" s="232"/>
      <c r="DX35" s="232"/>
      <c r="DY35" s="232"/>
      <c r="DZ35" s="232"/>
      <c r="EA35" s="232"/>
      <c r="EB35" s="232"/>
      <c r="EC35" s="232"/>
      <c r="ED35" s="232"/>
      <c r="EE35" s="232"/>
      <c r="EF35" s="232"/>
      <c r="EG35" s="232"/>
      <c r="EH35" s="232"/>
      <c r="EI35" s="232"/>
      <c r="EJ35" s="232"/>
      <c r="EK35" s="232"/>
      <c r="EL35" s="232"/>
      <c r="EM35" s="232"/>
      <c r="EN35" s="232"/>
      <c r="EO35" s="232"/>
      <c r="EP35" s="232"/>
      <c r="EQ35" s="232"/>
      <c r="ER35" s="232"/>
      <c r="ES35" s="232"/>
      <c r="ET35" s="232"/>
      <c r="EU35" s="232"/>
      <c r="EV35" s="232"/>
      <c r="EW35" s="232"/>
      <c r="EX35" s="232"/>
      <c r="EY35" s="232"/>
      <c r="EZ35" s="232"/>
      <c r="FA35" s="232"/>
      <c r="FB35" s="232"/>
      <c r="FC35" s="232"/>
      <c r="FD35" s="232"/>
      <c r="FE35" s="232"/>
      <c r="FF35" s="232"/>
      <c r="FG35" s="232"/>
      <c r="FH35" s="232"/>
      <c r="FI35" s="232"/>
      <c r="FJ35" s="232"/>
      <c r="FK35" s="232"/>
      <c r="FL35" s="232"/>
      <c r="FM35" s="232"/>
      <c r="FN35" s="232"/>
      <c r="FO35" s="232"/>
      <c r="FP35" s="232"/>
      <c r="FQ35" s="232"/>
      <c r="FR35" s="232"/>
      <c r="FS35" s="232"/>
      <c r="FT35" s="232"/>
      <c r="FU35" s="232"/>
      <c r="FV35" s="232"/>
      <c r="FW35" s="232"/>
      <c r="FX35" s="232"/>
      <c r="FY35" s="232"/>
      <c r="FZ35" s="232"/>
      <c r="GA35" s="232"/>
      <c r="GB35" s="232"/>
      <c r="GC35" s="232"/>
      <c r="GD35" s="232"/>
      <c r="GE35" s="232"/>
      <c r="GF35" s="232"/>
      <c r="GG35" s="232"/>
      <c r="GH35" s="232"/>
      <c r="GI35" s="232"/>
      <c r="GJ35" s="232"/>
      <c r="GK35" s="232"/>
      <c r="GL35" s="232"/>
      <c r="GM35" s="232"/>
      <c r="GN35" s="232"/>
      <c r="GO35" s="232"/>
      <c r="GP35" s="232"/>
      <c r="GQ35" s="232"/>
      <c r="GR35" s="232"/>
      <c r="GS35" s="232"/>
      <c r="GT35" s="232"/>
      <c r="GU35" s="232"/>
      <c r="GV35" s="232"/>
      <c r="GW35" s="232"/>
      <c r="GX35" s="232"/>
      <c r="GY35" s="232"/>
      <c r="GZ35" s="232"/>
      <c r="HA35" s="232"/>
      <c r="HB35" s="232"/>
      <c r="HC35" s="232"/>
      <c r="HD35" s="232"/>
      <c r="HE35" s="232"/>
      <c r="HF35" s="232"/>
      <c r="HG35" s="232"/>
      <c r="HH35" s="232"/>
      <c r="HI35" s="232"/>
      <c r="HJ35" s="232"/>
      <c r="HK35" s="232"/>
      <c r="HL35" s="232"/>
      <c r="HM35" s="232"/>
      <c r="HN35" s="232"/>
      <c r="HO35" s="232"/>
      <c r="HP35" s="232"/>
      <c r="HQ35" s="232"/>
      <c r="HR35" s="232"/>
      <c r="HS35" s="232"/>
      <c r="HT35" s="232"/>
      <c r="HU35" s="232"/>
      <c r="HV35" s="232"/>
      <c r="HW35" s="232"/>
      <c r="HX35" s="232"/>
      <c r="HY35" s="232"/>
      <c r="HZ35" s="232"/>
      <c r="IA35" s="232"/>
      <c r="IB35" s="232"/>
      <c r="IC35" s="232"/>
    </row>
    <row r="36" spans="1:238" ht="15.6" customHeight="1">
      <c r="A36" s="231" t="s">
        <v>313</v>
      </c>
      <c r="B36" s="248"/>
      <c r="C36" s="248"/>
      <c r="D36" s="248"/>
      <c r="E36" s="248"/>
      <c r="F36" s="248"/>
      <c r="G36" s="248">
        <v>90000</v>
      </c>
      <c r="H36" s="228">
        <f>ROUND(87968.28,-3)</f>
        <v>88000</v>
      </c>
      <c r="I36" s="691">
        <v>82000</v>
      </c>
      <c r="K36" s="313">
        <f t="shared" si="1"/>
        <v>-6.8181818181818232E-2</v>
      </c>
      <c r="L36" s="907"/>
      <c r="M36" s="897"/>
      <c r="N36" s="897"/>
      <c r="O36" s="897"/>
      <c r="P36" s="897"/>
      <c r="Q36" s="908"/>
      <c r="R36" s="899"/>
      <c r="S36" s="909"/>
      <c r="T36" s="899"/>
      <c r="U36" s="899"/>
      <c r="V36" s="899"/>
      <c r="W36" s="899"/>
      <c r="X36" s="899"/>
      <c r="Y36" s="899"/>
      <c r="Z36" s="899"/>
      <c r="AA36" s="899"/>
      <c r="AB36" s="899"/>
      <c r="AC36" s="899"/>
      <c r="AD36" s="899"/>
      <c r="AE36" s="899"/>
      <c r="AF36" s="899"/>
      <c r="AG36" s="899"/>
      <c r="AH36" s="899"/>
      <c r="AI36" s="899"/>
      <c r="AJ36" s="899"/>
      <c r="AK36" s="899"/>
      <c r="AL36" s="899"/>
      <c r="AM36" s="232"/>
      <c r="AN36" s="232"/>
      <c r="AO36" s="232"/>
      <c r="AP36" s="232"/>
      <c r="AQ36" s="232"/>
      <c r="AR36" s="232"/>
      <c r="AS36" s="232"/>
      <c r="AT36" s="232"/>
      <c r="AU36" s="232"/>
      <c r="AV36" s="232"/>
      <c r="AW36" s="232"/>
      <c r="AX36" s="232"/>
      <c r="AY36" s="232"/>
      <c r="AZ36" s="232"/>
      <c r="BA36" s="232"/>
      <c r="BB36" s="232"/>
      <c r="BC36" s="232"/>
      <c r="BD36" s="232"/>
      <c r="BE36" s="232"/>
      <c r="BF36" s="232"/>
      <c r="BG36" s="232"/>
      <c r="BH36" s="232"/>
      <c r="BI36" s="232"/>
      <c r="BJ36" s="232"/>
      <c r="BK36" s="232"/>
      <c r="BL36" s="232"/>
      <c r="BM36" s="232"/>
      <c r="BN36" s="232"/>
      <c r="BO36" s="232"/>
      <c r="BP36" s="232"/>
      <c r="BQ36" s="232"/>
      <c r="BR36" s="232"/>
      <c r="BS36" s="232"/>
      <c r="BT36" s="232"/>
      <c r="BU36" s="232"/>
      <c r="BV36" s="232"/>
      <c r="BW36" s="232"/>
      <c r="BX36" s="232"/>
      <c r="BY36" s="232"/>
      <c r="BZ36" s="232"/>
      <c r="CA36" s="232"/>
      <c r="CB36" s="232"/>
      <c r="CC36" s="232"/>
      <c r="CD36" s="232"/>
      <c r="CE36" s="232"/>
      <c r="CF36" s="232"/>
      <c r="CG36" s="232"/>
      <c r="CH36" s="232"/>
      <c r="CI36" s="232"/>
      <c r="CJ36" s="232"/>
      <c r="CK36" s="232"/>
      <c r="CL36" s="232"/>
      <c r="CM36" s="232"/>
      <c r="CN36" s="232"/>
      <c r="CO36" s="232"/>
      <c r="CP36" s="232"/>
      <c r="CQ36" s="232"/>
      <c r="CR36" s="232"/>
      <c r="CS36" s="232"/>
      <c r="CT36" s="232"/>
      <c r="CU36" s="232"/>
      <c r="CV36" s="232"/>
      <c r="CW36" s="232"/>
      <c r="CX36" s="232"/>
      <c r="CY36" s="232"/>
      <c r="CZ36" s="232"/>
      <c r="DA36" s="232"/>
      <c r="DB36" s="232"/>
      <c r="DC36" s="232"/>
      <c r="DD36" s="232"/>
      <c r="DE36" s="232"/>
      <c r="DF36" s="232"/>
      <c r="DG36" s="232"/>
      <c r="DH36" s="232"/>
      <c r="DI36" s="232"/>
      <c r="DJ36" s="232"/>
      <c r="DK36" s="232"/>
      <c r="DL36" s="232"/>
      <c r="DM36" s="232"/>
      <c r="DN36" s="232"/>
      <c r="DO36" s="232"/>
      <c r="DP36" s="232"/>
      <c r="DQ36" s="232"/>
      <c r="DR36" s="232"/>
      <c r="DS36" s="232"/>
      <c r="DT36" s="232"/>
      <c r="DU36" s="232"/>
      <c r="DV36" s="232"/>
      <c r="DW36" s="232"/>
      <c r="DX36" s="232"/>
      <c r="DY36" s="232"/>
      <c r="DZ36" s="232"/>
      <c r="EA36" s="232"/>
      <c r="EB36" s="232"/>
      <c r="EC36" s="232"/>
      <c r="ED36" s="232"/>
      <c r="EE36" s="232"/>
      <c r="EF36" s="232"/>
      <c r="EG36" s="232"/>
      <c r="EH36" s="232"/>
      <c r="EI36" s="232"/>
      <c r="EJ36" s="232"/>
      <c r="EK36" s="232"/>
      <c r="EL36" s="232"/>
      <c r="EM36" s="232"/>
      <c r="EN36" s="232"/>
      <c r="EO36" s="232"/>
      <c r="EP36" s="232"/>
      <c r="EQ36" s="232"/>
      <c r="ER36" s="232"/>
      <c r="ES36" s="232"/>
      <c r="ET36" s="232"/>
      <c r="EU36" s="232"/>
      <c r="EV36" s="232"/>
      <c r="EW36" s="232"/>
      <c r="EX36" s="232"/>
      <c r="EY36" s="232"/>
      <c r="EZ36" s="232"/>
      <c r="FA36" s="232"/>
      <c r="FB36" s="232"/>
      <c r="FC36" s="232"/>
      <c r="FD36" s="232"/>
      <c r="FE36" s="232"/>
      <c r="FF36" s="232"/>
      <c r="FG36" s="232"/>
      <c r="FH36" s="232"/>
      <c r="FI36" s="232"/>
      <c r="FJ36" s="232"/>
      <c r="FK36" s="232"/>
      <c r="FL36" s="232"/>
      <c r="FM36" s="232"/>
      <c r="FN36" s="232"/>
      <c r="FO36" s="232"/>
      <c r="FP36" s="232"/>
      <c r="FQ36" s="232"/>
      <c r="FR36" s="232"/>
      <c r="FS36" s="232"/>
      <c r="FT36" s="232"/>
      <c r="FU36" s="232"/>
      <c r="FV36" s="232"/>
      <c r="FW36" s="232"/>
      <c r="FX36" s="232"/>
      <c r="FY36" s="232"/>
      <c r="FZ36" s="232"/>
      <c r="GA36" s="232"/>
      <c r="GB36" s="232"/>
      <c r="GC36" s="232"/>
      <c r="GD36" s="232"/>
      <c r="GE36" s="232"/>
      <c r="GF36" s="232"/>
      <c r="GG36" s="232"/>
      <c r="GH36" s="232"/>
      <c r="GI36" s="232"/>
      <c r="GJ36" s="232"/>
      <c r="GK36" s="232"/>
      <c r="GL36" s="232"/>
      <c r="GM36" s="232"/>
      <c r="GN36" s="232"/>
      <c r="GO36" s="232"/>
      <c r="GP36" s="232"/>
      <c r="GQ36" s="232"/>
      <c r="GR36" s="232"/>
      <c r="GS36" s="232"/>
      <c r="GT36" s="232"/>
      <c r="GU36" s="232"/>
      <c r="GV36" s="232"/>
      <c r="GW36" s="232"/>
      <c r="GX36" s="232"/>
      <c r="GY36" s="232"/>
      <c r="GZ36" s="232"/>
      <c r="HA36" s="232"/>
      <c r="HB36" s="232"/>
      <c r="HC36" s="232"/>
      <c r="HD36" s="232"/>
      <c r="HE36" s="232"/>
      <c r="HF36" s="232"/>
      <c r="HG36" s="232"/>
      <c r="HH36" s="232"/>
      <c r="HI36" s="232"/>
      <c r="HJ36" s="232"/>
      <c r="HK36" s="232"/>
      <c r="HL36" s="232"/>
      <c r="HM36" s="232"/>
      <c r="HN36" s="232"/>
      <c r="HO36" s="232"/>
      <c r="HP36" s="232"/>
      <c r="HQ36" s="232"/>
      <c r="HR36" s="232"/>
      <c r="HS36" s="232"/>
      <c r="HT36" s="232"/>
      <c r="HU36" s="232"/>
      <c r="HV36" s="232"/>
      <c r="HW36" s="232"/>
      <c r="HX36" s="232"/>
      <c r="HY36" s="232"/>
      <c r="HZ36" s="232"/>
      <c r="IA36" s="232"/>
      <c r="IB36" s="232"/>
      <c r="IC36" s="232"/>
    </row>
    <row r="37" spans="1:238" ht="6" customHeight="1">
      <c r="L37" s="907"/>
      <c r="M37" s="897"/>
      <c r="N37" s="897"/>
      <c r="O37" s="897"/>
      <c r="P37" s="897"/>
      <c r="Q37" s="908"/>
      <c r="R37" s="899"/>
      <c r="S37" s="909"/>
      <c r="U37" s="899"/>
      <c r="V37" s="899"/>
      <c r="W37" s="899"/>
      <c r="X37" s="899"/>
      <c r="Y37" s="899"/>
      <c r="Z37" s="899"/>
      <c r="AA37" s="899"/>
      <c r="AB37" s="899"/>
      <c r="AC37" s="899"/>
      <c r="AD37" s="899"/>
      <c r="AE37" s="899"/>
      <c r="AF37" s="899"/>
      <c r="AG37" s="899"/>
      <c r="AH37" s="899"/>
      <c r="AI37" s="899"/>
      <c r="AJ37" s="899"/>
      <c r="AK37" s="899"/>
      <c r="AL37" s="899"/>
      <c r="AM37" s="232"/>
      <c r="AN37" s="232"/>
      <c r="AO37" s="232"/>
      <c r="AP37" s="232"/>
      <c r="AQ37" s="232"/>
      <c r="AR37" s="232"/>
      <c r="AS37" s="232"/>
      <c r="AT37" s="232"/>
      <c r="AU37" s="232"/>
      <c r="AV37" s="232"/>
      <c r="AW37" s="232"/>
      <c r="AX37" s="232"/>
      <c r="AY37" s="232"/>
      <c r="AZ37" s="232"/>
      <c r="BA37" s="232"/>
      <c r="BB37" s="232"/>
      <c r="BC37" s="232"/>
      <c r="BD37" s="232"/>
      <c r="BE37" s="232"/>
      <c r="BF37" s="232"/>
      <c r="BG37" s="232"/>
      <c r="BH37" s="232"/>
      <c r="BI37" s="232"/>
      <c r="BJ37" s="232"/>
      <c r="BK37" s="232"/>
      <c r="BL37" s="232"/>
      <c r="BM37" s="232"/>
      <c r="BN37" s="232"/>
      <c r="BO37" s="232"/>
      <c r="BP37" s="232"/>
      <c r="BQ37" s="232"/>
      <c r="BR37" s="232"/>
      <c r="BS37" s="232"/>
      <c r="BT37" s="232"/>
      <c r="BU37" s="232"/>
      <c r="BV37" s="232"/>
      <c r="BW37" s="232"/>
      <c r="BX37" s="232"/>
      <c r="BY37" s="232"/>
      <c r="BZ37" s="232"/>
      <c r="CA37" s="232"/>
      <c r="CB37" s="232"/>
      <c r="CC37" s="232"/>
      <c r="CD37" s="232"/>
      <c r="CE37" s="232"/>
      <c r="CF37" s="232"/>
      <c r="CG37" s="232"/>
      <c r="CH37" s="232"/>
      <c r="CI37" s="232"/>
      <c r="CJ37" s="232"/>
      <c r="CK37" s="232"/>
      <c r="CL37" s="232"/>
      <c r="CM37" s="232"/>
      <c r="CN37" s="232"/>
      <c r="CO37" s="232"/>
      <c r="CP37" s="232"/>
      <c r="CQ37" s="232"/>
      <c r="CR37" s="232"/>
      <c r="CS37" s="232"/>
      <c r="CT37" s="232"/>
      <c r="CU37" s="232"/>
      <c r="CV37" s="232"/>
      <c r="CW37" s="232"/>
      <c r="CX37" s="232"/>
      <c r="CY37" s="232"/>
      <c r="CZ37" s="232"/>
      <c r="DA37" s="232"/>
      <c r="DB37" s="232"/>
      <c r="DC37" s="232"/>
      <c r="DD37" s="232"/>
      <c r="DE37" s="232"/>
      <c r="DF37" s="232"/>
      <c r="DG37" s="232"/>
      <c r="DH37" s="232"/>
      <c r="DI37" s="232"/>
      <c r="DJ37" s="232"/>
      <c r="DK37" s="232"/>
      <c r="DL37" s="232"/>
      <c r="DM37" s="232"/>
      <c r="DN37" s="232"/>
      <c r="DO37" s="232"/>
      <c r="DP37" s="232"/>
      <c r="DQ37" s="232"/>
      <c r="DR37" s="232"/>
      <c r="DS37" s="232"/>
      <c r="DT37" s="232"/>
      <c r="DU37" s="232"/>
      <c r="DV37" s="232"/>
      <c r="DW37" s="232"/>
      <c r="DX37" s="232"/>
      <c r="DY37" s="232"/>
      <c r="DZ37" s="232"/>
      <c r="EA37" s="232"/>
      <c r="EB37" s="232"/>
      <c r="EC37" s="232"/>
      <c r="ED37" s="232"/>
      <c r="EE37" s="232"/>
      <c r="EF37" s="232"/>
      <c r="EG37" s="232"/>
      <c r="EH37" s="232"/>
      <c r="EI37" s="232"/>
      <c r="EJ37" s="232"/>
      <c r="EK37" s="232"/>
      <c r="EL37" s="232"/>
      <c r="EM37" s="232"/>
      <c r="EN37" s="232"/>
      <c r="EO37" s="232"/>
      <c r="EP37" s="232"/>
      <c r="EQ37" s="232"/>
      <c r="ER37" s="232"/>
      <c r="ES37" s="232"/>
      <c r="ET37" s="232"/>
      <c r="EU37" s="232"/>
      <c r="EV37" s="232"/>
      <c r="EW37" s="232"/>
      <c r="EX37" s="232"/>
      <c r="EY37" s="232"/>
      <c r="EZ37" s="232"/>
      <c r="FA37" s="232"/>
      <c r="FB37" s="232"/>
      <c r="FC37" s="232"/>
      <c r="FD37" s="232"/>
      <c r="FE37" s="232"/>
      <c r="FF37" s="232"/>
      <c r="FG37" s="232"/>
      <c r="FH37" s="232"/>
      <c r="FI37" s="232"/>
      <c r="FJ37" s="232"/>
      <c r="FK37" s="232"/>
      <c r="FL37" s="232"/>
      <c r="FM37" s="232"/>
      <c r="FN37" s="232"/>
      <c r="FO37" s="232"/>
      <c r="FP37" s="232"/>
      <c r="FQ37" s="232"/>
      <c r="FR37" s="232"/>
      <c r="FS37" s="232"/>
      <c r="FT37" s="232"/>
      <c r="FU37" s="232"/>
      <c r="FV37" s="232"/>
      <c r="FW37" s="232"/>
      <c r="FX37" s="232"/>
      <c r="FY37" s="232"/>
      <c r="FZ37" s="232"/>
      <c r="GA37" s="232"/>
      <c r="GB37" s="232"/>
      <c r="GC37" s="232"/>
      <c r="GD37" s="232"/>
      <c r="GE37" s="232"/>
      <c r="GF37" s="232"/>
      <c r="GG37" s="232"/>
      <c r="GH37" s="232"/>
      <c r="GI37" s="232"/>
      <c r="GJ37" s="232"/>
      <c r="GK37" s="232"/>
      <c r="GL37" s="232"/>
      <c r="GM37" s="232"/>
      <c r="GN37" s="232"/>
      <c r="GO37" s="232"/>
      <c r="GP37" s="232"/>
      <c r="GQ37" s="232"/>
      <c r="GR37" s="232"/>
      <c r="GS37" s="232"/>
      <c r="GT37" s="232"/>
      <c r="GU37" s="232"/>
      <c r="GV37" s="232"/>
      <c r="GW37" s="232"/>
      <c r="GX37" s="232"/>
      <c r="GY37" s="232"/>
      <c r="GZ37" s="232"/>
      <c r="HA37" s="232"/>
      <c r="HB37" s="232"/>
      <c r="HC37" s="232"/>
      <c r="HD37" s="232"/>
      <c r="HE37" s="232"/>
      <c r="HF37" s="232"/>
      <c r="HG37" s="232"/>
      <c r="HH37" s="232"/>
      <c r="HI37" s="232"/>
      <c r="HJ37" s="232"/>
      <c r="HK37" s="232"/>
      <c r="HL37" s="232"/>
      <c r="HM37" s="232"/>
      <c r="HN37" s="232"/>
      <c r="HO37" s="232"/>
      <c r="HP37" s="232"/>
      <c r="HQ37" s="232"/>
      <c r="HR37" s="232"/>
      <c r="HS37" s="232"/>
      <c r="HT37" s="232"/>
      <c r="HU37" s="232"/>
      <c r="HV37" s="232"/>
      <c r="HW37" s="232"/>
      <c r="HX37" s="232"/>
      <c r="HY37" s="232"/>
      <c r="HZ37" s="232"/>
      <c r="IA37" s="232"/>
      <c r="IB37" s="232"/>
      <c r="IC37" s="232"/>
    </row>
    <row r="38" spans="1:238" ht="15.6" customHeight="1">
      <c r="A38" s="235" t="s">
        <v>845</v>
      </c>
      <c r="B38" s="244"/>
      <c r="C38" s="244"/>
      <c r="D38" s="244"/>
      <c r="E38" s="244"/>
      <c r="F38" s="244"/>
      <c r="G38" s="244">
        <f>SUM(G21:G36)</f>
        <v>822241000</v>
      </c>
      <c r="H38" s="244">
        <f>SUM(H21:H36)</f>
        <v>1293829000</v>
      </c>
      <c r="I38" s="244">
        <f>SUM(I21:I36)</f>
        <v>1567818000</v>
      </c>
      <c r="J38" s="245"/>
      <c r="K38" s="246">
        <f>(I38/H38)-1</f>
        <v>0.21176600617237673</v>
      </c>
      <c r="L38" s="897"/>
      <c r="M38" s="897"/>
      <c r="N38" s="897"/>
      <c r="O38" s="897"/>
      <c r="P38" s="897"/>
      <c r="Q38" s="908"/>
      <c r="R38" s="899"/>
      <c r="S38" s="909"/>
      <c r="T38" s="899"/>
      <c r="U38" s="899"/>
      <c r="V38" s="899"/>
      <c r="W38" s="899"/>
      <c r="X38" s="899"/>
      <c r="Y38" s="899"/>
      <c r="Z38" s="899"/>
      <c r="AA38" s="899"/>
      <c r="AB38" s="899"/>
      <c r="AC38" s="899"/>
      <c r="AD38" s="899"/>
      <c r="AE38" s="899"/>
      <c r="AF38" s="899"/>
      <c r="AG38" s="899"/>
      <c r="AH38" s="899"/>
      <c r="AI38" s="899"/>
      <c r="AJ38" s="899"/>
      <c r="AK38" s="899"/>
      <c r="AL38" s="899"/>
      <c r="AM38" s="232"/>
      <c r="AN38" s="232"/>
      <c r="AO38" s="232"/>
      <c r="AP38" s="232"/>
      <c r="AQ38" s="232"/>
      <c r="AR38" s="232"/>
      <c r="AS38" s="232"/>
      <c r="AT38" s="232"/>
      <c r="AU38" s="232"/>
      <c r="AV38" s="232"/>
      <c r="AW38" s="232"/>
      <c r="AX38" s="232"/>
      <c r="AY38" s="232"/>
      <c r="AZ38" s="232"/>
      <c r="BA38" s="232"/>
      <c r="BB38" s="232"/>
      <c r="BC38" s="232"/>
      <c r="BD38" s="232"/>
      <c r="BE38" s="232"/>
      <c r="BF38" s="232"/>
      <c r="BG38" s="232"/>
      <c r="BH38" s="232"/>
      <c r="BI38" s="232"/>
      <c r="BJ38" s="232"/>
      <c r="BK38" s="232"/>
      <c r="BL38" s="232"/>
      <c r="BM38" s="232"/>
      <c r="BN38" s="232"/>
      <c r="BO38" s="232"/>
      <c r="BP38" s="232"/>
      <c r="BQ38" s="232"/>
      <c r="BR38" s="232"/>
      <c r="BS38" s="232"/>
      <c r="BT38" s="232"/>
      <c r="BU38" s="232"/>
      <c r="BV38" s="232"/>
      <c r="BW38" s="232"/>
      <c r="BX38" s="232"/>
      <c r="BY38" s="232"/>
      <c r="BZ38" s="232"/>
      <c r="CA38" s="232"/>
      <c r="CB38" s="232"/>
      <c r="CC38" s="232"/>
      <c r="CD38" s="232"/>
      <c r="CE38" s="232"/>
      <c r="CF38" s="232"/>
      <c r="CG38" s="232"/>
      <c r="CH38" s="232"/>
      <c r="CI38" s="232"/>
      <c r="CJ38" s="232"/>
      <c r="CK38" s="232"/>
      <c r="CL38" s="232"/>
      <c r="CM38" s="232"/>
      <c r="CN38" s="232"/>
      <c r="CO38" s="232"/>
      <c r="CP38" s="232"/>
      <c r="CQ38" s="232"/>
      <c r="CR38" s="232"/>
      <c r="CS38" s="232"/>
      <c r="CT38" s="232"/>
      <c r="CU38" s="232"/>
      <c r="CV38" s="232"/>
      <c r="CW38" s="232"/>
      <c r="CX38" s="232"/>
      <c r="CY38" s="232"/>
      <c r="CZ38" s="232"/>
      <c r="DA38" s="232"/>
      <c r="DB38" s="232"/>
      <c r="DC38" s="232"/>
      <c r="DD38" s="232"/>
      <c r="DE38" s="232"/>
      <c r="DF38" s="232"/>
      <c r="DG38" s="232"/>
      <c r="DH38" s="232"/>
      <c r="DI38" s="232"/>
      <c r="DJ38" s="232"/>
      <c r="DK38" s="232"/>
      <c r="DL38" s="232"/>
      <c r="DM38" s="232"/>
      <c r="DN38" s="232"/>
      <c r="DO38" s="232"/>
      <c r="DP38" s="232"/>
      <c r="DQ38" s="232"/>
      <c r="DR38" s="232"/>
      <c r="DS38" s="232"/>
      <c r="DT38" s="232"/>
      <c r="DU38" s="232"/>
      <c r="DV38" s="232"/>
      <c r="DW38" s="232"/>
      <c r="DX38" s="232"/>
      <c r="DY38" s="232"/>
      <c r="DZ38" s="232"/>
      <c r="EA38" s="232"/>
      <c r="EB38" s="232"/>
      <c r="EC38" s="232"/>
      <c r="ED38" s="232"/>
      <c r="EE38" s="232"/>
      <c r="EF38" s="232"/>
      <c r="EG38" s="232"/>
      <c r="EH38" s="232"/>
      <c r="EI38" s="232"/>
      <c r="EJ38" s="232"/>
      <c r="EK38" s="232"/>
      <c r="EL38" s="232"/>
      <c r="EM38" s="232"/>
      <c r="EN38" s="232"/>
      <c r="EO38" s="232"/>
      <c r="EP38" s="232"/>
      <c r="EQ38" s="232"/>
      <c r="ER38" s="232"/>
      <c r="ES38" s="232"/>
      <c r="ET38" s="232"/>
      <c r="EU38" s="232"/>
      <c r="EV38" s="232"/>
      <c r="EW38" s="232"/>
      <c r="EX38" s="232"/>
      <c r="EY38" s="232"/>
      <c r="EZ38" s="232"/>
      <c r="FA38" s="232"/>
      <c r="FB38" s="232"/>
      <c r="FC38" s="232"/>
      <c r="FD38" s="232"/>
      <c r="FE38" s="232"/>
      <c r="FF38" s="232"/>
      <c r="FG38" s="232"/>
      <c r="FH38" s="232"/>
      <c r="FI38" s="232"/>
      <c r="FJ38" s="232"/>
      <c r="FK38" s="232"/>
      <c r="FL38" s="232"/>
      <c r="FM38" s="232"/>
      <c r="FN38" s="232"/>
      <c r="FO38" s="232"/>
      <c r="FP38" s="232"/>
      <c r="FQ38" s="232"/>
      <c r="FR38" s="232"/>
      <c r="FS38" s="232"/>
      <c r="FT38" s="232"/>
      <c r="FU38" s="232"/>
      <c r="FV38" s="232"/>
      <c r="FW38" s="232"/>
      <c r="FX38" s="232"/>
      <c r="FY38" s="232"/>
      <c r="FZ38" s="232"/>
      <c r="GA38" s="232"/>
      <c r="GB38" s="232"/>
      <c r="GC38" s="232"/>
      <c r="GD38" s="232"/>
      <c r="GE38" s="232"/>
      <c r="GF38" s="232"/>
      <c r="GG38" s="232"/>
      <c r="GH38" s="232"/>
      <c r="GI38" s="232"/>
      <c r="GJ38" s="232"/>
      <c r="GK38" s="232"/>
      <c r="GL38" s="232"/>
      <c r="GM38" s="232"/>
      <c r="GN38" s="232"/>
      <c r="GO38" s="232"/>
      <c r="GP38" s="232"/>
      <c r="GQ38" s="232"/>
      <c r="GR38" s="232"/>
      <c r="GS38" s="232"/>
      <c r="GT38" s="232"/>
      <c r="GU38" s="232"/>
      <c r="GV38" s="232"/>
      <c r="GW38" s="232"/>
      <c r="GX38" s="232"/>
      <c r="GY38" s="232"/>
      <c r="GZ38" s="232"/>
      <c r="HA38" s="232"/>
      <c r="HB38" s="232"/>
      <c r="HC38" s="232"/>
      <c r="HD38" s="232"/>
      <c r="HE38" s="232"/>
      <c r="HF38" s="232"/>
      <c r="HG38" s="232"/>
      <c r="HH38" s="232"/>
      <c r="HI38" s="232"/>
      <c r="HJ38" s="232"/>
      <c r="HK38" s="232"/>
      <c r="HL38" s="232"/>
      <c r="HM38" s="232"/>
      <c r="HN38" s="232"/>
      <c r="HO38" s="232"/>
      <c r="HP38" s="232"/>
      <c r="HQ38" s="232"/>
      <c r="HR38" s="232"/>
      <c r="HS38" s="232"/>
      <c r="HT38" s="232"/>
      <c r="HU38" s="232"/>
      <c r="HV38" s="232"/>
      <c r="HW38" s="232"/>
      <c r="HX38" s="232"/>
      <c r="HY38" s="232"/>
      <c r="HZ38" s="232"/>
      <c r="IA38" s="232"/>
      <c r="IB38" s="232"/>
      <c r="IC38" s="232"/>
    </row>
    <row r="39" spans="1:238" ht="6" customHeight="1">
      <c r="A39" s="249"/>
      <c r="B39" s="250"/>
      <c r="C39" s="250"/>
      <c r="D39" s="250"/>
      <c r="E39" s="250"/>
      <c r="F39" s="250"/>
      <c r="G39" s="250"/>
      <c r="H39" s="250"/>
      <c r="I39" s="250"/>
      <c r="J39" s="251"/>
      <c r="K39" s="252"/>
      <c r="L39" s="907"/>
      <c r="M39" s="897"/>
      <c r="N39" s="897"/>
      <c r="O39" s="897"/>
      <c r="P39" s="897"/>
      <c r="Q39" s="908"/>
      <c r="R39" s="899"/>
      <c r="S39" s="909"/>
      <c r="T39" s="899"/>
      <c r="U39" s="899"/>
      <c r="V39" s="899"/>
      <c r="W39" s="899"/>
      <c r="X39" s="899"/>
      <c r="Y39" s="899"/>
      <c r="Z39" s="899"/>
      <c r="AA39" s="899"/>
      <c r="AB39" s="899"/>
      <c r="AC39" s="899"/>
      <c r="AD39" s="899"/>
      <c r="AE39" s="899"/>
      <c r="AF39" s="899"/>
      <c r="AG39" s="899"/>
      <c r="AH39" s="899"/>
      <c r="AI39" s="899"/>
      <c r="AJ39" s="899"/>
      <c r="AK39" s="899"/>
      <c r="AL39" s="899"/>
      <c r="AM39" s="232"/>
      <c r="AN39" s="232"/>
      <c r="AO39" s="232"/>
      <c r="AP39" s="232"/>
      <c r="AQ39" s="232"/>
      <c r="AR39" s="232"/>
      <c r="AS39" s="232"/>
      <c r="AT39" s="232"/>
      <c r="AU39" s="232"/>
      <c r="AV39" s="232"/>
      <c r="AW39" s="232"/>
      <c r="AX39" s="232"/>
      <c r="AY39" s="232"/>
      <c r="AZ39" s="232"/>
      <c r="BA39" s="232"/>
      <c r="BB39" s="232"/>
      <c r="BC39" s="232"/>
      <c r="BD39" s="232"/>
      <c r="BE39" s="232"/>
      <c r="BF39" s="232"/>
      <c r="BG39" s="232"/>
      <c r="BH39" s="232"/>
      <c r="BI39" s="232"/>
      <c r="BJ39" s="232"/>
      <c r="BK39" s="232"/>
      <c r="BL39" s="232"/>
      <c r="BM39" s="232"/>
      <c r="BN39" s="232"/>
      <c r="BO39" s="232"/>
      <c r="BP39" s="232"/>
      <c r="BQ39" s="232"/>
      <c r="BR39" s="232"/>
      <c r="BS39" s="232"/>
      <c r="BT39" s="232"/>
      <c r="BU39" s="232"/>
      <c r="BV39" s="232"/>
      <c r="BW39" s="232"/>
      <c r="BX39" s="232"/>
      <c r="BY39" s="232"/>
      <c r="BZ39" s="232"/>
      <c r="CA39" s="232"/>
      <c r="CB39" s="232"/>
      <c r="CC39" s="232"/>
      <c r="CD39" s="232"/>
      <c r="CE39" s="232"/>
      <c r="CF39" s="232"/>
      <c r="CG39" s="232"/>
      <c r="CH39" s="232"/>
      <c r="CI39" s="232"/>
      <c r="CJ39" s="232"/>
      <c r="CK39" s="232"/>
      <c r="CL39" s="232"/>
      <c r="CM39" s="232"/>
      <c r="CN39" s="232"/>
      <c r="CO39" s="232"/>
      <c r="CP39" s="232"/>
      <c r="CQ39" s="232"/>
      <c r="CR39" s="232"/>
      <c r="CS39" s="232"/>
      <c r="CT39" s="232"/>
      <c r="CU39" s="232"/>
      <c r="CV39" s="232"/>
      <c r="CW39" s="232"/>
      <c r="CX39" s="232"/>
      <c r="CY39" s="232"/>
      <c r="CZ39" s="232"/>
      <c r="DA39" s="232"/>
      <c r="DB39" s="232"/>
      <c r="DC39" s="232"/>
      <c r="DD39" s="232"/>
      <c r="DE39" s="232"/>
      <c r="DF39" s="232"/>
      <c r="DG39" s="232"/>
      <c r="DH39" s="232"/>
      <c r="DI39" s="232"/>
      <c r="DJ39" s="232"/>
      <c r="DK39" s="232"/>
      <c r="DL39" s="232"/>
      <c r="DM39" s="232"/>
      <c r="DN39" s="232"/>
      <c r="DO39" s="232"/>
      <c r="DP39" s="232"/>
      <c r="DQ39" s="232"/>
      <c r="DR39" s="232"/>
      <c r="DS39" s="232"/>
      <c r="DT39" s="232"/>
      <c r="DU39" s="232"/>
      <c r="DV39" s="232"/>
      <c r="DW39" s="232"/>
      <c r="DX39" s="232"/>
      <c r="DY39" s="232"/>
      <c r="DZ39" s="232"/>
      <c r="EA39" s="232"/>
      <c r="EB39" s="232"/>
      <c r="EC39" s="232"/>
      <c r="ED39" s="232"/>
      <c r="EE39" s="232"/>
      <c r="EF39" s="232"/>
      <c r="EG39" s="232"/>
      <c r="EH39" s="232"/>
      <c r="EI39" s="232"/>
      <c r="EJ39" s="232"/>
      <c r="EK39" s="232"/>
      <c r="EL39" s="232"/>
      <c r="EM39" s="232"/>
      <c r="EN39" s="232"/>
      <c r="EO39" s="232"/>
      <c r="EP39" s="232"/>
      <c r="EQ39" s="232"/>
      <c r="ER39" s="232"/>
      <c r="ES39" s="232"/>
      <c r="ET39" s="232"/>
      <c r="EU39" s="232"/>
      <c r="EV39" s="232"/>
      <c r="EW39" s="232"/>
      <c r="EX39" s="232"/>
      <c r="EY39" s="232"/>
      <c r="EZ39" s="232"/>
      <c r="FA39" s="232"/>
      <c r="FB39" s="232"/>
      <c r="FC39" s="232"/>
      <c r="FD39" s="232"/>
      <c r="FE39" s="232"/>
      <c r="FF39" s="232"/>
      <c r="FG39" s="232"/>
      <c r="FH39" s="232"/>
      <c r="FI39" s="232"/>
      <c r="FJ39" s="232"/>
      <c r="FK39" s="232"/>
      <c r="FL39" s="232"/>
      <c r="FM39" s="232"/>
      <c r="FN39" s="232"/>
      <c r="FO39" s="232"/>
      <c r="FP39" s="232"/>
      <c r="FQ39" s="232"/>
      <c r="FR39" s="232"/>
      <c r="FS39" s="232"/>
      <c r="FT39" s="232"/>
      <c r="FU39" s="232"/>
      <c r="FV39" s="232"/>
      <c r="FW39" s="232"/>
      <c r="FX39" s="232"/>
      <c r="FY39" s="232"/>
      <c r="FZ39" s="232"/>
      <c r="GA39" s="232"/>
      <c r="GB39" s="232"/>
      <c r="GC39" s="232"/>
      <c r="GD39" s="232"/>
      <c r="GE39" s="232"/>
      <c r="GF39" s="232"/>
      <c r="GG39" s="232"/>
      <c r="GH39" s="232"/>
      <c r="GI39" s="232"/>
      <c r="GJ39" s="232"/>
      <c r="GK39" s="232"/>
      <c r="GL39" s="232"/>
      <c r="GM39" s="232"/>
      <c r="GN39" s="232"/>
      <c r="GO39" s="232"/>
      <c r="GP39" s="232"/>
      <c r="GQ39" s="232"/>
      <c r="GR39" s="232"/>
      <c r="GS39" s="232"/>
      <c r="GT39" s="232"/>
      <c r="GU39" s="232"/>
      <c r="GV39" s="232"/>
      <c r="GW39" s="232"/>
      <c r="GX39" s="232"/>
      <c r="GY39" s="232"/>
      <c r="GZ39" s="232"/>
      <c r="HA39" s="232"/>
      <c r="HB39" s="232"/>
      <c r="HC39" s="232"/>
      <c r="HD39" s="232"/>
      <c r="HE39" s="232"/>
      <c r="HF39" s="232"/>
      <c r="HG39" s="232"/>
      <c r="HH39" s="232"/>
      <c r="HI39" s="232"/>
      <c r="HJ39" s="232"/>
      <c r="HK39" s="232"/>
      <c r="HL39" s="232"/>
      <c r="HM39" s="232"/>
      <c r="HN39" s="232"/>
      <c r="HO39" s="232"/>
      <c r="HP39" s="232"/>
      <c r="HQ39" s="232"/>
      <c r="HR39" s="232"/>
      <c r="HS39" s="232"/>
      <c r="HT39" s="232"/>
      <c r="HU39" s="232"/>
      <c r="HV39" s="232"/>
      <c r="HW39" s="232"/>
      <c r="HX39" s="232"/>
      <c r="HY39" s="232"/>
      <c r="HZ39" s="232"/>
      <c r="IA39" s="232"/>
      <c r="IB39" s="232"/>
      <c r="IC39" s="232"/>
    </row>
    <row r="40" spans="1:238" ht="15.75">
      <c r="A40" s="253" t="s">
        <v>0</v>
      </c>
      <c r="B40" s="254"/>
      <c r="C40" s="254"/>
      <c r="D40" s="254"/>
      <c r="E40" s="254"/>
      <c r="F40" s="254"/>
      <c r="G40" s="254">
        <f>SUM(G18,G38)</f>
        <v>21375278000</v>
      </c>
      <c r="H40" s="254">
        <f>SUM(H18,H38)</f>
        <v>22237507000</v>
      </c>
      <c r="I40" s="254">
        <f>SUM(I18,I38)</f>
        <v>25560269000</v>
      </c>
      <c r="J40" s="255"/>
      <c r="K40" s="256">
        <f>(I40/H40)-1</f>
        <v>0.14942151564021988</v>
      </c>
      <c r="L40" s="897"/>
      <c r="M40" s="897"/>
      <c r="N40" s="897"/>
      <c r="O40" s="897"/>
      <c r="P40" s="897"/>
      <c r="Q40" s="908"/>
      <c r="R40" s="899"/>
      <c r="S40" s="909"/>
      <c r="T40" s="899"/>
      <c r="U40" s="899"/>
      <c r="V40" s="899"/>
      <c r="W40" s="899"/>
      <c r="X40" s="899"/>
      <c r="Y40" s="899"/>
      <c r="Z40" s="899"/>
      <c r="AA40" s="899"/>
      <c r="AB40" s="899"/>
      <c r="AC40" s="899"/>
      <c r="AD40" s="899"/>
      <c r="AE40" s="899"/>
      <c r="AF40" s="899"/>
      <c r="AG40" s="899"/>
      <c r="AH40" s="899"/>
      <c r="AI40" s="899"/>
      <c r="AJ40" s="899"/>
      <c r="AK40" s="899"/>
      <c r="AL40" s="899"/>
      <c r="AM40" s="232"/>
      <c r="AN40" s="232"/>
      <c r="AO40" s="232"/>
      <c r="AP40" s="232"/>
      <c r="AQ40" s="232"/>
      <c r="AR40" s="232"/>
      <c r="AS40" s="232"/>
      <c r="AT40" s="232"/>
      <c r="AU40" s="232"/>
      <c r="AV40" s="232"/>
      <c r="AW40" s="232"/>
      <c r="AX40" s="232"/>
      <c r="AY40" s="232"/>
      <c r="AZ40" s="232"/>
      <c r="BA40" s="232"/>
      <c r="BB40" s="232"/>
      <c r="BC40" s="232"/>
      <c r="BD40" s="232"/>
      <c r="BE40" s="232"/>
      <c r="BF40" s="232"/>
      <c r="BG40" s="232"/>
      <c r="BH40" s="232"/>
      <c r="BI40" s="232"/>
      <c r="BJ40" s="232"/>
      <c r="BK40" s="232"/>
      <c r="BL40" s="232"/>
      <c r="BM40" s="232"/>
      <c r="BN40" s="232"/>
      <c r="BO40" s="232"/>
      <c r="BP40" s="232"/>
      <c r="BQ40" s="232"/>
      <c r="BR40" s="232"/>
      <c r="BS40" s="232"/>
      <c r="BT40" s="232"/>
      <c r="BU40" s="232"/>
      <c r="BV40" s="232"/>
      <c r="BW40" s="232"/>
      <c r="BX40" s="232"/>
      <c r="BY40" s="232"/>
      <c r="BZ40" s="232"/>
      <c r="CA40" s="232"/>
      <c r="CB40" s="232"/>
      <c r="CC40" s="232"/>
      <c r="CD40" s="232"/>
      <c r="CE40" s="232"/>
      <c r="CF40" s="232"/>
      <c r="CG40" s="232"/>
      <c r="CH40" s="232"/>
      <c r="CI40" s="232"/>
      <c r="CJ40" s="232"/>
      <c r="CK40" s="232"/>
      <c r="CL40" s="232"/>
      <c r="CM40" s="232"/>
      <c r="CN40" s="232"/>
      <c r="CO40" s="232"/>
      <c r="CP40" s="232"/>
      <c r="CQ40" s="232"/>
      <c r="CR40" s="232"/>
      <c r="CS40" s="232"/>
      <c r="CT40" s="232"/>
      <c r="CU40" s="232"/>
      <c r="CV40" s="232"/>
      <c r="CW40" s="232"/>
      <c r="CX40" s="232"/>
      <c r="CY40" s="232"/>
      <c r="CZ40" s="232"/>
      <c r="DA40" s="232"/>
      <c r="DB40" s="232"/>
      <c r="DC40" s="232"/>
      <c r="DD40" s="232"/>
      <c r="DE40" s="232"/>
      <c r="DF40" s="232"/>
      <c r="DG40" s="232"/>
      <c r="DH40" s="232"/>
      <c r="DI40" s="232"/>
      <c r="DJ40" s="232"/>
      <c r="DK40" s="232"/>
      <c r="DL40" s="232"/>
      <c r="DM40" s="232"/>
      <c r="DN40" s="232"/>
      <c r="DO40" s="232"/>
      <c r="DP40" s="232"/>
      <c r="DQ40" s="232"/>
      <c r="DR40" s="232"/>
      <c r="DS40" s="232"/>
      <c r="DT40" s="232"/>
      <c r="DU40" s="232"/>
      <c r="DV40" s="232"/>
      <c r="DW40" s="232"/>
      <c r="DX40" s="232"/>
      <c r="DY40" s="232"/>
      <c r="DZ40" s="232"/>
      <c r="EA40" s="232"/>
      <c r="EB40" s="232"/>
      <c r="EC40" s="232"/>
      <c r="ED40" s="232"/>
      <c r="EE40" s="232"/>
      <c r="EF40" s="232"/>
      <c r="EG40" s="232"/>
      <c r="EH40" s="232"/>
      <c r="EI40" s="232"/>
      <c r="EJ40" s="232"/>
      <c r="EK40" s="232"/>
      <c r="EL40" s="232"/>
      <c r="EM40" s="232"/>
      <c r="EN40" s="232"/>
      <c r="EO40" s="232"/>
      <c r="EP40" s="232"/>
      <c r="EQ40" s="232"/>
      <c r="ER40" s="232"/>
      <c r="ES40" s="232"/>
      <c r="ET40" s="232"/>
      <c r="EU40" s="232"/>
      <c r="EV40" s="232"/>
      <c r="EW40" s="232"/>
      <c r="EX40" s="232"/>
      <c r="EY40" s="232"/>
      <c r="EZ40" s="232"/>
      <c r="FA40" s="232"/>
      <c r="FB40" s="232"/>
      <c r="FC40" s="232"/>
      <c r="FD40" s="232"/>
      <c r="FE40" s="232"/>
      <c r="FF40" s="232"/>
      <c r="FG40" s="232"/>
      <c r="FH40" s="232"/>
      <c r="FI40" s="232"/>
      <c r="FJ40" s="232"/>
      <c r="FK40" s="232"/>
      <c r="FL40" s="232"/>
      <c r="FM40" s="232"/>
      <c r="FN40" s="232"/>
      <c r="FO40" s="232"/>
      <c r="FP40" s="232"/>
      <c r="FQ40" s="232"/>
      <c r="FR40" s="232"/>
      <c r="FS40" s="232"/>
      <c r="FT40" s="232"/>
      <c r="FU40" s="232"/>
      <c r="FV40" s="232"/>
      <c r="FW40" s="232"/>
      <c r="FX40" s="232"/>
      <c r="FY40" s="232"/>
      <c r="FZ40" s="232"/>
      <c r="GA40" s="232"/>
      <c r="GB40" s="232"/>
      <c r="GC40" s="232"/>
      <c r="GD40" s="232"/>
      <c r="GE40" s="232"/>
      <c r="GF40" s="232"/>
      <c r="GG40" s="232"/>
      <c r="GH40" s="232"/>
      <c r="GI40" s="232"/>
      <c r="GJ40" s="232"/>
      <c r="GK40" s="232"/>
      <c r="GL40" s="232"/>
      <c r="GM40" s="232"/>
      <c r="GN40" s="232"/>
      <c r="GO40" s="232"/>
      <c r="GP40" s="232"/>
      <c r="GQ40" s="232"/>
      <c r="GR40" s="232"/>
      <c r="GS40" s="232"/>
      <c r="GT40" s="232"/>
      <c r="GU40" s="232"/>
      <c r="GV40" s="232"/>
      <c r="GW40" s="232"/>
      <c r="GX40" s="232"/>
      <c r="GY40" s="232"/>
      <c r="GZ40" s="232"/>
      <c r="HA40" s="232"/>
      <c r="HB40" s="232"/>
      <c r="HC40" s="232"/>
      <c r="HD40" s="232"/>
      <c r="HE40" s="232"/>
      <c r="HF40" s="232"/>
      <c r="HG40" s="232"/>
      <c r="HH40" s="232"/>
      <c r="HI40" s="232"/>
      <c r="HJ40" s="232"/>
      <c r="HK40" s="232"/>
      <c r="HL40" s="232"/>
      <c r="HM40" s="232"/>
      <c r="HN40" s="232"/>
      <c r="HO40" s="232"/>
      <c r="HP40" s="232"/>
      <c r="HQ40" s="232"/>
      <c r="HR40" s="232"/>
      <c r="HS40" s="232"/>
      <c r="HT40" s="232"/>
      <c r="HU40" s="232"/>
      <c r="HV40" s="232"/>
      <c r="HW40" s="232"/>
      <c r="HX40" s="232"/>
      <c r="HY40" s="232"/>
      <c r="HZ40" s="232"/>
      <c r="IA40" s="232"/>
      <c r="IB40" s="232"/>
      <c r="IC40" s="232"/>
    </row>
    <row r="41" spans="1:238" ht="6" customHeight="1">
      <c r="A41" s="925" t="s">
        <v>334</v>
      </c>
      <c r="B41" s="925"/>
      <c r="C41" s="925"/>
      <c r="D41" s="925"/>
      <c r="E41" s="925"/>
      <c r="F41" s="925"/>
      <c r="G41" s="925"/>
      <c r="H41" s="926">
        <f>H40-H8-H9-H13</f>
        <v>2167448000</v>
      </c>
      <c r="I41" s="926">
        <f>I40-I8-I9-I13</f>
        <v>2641043000</v>
      </c>
      <c r="L41" s="897"/>
      <c r="M41" s="897"/>
      <c r="N41" s="897"/>
      <c r="O41" s="897"/>
      <c r="P41" s="897"/>
      <c r="Q41" s="908"/>
      <c r="R41" s="899"/>
      <c r="S41" s="899"/>
      <c r="T41" s="899"/>
      <c r="U41" s="899"/>
      <c r="V41" s="899"/>
      <c r="W41" s="906"/>
      <c r="X41" s="899"/>
      <c r="Y41" s="899"/>
      <c r="Z41" s="899"/>
      <c r="AA41" s="899"/>
      <c r="AB41" s="899"/>
      <c r="AC41" s="899"/>
      <c r="AD41" s="899"/>
      <c r="AE41" s="899"/>
      <c r="AF41" s="899"/>
      <c r="AG41" s="899"/>
      <c r="AH41" s="899"/>
      <c r="AI41" s="899"/>
      <c r="AJ41" s="899"/>
      <c r="AK41" s="899"/>
      <c r="AL41" s="899"/>
      <c r="AM41" s="232"/>
      <c r="AN41" s="232"/>
      <c r="AO41" s="232"/>
      <c r="AP41" s="232"/>
      <c r="AQ41" s="232"/>
      <c r="AR41" s="232"/>
      <c r="AS41" s="232"/>
      <c r="AT41" s="232"/>
      <c r="AU41" s="232"/>
      <c r="AV41" s="232"/>
      <c r="AW41" s="232"/>
      <c r="AX41" s="232"/>
      <c r="AY41" s="232"/>
      <c r="AZ41" s="232"/>
      <c r="BA41" s="232"/>
      <c r="BB41" s="232"/>
      <c r="BC41" s="232"/>
      <c r="BD41" s="232"/>
      <c r="BE41" s="232"/>
      <c r="BF41" s="232"/>
      <c r="BG41" s="232"/>
      <c r="BH41" s="232"/>
      <c r="BI41" s="232"/>
      <c r="BJ41" s="232"/>
      <c r="BK41" s="232"/>
      <c r="BL41" s="232"/>
      <c r="BM41" s="232"/>
      <c r="BN41" s="232"/>
      <c r="BO41" s="232"/>
      <c r="BP41" s="232"/>
      <c r="BQ41" s="232"/>
      <c r="BR41" s="232"/>
      <c r="BS41" s="232"/>
      <c r="BT41" s="232"/>
      <c r="BU41" s="232"/>
      <c r="BV41" s="232"/>
      <c r="BW41" s="232"/>
      <c r="BX41" s="232"/>
      <c r="BY41" s="232"/>
      <c r="BZ41" s="232"/>
      <c r="CA41" s="232"/>
      <c r="CB41" s="232"/>
      <c r="CC41" s="232"/>
      <c r="CD41" s="232"/>
      <c r="CE41" s="232"/>
      <c r="CF41" s="232"/>
      <c r="CG41" s="232"/>
      <c r="CH41" s="232"/>
      <c r="CI41" s="232"/>
      <c r="CJ41" s="232"/>
      <c r="CK41" s="232"/>
      <c r="CL41" s="232"/>
      <c r="CM41" s="232"/>
      <c r="CN41" s="232"/>
      <c r="CO41" s="232"/>
      <c r="CP41" s="232"/>
      <c r="CQ41" s="232"/>
      <c r="CR41" s="232"/>
      <c r="CS41" s="232"/>
      <c r="CT41" s="232"/>
      <c r="CU41" s="232"/>
      <c r="CV41" s="232"/>
      <c r="CW41" s="232"/>
      <c r="CX41" s="232"/>
      <c r="CY41" s="232"/>
      <c r="CZ41" s="232"/>
      <c r="DA41" s="232"/>
      <c r="DB41" s="232"/>
      <c r="DC41" s="232"/>
      <c r="DD41" s="232"/>
      <c r="DE41" s="232"/>
      <c r="DF41" s="232"/>
      <c r="DG41" s="232"/>
      <c r="DH41" s="232"/>
      <c r="DI41" s="232"/>
      <c r="DJ41" s="232"/>
      <c r="DK41" s="232"/>
      <c r="DL41" s="232"/>
      <c r="DM41" s="232"/>
      <c r="DN41" s="232"/>
      <c r="DO41" s="232"/>
      <c r="DP41" s="232"/>
      <c r="DQ41" s="232"/>
      <c r="DR41" s="232"/>
      <c r="DS41" s="232"/>
      <c r="DT41" s="232"/>
      <c r="DU41" s="232"/>
      <c r="DV41" s="232"/>
      <c r="DW41" s="232"/>
      <c r="DX41" s="232"/>
      <c r="DY41" s="232"/>
      <c r="DZ41" s="232"/>
      <c r="EA41" s="232"/>
      <c r="EB41" s="232"/>
      <c r="EC41" s="232"/>
      <c r="ED41" s="232"/>
      <c r="EE41" s="232"/>
      <c r="EF41" s="232"/>
      <c r="EG41" s="232"/>
      <c r="EH41" s="232"/>
      <c r="EI41" s="232"/>
      <c r="EJ41" s="232"/>
      <c r="EK41" s="232"/>
      <c r="EL41" s="232"/>
      <c r="EM41" s="232"/>
      <c r="EN41" s="232"/>
      <c r="EO41" s="232"/>
      <c r="EP41" s="232"/>
      <c r="EQ41" s="232"/>
      <c r="ER41" s="232"/>
      <c r="ES41" s="232"/>
      <c r="ET41" s="232"/>
      <c r="EU41" s="232"/>
      <c r="EV41" s="232"/>
      <c r="EW41" s="232"/>
      <c r="EX41" s="232"/>
      <c r="EY41" s="232"/>
      <c r="EZ41" s="232"/>
      <c r="FA41" s="232"/>
      <c r="FB41" s="232"/>
      <c r="FC41" s="232"/>
      <c r="FD41" s="232"/>
      <c r="FE41" s="232"/>
      <c r="FF41" s="232"/>
      <c r="FG41" s="232"/>
      <c r="FH41" s="232"/>
      <c r="FI41" s="232"/>
      <c r="FJ41" s="232"/>
      <c r="FK41" s="232"/>
      <c r="FL41" s="232"/>
      <c r="FM41" s="232"/>
      <c r="FN41" s="232"/>
      <c r="FO41" s="232"/>
      <c r="FP41" s="232"/>
      <c r="FQ41" s="232"/>
      <c r="FR41" s="232"/>
      <c r="FS41" s="232"/>
      <c r="FT41" s="232"/>
      <c r="FU41" s="232"/>
      <c r="FV41" s="232"/>
      <c r="FW41" s="232"/>
      <c r="FX41" s="232"/>
      <c r="FY41" s="232"/>
      <c r="FZ41" s="232"/>
      <c r="GA41" s="232"/>
      <c r="GB41" s="232"/>
      <c r="GC41" s="232"/>
      <c r="GD41" s="232"/>
      <c r="GE41" s="232"/>
      <c r="GF41" s="232"/>
      <c r="GG41" s="232"/>
      <c r="GH41" s="232"/>
      <c r="GI41" s="232"/>
      <c r="GJ41" s="232"/>
      <c r="GK41" s="232"/>
      <c r="GL41" s="232"/>
      <c r="GM41" s="232"/>
      <c r="GN41" s="232"/>
      <c r="GO41" s="232"/>
      <c r="GP41" s="232"/>
      <c r="GQ41" s="232"/>
      <c r="GR41" s="232"/>
      <c r="GS41" s="232"/>
      <c r="GT41" s="232"/>
      <c r="GU41" s="232"/>
      <c r="GV41" s="232"/>
      <c r="GW41" s="232"/>
      <c r="GX41" s="232"/>
      <c r="GY41" s="232"/>
      <c r="GZ41" s="232"/>
      <c r="HA41" s="232"/>
      <c r="HB41" s="232"/>
      <c r="HC41" s="232"/>
      <c r="HD41" s="232"/>
      <c r="HE41" s="232"/>
      <c r="HF41" s="232"/>
      <c r="HG41" s="232"/>
      <c r="HH41" s="232"/>
      <c r="HI41" s="232"/>
      <c r="HJ41" s="232"/>
      <c r="HK41" s="232"/>
      <c r="HL41" s="232"/>
      <c r="HM41" s="232"/>
      <c r="HN41" s="232"/>
      <c r="HO41" s="232"/>
      <c r="HP41" s="232"/>
      <c r="HQ41" s="232"/>
      <c r="HR41" s="232"/>
      <c r="HS41" s="232"/>
      <c r="HT41" s="232"/>
      <c r="HU41" s="232"/>
      <c r="HV41" s="232"/>
      <c r="HW41" s="232"/>
      <c r="HX41" s="232"/>
      <c r="HY41" s="232"/>
      <c r="HZ41" s="232"/>
      <c r="IA41" s="232"/>
      <c r="IB41" s="232"/>
      <c r="IC41" s="232"/>
    </row>
    <row r="42" spans="1:238" ht="6" customHeight="1">
      <c r="A42" s="257"/>
      <c r="B42" s="258"/>
      <c r="C42" s="258"/>
      <c r="D42" s="258"/>
      <c r="E42" s="258"/>
      <c r="F42" s="258"/>
      <c r="G42" s="258"/>
      <c r="H42" s="370"/>
      <c r="I42" s="370"/>
      <c r="J42" s="251"/>
      <c r="K42" s="259"/>
      <c r="L42" s="897"/>
      <c r="M42" s="897"/>
      <c r="N42" s="897"/>
      <c r="O42" s="897"/>
      <c r="P42" s="897"/>
      <c r="Q42" s="898"/>
      <c r="R42" s="899"/>
      <c r="S42" s="899"/>
      <c r="T42" s="899"/>
      <c r="U42" s="899"/>
      <c r="V42" s="899"/>
      <c r="W42" s="899"/>
      <c r="X42" s="899"/>
      <c r="Y42" s="899"/>
      <c r="Z42" s="899"/>
      <c r="AA42" s="899"/>
      <c r="AB42" s="899"/>
      <c r="AC42" s="899"/>
      <c r="AD42" s="899"/>
      <c r="AE42" s="899"/>
      <c r="AF42" s="899"/>
      <c r="AG42" s="899"/>
      <c r="AH42" s="899"/>
      <c r="AI42" s="899"/>
      <c r="AJ42" s="899"/>
      <c r="AK42" s="899"/>
      <c r="AL42" s="899"/>
      <c r="AM42" s="232"/>
      <c r="AN42" s="232"/>
      <c r="AO42" s="232"/>
      <c r="AP42" s="232"/>
      <c r="AQ42" s="232"/>
      <c r="AR42" s="232"/>
      <c r="AS42" s="232"/>
      <c r="AT42" s="232"/>
      <c r="AU42" s="232"/>
      <c r="AV42" s="232"/>
      <c r="AW42" s="232"/>
      <c r="AX42" s="232"/>
      <c r="AY42" s="232"/>
      <c r="AZ42" s="232"/>
      <c r="BA42" s="232"/>
      <c r="BB42" s="232"/>
      <c r="BC42" s="232"/>
      <c r="BD42" s="232"/>
      <c r="BE42" s="232"/>
      <c r="BF42" s="232"/>
      <c r="BG42" s="232"/>
      <c r="BH42" s="232"/>
      <c r="BI42" s="232"/>
      <c r="BJ42" s="232"/>
      <c r="BK42" s="232"/>
      <c r="BL42" s="232"/>
      <c r="BM42" s="232"/>
      <c r="BN42" s="232"/>
      <c r="BO42" s="232"/>
      <c r="BP42" s="232"/>
      <c r="BQ42" s="232"/>
      <c r="BR42" s="232"/>
      <c r="BS42" s="232"/>
      <c r="BT42" s="232"/>
      <c r="BU42" s="232"/>
      <c r="BV42" s="232"/>
      <c r="BW42" s="232"/>
      <c r="BX42" s="232"/>
      <c r="BY42" s="232"/>
      <c r="BZ42" s="232"/>
      <c r="CA42" s="232"/>
      <c r="CB42" s="232"/>
      <c r="CC42" s="232"/>
      <c r="CD42" s="232"/>
      <c r="CE42" s="232"/>
      <c r="CF42" s="232"/>
      <c r="CG42" s="232"/>
      <c r="CH42" s="232"/>
      <c r="CI42" s="232"/>
      <c r="CJ42" s="232"/>
      <c r="CK42" s="232"/>
      <c r="CL42" s="232"/>
      <c r="CM42" s="232"/>
      <c r="CN42" s="232"/>
      <c r="CO42" s="232"/>
      <c r="CP42" s="232"/>
      <c r="CQ42" s="232"/>
      <c r="CR42" s="232"/>
      <c r="CS42" s="232"/>
      <c r="CT42" s="232"/>
      <c r="CU42" s="232"/>
      <c r="CV42" s="232"/>
      <c r="CW42" s="232"/>
      <c r="CX42" s="232"/>
      <c r="CY42" s="232"/>
      <c r="CZ42" s="232"/>
      <c r="DA42" s="232"/>
      <c r="DB42" s="232"/>
      <c r="DC42" s="232"/>
      <c r="DD42" s="232"/>
      <c r="DE42" s="232"/>
      <c r="DF42" s="232"/>
      <c r="DG42" s="232"/>
      <c r="DH42" s="232"/>
      <c r="DI42" s="232"/>
      <c r="DJ42" s="232"/>
      <c r="DK42" s="232"/>
      <c r="DL42" s="232"/>
      <c r="DM42" s="232"/>
      <c r="DN42" s="232"/>
      <c r="DO42" s="232"/>
      <c r="DP42" s="232"/>
      <c r="DQ42" s="232"/>
      <c r="DR42" s="232"/>
      <c r="DS42" s="232"/>
      <c r="DT42" s="232"/>
      <c r="DU42" s="232"/>
      <c r="DV42" s="232"/>
      <c r="DW42" s="232"/>
      <c r="DX42" s="232"/>
      <c r="DY42" s="232"/>
      <c r="DZ42" s="232"/>
      <c r="EA42" s="232"/>
      <c r="EB42" s="232"/>
      <c r="EC42" s="232"/>
      <c r="ED42" s="232"/>
      <c r="EE42" s="232"/>
      <c r="EF42" s="232"/>
      <c r="EG42" s="232"/>
      <c r="EH42" s="232"/>
      <c r="EI42" s="232"/>
      <c r="EJ42" s="232"/>
      <c r="EK42" s="232"/>
      <c r="EL42" s="232"/>
      <c r="EM42" s="232"/>
      <c r="EN42" s="232"/>
      <c r="EO42" s="232"/>
      <c r="EP42" s="232"/>
      <c r="EQ42" s="232"/>
      <c r="ER42" s="232"/>
      <c r="ES42" s="232"/>
      <c r="ET42" s="232"/>
      <c r="EU42" s="232"/>
      <c r="EV42" s="232"/>
      <c r="EW42" s="232"/>
      <c r="EX42" s="232"/>
      <c r="EY42" s="232"/>
      <c r="EZ42" s="232"/>
      <c r="FA42" s="232"/>
      <c r="FB42" s="232"/>
      <c r="FC42" s="232"/>
      <c r="FD42" s="232"/>
      <c r="FE42" s="232"/>
      <c r="FF42" s="232"/>
      <c r="FG42" s="232"/>
      <c r="FH42" s="232"/>
      <c r="FI42" s="232"/>
      <c r="FJ42" s="232"/>
      <c r="FK42" s="232"/>
      <c r="FL42" s="232"/>
      <c r="FM42" s="232"/>
      <c r="FN42" s="232"/>
      <c r="FO42" s="232"/>
      <c r="FP42" s="232"/>
      <c r="FQ42" s="232"/>
      <c r="FR42" s="232"/>
      <c r="FS42" s="232"/>
      <c r="FT42" s="232"/>
      <c r="FU42" s="232"/>
      <c r="FV42" s="232"/>
      <c r="FW42" s="232"/>
      <c r="FX42" s="232"/>
      <c r="FY42" s="232"/>
      <c r="FZ42" s="232"/>
      <c r="GA42" s="232"/>
      <c r="GB42" s="232"/>
      <c r="GC42" s="232"/>
      <c r="GD42" s="232"/>
      <c r="GE42" s="232"/>
      <c r="GF42" s="232"/>
      <c r="GG42" s="232"/>
      <c r="GH42" s="232"/>
      <c r="GI42" s="232"/>
      <c r="GJ42" s="232"/>
      <c r="GK42" s="232"/>
      <c r="GL42" s="232"/>
      <c r="GM42" s="232"/>
      <c r="GN42" s="232"/>
      <c r="GO42" s="232"/>
      <c r="GP42" s="232"/>
      <c r="GQ42" s="232"/>
      <c r="GR42" s="232"/>
      <c r="GS42" s="232"/>
      <c r="GT42" s="232"/>
      <c r="GU42" s="232"/>
      <c r="GV42" s="232"/>
      <c r="GW42" s="232"/>
      <c r="GX42" s="232"/>
      <c r="GY42" s="232"/>
      <c r="GZ42" s="232"/>
      <c r="HA42" s="232"/>
      <c r="HB42" s="232"/>
      <c r="HC42" s="232"/>
      <c r="HD42" s="232"/>
      <c r="HE42" s="232"/>
      <c r="HF42" s="232"/>
      <c r="HG42" s="232"/>
      <c r="HH42" s="232"/>
      <c r="HI42" s="232"/>
      <c r="HJ42" s="232"/>
      <c r="HK42" s="232"/>
      <c r="HL42" s="232"/>
      <c r="HM42" s="232"/>
      <c r="HN42" s="232"/>
      <c r="HO42" s="232"/>
      <c r="HP42" s="232"/>
      <c r="HQ42" s="232"/>
      <c r="HR42" s="232"/>
      <c r="HS42" s="232"/>
      <c r="HT42" s="232"/>
      <c r="HU42" s="232"/>
      <c r="HV42" s="232"/>
      <c r="HW42" s="232"/>
      <c r="HX42" s="232"/>
      <c r="HY42" s="232"/>
      <c r="HZ42" s="232"/>
      <c r="IA42" s="232"/>
      <c r="IB42" s="232"/>
      <c r="IC42" s="232"/>
    </row>
    <row r="43" spans="1:238" ht="15.6" customHeight="1">
      <c r="A43" s="927" t="s">
        <v>1</v>
      </c>
      <c r="B43" s="260"/>
      <c r="C43" s="260"/>
      <c r="D43" s="260"/>
      <c r="E43" s="260"/>
      <c r="F43" s="260"/>
      <c r="G43" s="260"/>
      <c r="H43" s="260"/>
      <c r="I43" s="260"/>
      <c r="J43" s="261"/>
      <c r="K43" s="262"/>
      <c r="L43" s="897"/>
      <c r="M43" s="897"/>
      <c r="N43" s="897"/>
      <c r="O43" s="897"/>
      <c r="P43" s="897"/>
      <c r="Q43" s="908"/>
      <c r="R43" s="899"/>
      <c r="S43" s="899"/>
      <c r="T43" s="912"/>
      <c r="U43" s="912"/>
      <c r="V43" s="901"/>
      <c r="W43" s="901"/>
      <c r="X43" s="901"/>
      <c r="Y43" s="901"/>
      <c r="Z43" s="901"/>
      <c r="AA43" s="899"/>
      <c r="AB43" s="899"/>
      <c r="AC43" s="899"/>
      <c r="AD43" s="899"/>
      <c r="AE43" s="899"/>
      <c r="AF43" s="899"/>
      <c r="AG43" s="899"/>
      <c r="AH43" s="899"/>
      <c r="AI43" s="899"/>
      <c r="AJ43" s="899"/>
      <c r="AK43" s="899"/>
      <c r="AL43" s="899"/>
      <c r="AM43" s="232"/>
      <c r="AN43" s="232"/>
      <c r="AO43" s="232"/>
      <c r="AP43" s="232"/>
      <c r="AQ43" s="232"/>
      <c r="AR43" s="232"/>
      <c r="AS43" s="232"/>
      <c r="AT43" s="232"/>
      <c r="AU43" s="232"/>
      <c r="AV43" s="232"/>
      <c r="AW43" s="232"/>
      <c r="AX43" s="232"/>
      <c r="AY43" s="232"/>
      <c r="AZ43" s="232"/>
      <c r="BA43" s="232"/>
      <c r="BB43" s="232"/>
      <c r="BC43" s="232"/>
      <c r="BD43" s="232"/>
      <c r="BE43" s="232"/>
      <c r="BF43" s="232"/>
      <c r="BG43" s="232"/>
      <c r="BH43" s="232"/>
      <c r="BI43" s="232"/>
      <c r="BJ43" s="232"/>
      <c r="BK43" s="232"/>
      <c r="BL43" s="232"/>
      <c r="BM43" s="232"/>
      <c r="BN43" s="232"/>
      <c r="BO43" s="232"/>
      <c r="BP43" s="232"/>
      <c r="BQ43" s="232"/>
      <c r="BR43" s="232"/>
      <c r="BS43" s="232"/>
      <c r="BT43" s="232"/>
      <c r="BU43" s="232"/>
      <c r="BV43" s="232"/>
      <c r="BW43" s="232"/>
      <c r="BX43" s="232"/>
      <c r="BY43" s="232"/>
      <c r="BZ43" s="232"/>
      <c r="CA43" s="232"/>
      <c r="CB43" s="232"/>
      <c r="CC43" s="232"/>
      <c r="CD43" s="232"/>
      <c r="CE43" s="232"/>
      <c r="CF43" s="232"/>
      <c r="CG43" s="232"/>
      <c r="CH43" s="232"/>
      <c r="CI43" s="232"/>
      <c r="CJ43" s="232"/>
      <c r="CK43" s="232"/>
      <c r="CL43" s="232"/>
      <c r="CM43" s="232"/>
      <c r="CN43" s="232"/>
      <c r="CO43" s="232"/>
      <c r="CP43" s="232"/>
      <c r="CQ43" s="232"/>
      <c r="CR43" s="232"/>
      <c r="CS43" s="232"/>
      <c r="CT43" s="232"/>
      <c r="CU43" s="232"/>
      <c r="CV43" s="232"/>
      <c r="CW43" s="232"/>
      <c r="CX43" s="232"/>
      <c r="CY43" s="232"/>
      <c r="CZ43" s="232"/>
      <c r="DA43" s="232"/>
      <c r="DB43" s="232"/>
      <c r="DC43" s="232"/>
      <c r="DD43" s="232"/>
      <c r="DE43" s="232"/>
      <c r="DF43" s="232"/>
      <c r="DG43" s="232"/>
      <c r="DH43" s="232"/>
      <c r="DI43" s="232"/>
      <c r="DJ43" s="232"/>
      <c r="DK43" s="232"/>
      <c r="DL43" s="232"/>
      <c r="DM43" s="232"/>
      <c r="DN43" s="232"/>
      <c r="DO43" s="232"/>
      <c r="DP43" s="232"/>
      <c r="DQ43" s="232"/>
      <c r="DR43" s="232"/>
      <c r="DS43" s="232"/>
      <c r="DT43" s="232"/>
      <c r="DU43" s="232"/>
      <c r="DV43" s="232"/>
      <c r="DW43" s="232"/>
      <c r="DX43" s="232"/>
      <c r="DY43" s="232"/>
      <c r="DZ43" s="232"/>
      <c r="EA43" s="232"/>
      <c r="EB43" s="232"/>
      <c r="EC43" s="232"/>
      <c r="ED43" s="232"/>
      <c r="EE43" s="232"/>
      <c r="EF43" s="232"/>
      <c r="EG43" s="232"/>
      <c r="EH43" s="232"/>
      <c r="EI43" s="232"/>
      <c r="EJ43" s="232"/>
      <c r="EK43" s="232"/>
      <c r="EL43" s="232"/>
      <c r="EM43" s="232"/>
      <c r="EN43" s="232"/>
      <c r="EO43" s="232"/>
      <c r="EP43" s="232"/>
      <c r="EQ43" s="232"/>
      <c r="ER43" s="232"/>
      <c r="ES43" s="232"/>
      <c r="ET43" s="232"/>
      <c r="EU43" s="232"/>
      <c r="EV43" s="232"/>
      <c r="EW43" s="232"/>
      <c r="EX43" s="232"/>
      <c r="EY43" s="232"/>
      <c r="EZ43" s="232"/>
      <c r="FA43" s="232"/>
      <c r="FB43" s="232"/>
      <c r="FC43" s="232"/>
      <c r="FD43" s="232"/>
      <c r="FE43" s="232"/>
      <c r="FF43" s="232"/>
      <c r="FG43" s="232"/>
      <c r="FH43" s="232"/>
      <c r="FI43" s="232"/>
      <c r="FJ43" s="232"/>
      <c r="FK43" s="232"/>
      <c r="FL43" s="232"/>
      <c r="FM43" s="232"/>
      <c r="FN43" s="232"/>
      <c r="FO43" s="232"/>
      <c r="FP43" s="232"/>
      <c r="FQ43" s="232"/>
      <c r="FR43" s="232"/>
      <c r="FS43" s="232"/>
      <c r="FT43" s="232"/>
      <c r="FU43" s="232"/>
      <c r="FV43" s="232"/>
      <c r="FW43" s="232"/>
      <c r="FX43" s="232"/>
      <c r="FY43" s="232"/>
      <c r="FZ43" s="232"/>
      <c r="GA43" s="232"/>
      <c r="GB43" s="232"/>
      <c r="GC43" s="232"/>
      <c r="GD43" s="232"/>
      <c r="GE43" s="232"/>
      <c r="GF43" s="232"/>
      <c r="GG43" s="232"/>
      <c r="GH43" s="232"/>
      <c r="GI43" s="232"/>
      <c r="GJ43" s="232"/>
      <c r="GK43" s="232"/>
      <c r="GL43" s="232"/>
      <c r="GM43" s="232"/>
      <c r="GN43" s="232"/>
      <c r="GO43" s="232"/>
      <c r="GP43" s="232"/>
      <c r="GQ43" s="232"/>
      <c r="GR43" s="232"/>
      <c r="GS43" s="232"/>
      <c r="GT43" s="232"/>
      <c r="GU43" s="232"/>
      <c r="GV43" s="232"/>
      <c r="GW43" s="232"/>
      <c r="GX43" s="232"/>
      <c r="GY43" s="232"/>
      <c r="GZ43" s="232"/>
      <c r="HA43" s="232"/>
      <c r="HB43" s="232"/>
      <c r="HC43" s="232"/>
      <c r="HD43" s="232"/>
      <c r="HE43" s="232"/>
      <c r="HF43" s="232"/>
      <c r="HG43" s="232"/>
      <c r="HH43" s="232"/>
      <c r="HI43" s="232"/>
      <c r="HJ43" s="232"/>
      <c r="HK43" s="232"/>
      <c r="HL43" s="232"/>
      <c r="HM43" s="232"/>
      <c r="HN43" s="232"/>
      <c r="HO43" s="232"/>
      <c r="HP43" s="232"/>
      <c r="HQ43" s="232"/>
      <c r="HR43" s="232"/>
      <c r="HS43" s="232"/>
      <c r="HT43" s="232"/>
      <c r="HU43" s="232"/>
      <c r="HV43" s="232"/>
      <c r="HW43" s="232"/>
      <c r="HX43" s="232"/>
      <c r="HY43" s="232"/>
      <c r="HZ43" s="232"/>
      <c r="IA43" s="232"/>
      <c r="IB43" s="232"/>
      <c r="IC43" s="232"/>
      <c r="ID43" s="232"/>
    </row>
    <row r="44" spans="1:238" ht="14.1" customHeight="1">
      <c r="A44" s="927" t="s">
        <v>950</v>
      </c>
      <c r="B44" s="262"/>
      <c r="C44" s="262"/>
      <c r="D44" s="262"/>
      <c r="E44" s="262"/>
      <c r="F44" s="262"/>
      <c r="G44" s="262"/>
      <c r="H44" s="262"/>
      <c r="I44" s="262"/>
      <c r="J44" s="261"/>
      <c r="K44" s="263"/>
      <c r="L44" s="896"/>
      <c r="M44" s="896"/>
      <c r="N44" s="896"/>
      <c r="O44" s="896"/>
      <c r="P44" s="897"/>
      <c r="Q44" s="898"/>
      <c r="R44" s="899"/>
      <c r="S44" s="899"/>
      <c r="T44" s="899"/>
      <c r="U44" s="912"/>
      <c r="V44" s="901"/>
      <c r="W44" s="901"/>
      <c r="X44" s="901"/>
      <c r="Y44" s="901"/>
      <c r="Z44" s="901"/>
      <c r="AA44" s="899"/>
      <c r="AB44" s="899"/>
      <c r="AC44" s="899"/>
      <c r="AD44" s="899"/>
      <c r="AE44" s="899"/>
      <c r="AF44" s="899"/>
      <c r="AG44" s="899"/>
      <c r="AH44" s="899"/>
      <c r="AI44" s="899"/>
      <c r="AJ44" s="899"/>
      <c r="AK44" s="899"/>
      <c r="AL44" s="899"/>
      <c r="AM44" s="232"/>
      <c r="AN44" s="232"/>
      <c r="AO44" s="232"/>
      <c r="AP44" s="232"/>
      <c r="AQ44" s="232"/>
      <c r="AR44" s="232"/>
      <c r="AS44" s="232"/>
      <c r="AT44" s="232"/>
      <c r="AU44" s="232"/>
      <c r="AV44" s="232"/>
      <c r="AW44" s="232"/>
      <c r="AX44" s="232"/>
      <c r="AY44" s="232"/>
      <c r="AZ44" s="232"/>
      <c r="BA44" s="232"/>
      <c r="BB44" s="232"/>
      <c r="BC44" s="232"/>
      <c r="BD44" s="232"/>
      <c r="BE44" s="232"/>
      <c r="BF44" s="232"/>
      <c r="BG44" s="232"/>
      <c r="BH44" s="232"/>
      <c r="BI44" s="232"/>
      <c r="BJ44" s="232"/>
      <c r="BK44" s="232"/>
      <c r="BL44" s="232"/>
      <c r="BM44" s="232"/>
      <c r="BN44" s="232"/>
      <c r="BO44" s="232"/>
      <c r="BP44" s="232"/>
      <c r="BQ44" s="232"/>
      <c r="BR44" s="232"/>
      <c r="BS44" s="232"/>
      <c r="BT44" s="232"/>
      <c r="BU44" s="232"/>
      <c r="BV44" s="232"/>
      <c r="BW44" s="232"/>
      <c r="BX44" s="232"/>
      <c r="BY44" s="232"/>
      <c r="BZ44" s="232"/>
      <c r="CA44" s="232"/>
      <c r="CB44" s="232"/>
      <c r="CC44" s="232"/>
      <c r="CD44" s="232"/>
      <c r="CE44" s="232"/>
      <c r="CF44" s="232"/>
      <c r="CG44" s="232"/>
      <c r="CH44" s="232"/>
      <c r="CI44" s="232"/>
      <c r="CJ44" s="232"/>
      <c r="CK44" s="232"/>
      <c r="CL44" s="232"/>
      <c r="CM44" s="232"/>
      <c r="CN44" s="232"/>
      <c r="CO44" s="232"/>
      <c r="CP44" s="232"/>
      <c r="CQ44" s="232"/>
      <c r="CR44" s="232"/>
      <c r="CS44" s="232"/>
      <c r="CT44" s="232"/>
      <c r="CU44" s="232"/>
      <c r="CV44" s="232"/>
      <c r="CW44" s="232"/>
      <c r="CX44" s="232"/>
      <c r="CY44" s="232"/>
      <c r="CZ44" s="232"/>
      <c r="DA44" s="232"/>
      <c r="DB44" s="232"/>
      <c r="DC44" s="232"/>
      <c r="DD44" s="232"/>
      <c r="DE44" s="232"/>
      <c r="DF44" s="232"/>
      <c r="DG44" s="232"/>
      <c r="DH44" s="232"/>
      <c r="DI44" s="232"/>
      <c r="DJ44" s="232"/>
      <c r="DK44" s="232"/>
      <c r="DL44" s="232"/>
      <c r="DM44" s="232"/>
      <c r="DN44" s="232"/>
      <c r="DO44" s="232"/>
      <c r="DP44" s="232"/>
      <c r="DQ44" s="232"/>
      <c r="DR44" s="232"/>
      <c r="DS44" s="232"/>
      <c r="DT44" s="232"/>
      <c r="DU44" s="232"/>
      <c r="DV44" s="232"/>
      <c r="DW44" s="232"/>
      <c r="DX44" s="232"/>
      <c r="DY44" s="232"/>
      <c r="DZ44" s="232"/>
      <c r="EA44" s="232"/>
      <c r="EB44" s="232"/>
      <c r="EC44" s="232"/>
      <c r="ED44" s="232"/>
      <c r="EE44" s="232"/>
      <c r="EF44" s="232"/>
      <c r="EG44" s="232"/>
      <c r="EH44" s="232"/>
      <c r="EI44" s="232"/>
      <c r="EJ44" s="232"/>
      <c r="EK44" s="232"/>
      <c r="EL44" s="232"/>
      <c r="EM44" s="232"/>
      <c r="EN44" s="232"/>
      <c r="EO44" s="232"/>
      <c r="EP44" s="232"/>
      <c r="EQ44" s="232"/>
      <c r="ER44" s="232"/>
      <c r="ES44" s="232"/>
      <c r="ET44" s="232"/>
      <c r="EU44" s="232"/>
      <c r="EV44" s="232"/>
      <c r="EW44" s="232"/>
      <c r="EX44" s="232"/>
      <c r="EY44" s="232"/>
      <c r="EZ44" s="232"/>
      <c r="FA44" s="232"/>
      <c r="FB44" s="232"/>
      <c r="FC44" s="232"/>
      <c r="FD44" s="232"/>
      <c r="FE44" s="232"/>
      <c r="FF44" s="232"/>
      <c r="FG44" s="232"/>
      <c r="FH44" s="232"/>
      <c r="FI44" s="232"/>
      <c r="FJ44" s="232"/>
      <c r="FK44" s="232"/>
      <c r="FL44" s="232"/>
      <c r="FM44" s="232"/>
      <c r="FN44" s="232"/>
      <c r="FO44" s="232"/>
      <c r="FP44" s="232"/>
      <c r="FQ44" s="232"/>
      <c r="FR44" s="232"/>
      <c r="FS44" s="232"/>
      <c r="FT44" s="232"/>
      <c r="FU44" s="232"/>
      <c r="FV44" s="232"/>
      <c r="FW44" s="232"/>
      <c r="FX44" s="232"/>
      <c r="FY44" s="232"/>
      <c r="FZ44" s="232"/>
      <c r="GA44" s="232"/>
      <c r="GB44" s="232"/>
      <c r="GC44" s="232"/>
      <c r="GD44" s="232"/>
      <c r="GE44" s="232"/>
      <c r="GF44" s="232"/>
      <c r="GG44" s="232"/>
      <c r="GH44" s="232"/>
      <c r="GI44" s="232"/>
      <c r="GJ44" s="232"/>
      <c r="GK44" s="232"/>
      <c r="GL44" s="232"/>
      <c r="GM44" s="232"/>
      <c r="GN44" s="232"/>
      <c r="GO44" s="232"/>
      <c r="GP44" s="232"/>
      <c r="GQ44" s="232"/>
      <c r="GR44" s="232"/>
      <c r="GS44" s="232"/>
      <c r="GT44" s="232"/>
      <c r="GU44" s="232"/>
      <c r="GV44" s="232"/>
      <c r="GW44" s="232"/>
      <c r="GX44" s="232"/>
      <c r="GY44" s="232"/>
      <c r="GZ44" s="232"/>
      <c r="HA44" s="232"/>
      <c r="HB44" s="232"/>
      <c r="HC44" s="232"/>
      <c r="HD44" s="232"/>
      <c r="HE44" s="232"/>
      <c r="HF44" s="232"/>
      <c r="HG44" s="232"/>
      <c r="HH44" s="232"/>
      <c r="HI44" s="232"/>
      <c r="HJ44" s="232"/>
      <c r="HK44" s="232"/>
      <c r="HL44" s="232"/>
      <c r="HM44" s="232"/>
      <c r="HN44" s="232"/>
      <c r="HO44" s="232"/>
      <c r="HP44" s="232"/>
      <c r="HQ44" s="232"/>
      <c r="HR44" s="232"/>
      <c r="HS44" s="232"/>
      <c r="HT44" s="232"/>
      <c r="HU44" s="232"/>
      <c r="HV44" s="232"/>
      <c r="HW44" s="232"/>
      <c r="HX44" s="232"/>
      <c r="HY44" s="232"/>
      <c r="HZ44" s="232"/>
      <c r="IA44" s="232"/>
      <c r="IB44" s="232"/>
      <c r="IC44" s="232"/>
      <c r="ID44" s="232"/>
    </row>
    <row r="45" spans="1:238" ht="14.1" customHeight="1">
      <c r="A45" s="927" t="s">
        <v>31</v>
      </c>
      <c r="B45" s="262"/>
      <c r="C45" s="262"/>
      <c r="D45" s="262"/>
      <c r="E45" s="262"/>
      <c r="F45" s="262"/>
      <c r="G45" s="262"/>
      <c r="H45" s="262"/>
      <c r="I45" s="262"/>
      <c r="J45" s="261"/>
      <c r="K45" s="263"/>
      <c r="L45" s="913"/>
      <c r="M45" s="913"/>
      <c r="N45" s="913"/>
      <c r="O45" s="913"/>
      <c r="P45" s="897"/>
      <c r="Q45" s="898"/>
      <c r="R45" s="899"/>
      <c r="U45" s="906"/>
      <c r="V45" s="906"/>
      <c r="W45" s="906"/>
      <c r="X45" s="906"/>
      <c r="Y45" s="906"/>
      <c r="Z45" s="906"/>
      <c r="AA45" s="899"/>
      <c r="AB45" s="899"/>
      <c r="AC45" s="899"/>
      <c r="AD45" s="899"/>
      <c r="AE45" s="899"/>
      <c r="AF45" s="899"/>
      <c r="AG45" s="899"/>
      <c r="AH45" s="899"/>
      <c r="AI45" s="899"/>
      <c r="AJ45" s="899"/>
      <c r="AK45" s="899"/>
      <c r="AL45" s="899"/>
      <c r="AM45" s="232"/>
      <c r="AN45" s="232"/>
      <c r="AO45" s="232"/>
      <c r="AP45" s="232"/>
      <c r="AQ45" s="232"/>
      <c r="AR45" s="232"/>
      <c r="AS45" s="232"/>
      <c r="AT45" s="232"/>
      <c r="AU45" s="232"/>
      <c r="AV45" s="232"/>
      <c r="AW45" s="232"/>
      <c r="AX45" s="232"/>
      <c r="AY45" s="232"/>
      <c r="AZ45" s="232"/>
      <c r="BA45" s="232"/>
      <c r="BB45" s="232"/>
      <c r="BC45" s="232"/>
      <c r="BD45" s="232"/>
      <c r="BE45" s="232"/>
      <c r="BF45" s="232"/>
      <c r="BG45" s="232"/>
      <c r="BH45" s="232"/>
      <c r="BI45" s="232"/>
      <c r="BJ45" s="232"/>
      <c r="BK45" s="232"/>
      <c r="BL45" s="232"/>
      <c r="BM45" s="232"/>
      <c r="BN45" s="232"/>
      <c r="BO45" s="232"/>
      <c r="BP45" s="232"/>
      <c r="BQ45" s="232"/>
      <c r="BR45" s="232"/>
      <c r="BS45" s="232"/>
      <c r="BT45" s="232"/>
      <c r="BU45" s="232"/>
      <c r="BV45" s="232"/>
      <c r="BW45" s="232"/>
      <c r="BX45" s="232"/>
      <c r="BY45" s="232"/>
      <c r="BZ45" s="232"/>
      <c r="CA45" s="232"/>
      <c r="CB45" s="232"/>
      <c r="CC45" s="232"/>
      <c r="CD45" s="232"/>
      <c r="CE45" s="232"/>
      <c r="CF45" s="232"/>
      <c r="CG45" s="232"/>
      <c r="CH45" s="232"/>
      <c r="CI45" s="232"/>
      <c r="CJ45" s="232"/>
      <c r="CK45" s="232"/>
      <c r="CL45" s="232"/>
      <c r="CM45" s="232"/>
      <c r="CN45" s="232"/>
      <c r="CO45" s="232"/>
      <c r="CP45" s="232"/>
      <c r="CQ45" s="232"/>
      <c r="CR45" s="232"/>
      <c r="CS45" s="232"/>
      <c r="CT45" s="232"/>
      <c r="CU45" s="232"/>
      <c r="CV45" s="232"/>
      <c r="CW45" s="232"/>
      <c r="CX45" s="232"/>
      <c r="CY45" s="232"/>
      <c r="CZ45" s="232"/>
      <c r="DA45" s="232"/>
      <c r="DB45" s="232"/>
      <c r="DC45" s="232"/>
      <c r="DD45" s="232"/>
      <c r="DE45" s="232"/>
      <c r="DF45" s="232"/>
      <c r="DG45" s="232"/>
      <c r="DH45" s="232"/>
      <c r="DI45" s="232"/>
      <c r="DJ45" s="232"/>
      <c r="DK45" s="232"/>
      <c r="DL45" s="232"/>
      <c r="DM45" s="232"/>
      <c r="DN45" s="232"/>
      <c r="DO45" s="232"/>
      <c r="DP45" s="232"/>
      <c r="DQ45" s="232"/>
      <c r="DR45" s="232"/>
      <c r="DS45" s="232"/>
      <c r="DT45" s="232"/>
      <c r="DU45" s="232"/>
      <c r="DV45" s="232"/>
      <c r="DW45" s="232"/>
      <c r="DX45" s="232"/>
      <c r="DY45" s="232"/>
      <c r="DZ45" s="232"/>
      <c r="EA45" s="232"/>
      <c r="EB45" s="232"/>
      <c r="EC45" s="232"/>
      <c r="ED45" s="232"/>
      <c r="EE45" s="232"/>
      <c r="EF45" s="232"/>
      <c r="EG45" s="232"/>
      <c r="EH45" s="232"/>
      <c r="EI45" s="232"/>
      <c r="EJ45" s="232"/>
      <c r="EK45" s="232"/>
      <c r="EL45" s="232"/>
      <c r="EM45" s="232"/>
      <c r="EN45" s="232"/>
      <c r="EO45" s="232"/>
      <c r="EP45" s="232"/>
      <c r="EQ45" s="232"/>
      <c r="ER45" s="232"/>
      <c r="ES45" s="232"/>
      <c r="ET45" s="232"/>
      <c r="EU45" s="232"/>
      <c r="EV45" s="232"/>
      <c r="EW45" s="232"/>
      <c r="EX45" s="232"/>
      <c r="EY45" s="232"/>
      <c r="EZ45" s="232"/>
      <c r="FA45" s="232"/>
      <c r="FB45" s="232"/>
      <c r="FC45" s="232"/>
      <c r="FD45" s="232"/>
      <c r="FE45" s="232"/>
      <c r="FF45" s="232"/>
      <c r="FG45" s="232"/>
      <c r="FH45" s="232"/>
      <c r="FI45" s="232"/>
      <c r="FJ45" s="232"/>
      <c r="FK45" s="232"/>
      <c r="FL45" s="232"/>
      <c r="FM45" s="232"/>
      <c r="FN45" s="232"/>
      <c r="FO45" s="232"/>
      <c r="FP45" s="232"/>
      <c r="FQ45" s="232"/>
      <c r="FR45" s="232"/>
      <c r="FS45" s="232"/>
      <c r="FT45" s="232"/>
      <c r="FU45" s="232"/>
      <c r="FV45" s="232"/>
      <c r="FW45" s="232"/>
      <c r="FX45" s="232"/>
      <c r="FY45" s="232"/>
      <c r="FZ45" s="232"/>
      <c r="GA45" s="232"/>
      <c r="GB45" s="232"/>
      <c r="GC45" s="232"/>
      <c r="GD45" s="232"/>
      <c r="GE45" s="232"/>
      <c r="GF45" s="232"/>
      <c r="GG45" s="232"/>
      <c r="GH45" s="232"/>
      <c r="GI45" s="232"/>
      <c r="GJ45" s="232"/>
      <c r="GK45" s="232"/>
      <c r="GL45" s="232"/>
      <c r="GM45" s="232"/>
      <c r="GN45" s="232"/>
      <c r="GO45" s="232"/>
      <c r="GP45" s="232"/>
      <c r="GQ45" s="232"/>
      <c r="GR45" s="232"/>
      <c r="GS45" s="232"/>
      <c r="GT45" s="232"/>
      <c r="GU45" s="232"/>
      <c r="GV45" s="232"/>
      <c r="GW45" s="232"/>
      <c r="GX45" s="232"/>
      <c r="GY45" s="232"/>
      <c r="GZ45" s="232"/>
      <c r="HA45" s="232"/>
      <c r="HB45" s="232"/>
      <c r="HC45" s="232"/>
      <c r="HD45" s="232"/>
      <c r="HE45" s="232"/>
      <c r="HF45" s="232"/>
      <c r="HG45" s="232"/>
      <c r="HH45" s="232"/>
      <c r="HI45" s="232"/>
      <c r="HJ45" s="232"/>
      <c r="HK45" s="232"/>
      <c r="HL45" s="232"/>
      <c r="HM45" s="232"/>
      <c r="HN45" s="232"/>
      <c r="HO45" s="232"/>
      <c r="HP45" s="232"/>
      <c r="HQ45" s="232"/>
      <c r="HR45" s="232"/>
      <c r="HS45" s="232"/>
      <c r="HT45" s="232"/>
      <c r="HU45" s="232"/>
      <c r="HV45" s="232"/>
      <c r="HW45" s="232"/>
      <c r="HX45" s="232"/>
      <c r="HY45" s="232"/>
      <c r="HZ45" s="232"/>
      <c r="IA45" s="232"/>
      <c r="IB45" s="232"/>
      <c r="IC45" s="232"/>
      <c r="ID45" s="232"/>
    </row>
    <row r="46" spans="1:238" ht="14.1" customHeight="1">
      <c r="A46" s="927" t="s">
        <v>32</v>
      </c>
      <c r="B46" s="262"/>
      <c r="C46" s="262"/>
      <c r="D46" s="262"/>
      <c r="E46" s="262"/>
      <c r="F46" s="262"/>
      <c r="G46" s="262"/>
      <c r="H46" s="262"/>
      <c r="I46" s="262"/>
      <c r="J46" s="261"/>
      <c r="K46" s="263"/>
      <c r="L46" s="913"/>
      <c r="M46" s="913"/>
      <c r="N46" s="913"/>
      <c r="O46" s="913"/>
      <c r="P46" s="897"/>
      <c r="Q46" s="898"/>
      <c r="R46" s="899"/>
      <c r="S46" s="899"/>
      <c r="T46" s="899"/>
      <c r="U46" s="899"/>
      <c r="V46" s="899"/>
      <c r="W46" s="914"/>
      <c r="X46" s="899"/>
      <c r="Y46" s="899"/>
      <c r="Z46" s="899"/>
      <c r="AA46" s="899"/>
      <c r="AB46" s="899"/>
      <c r="AC46" s="899"/>
      <c r="AD46" s="899"/>
      <c r="AE46" s="899"/>
      <c r="AF46" s="899"/>
      <c r="AG46" s="899"/>
      <c r="AH46" s="899"/>
      <c r="AI46" s="899"/>
      <c r="AJ46" s="899"/>
      <c r="AK46" s="899"/>
      <c r="AL46" s="899"/>
      <c r="AM46" s="232"/>
      <c r="AN46" s="232"/>
      <c r="AO46" s="232"/>
      <c r="AP46" s="232"/>
      <c r="AQ46" s="232"/>
      <c r="AR46" s="232"/>
      <c r="AS46" s="232"/>
      <c r="AT46" s="232"/>
      <c r="AU46" s="232"/>
      <c r="AV46" s="232"/>
      <c r="AW46" s="232"/>
      <c r="AX46" s="232"/>
      <c r="AY46" s="232"/>
      <c r="AZ46" s="232"/>
      <c r="BA46" s="232"/>
      <c r="BB46" s="232"/>
      <c r="BC46" s="232"/>
      <c r="BD46" s="232"/>
      <c r="BE46" s="232"/>
      <c r="BF46" s="232"/>
      <c r="BG46" s="232"/>
      <c r="BH46" s="232"/>
      <c r="BI46" s="232"/>
      <c r="BJ46" s="232"/>
      <c r="BK46" s="232"/>
      <c r="BL46" s="232"/>
      <c r="BM46" s="232"/>
      <c r="BN46" s="232"/>
      <c r="BO46" s="232"/>
      <c r="BP46" s="232"/>
      <c r="BQ46" s="232"/>
      <c r="BR46" s="232"/>
      <c r="BS46" s="232"/>
      <c r="BT46" s="232"/>
      <c r="BU46" s="232"/>
      <c r="BV46" s="232"/>
      <c r="BW46" s="232"/>
      <c r="BX46" s="232"/>
      <c r="BY46" s="232"/>
      <c r="BZ46" s="232"/>
      <c r="CA46" s="232"/>
      <c r="CB46" s="232"/>
      <c r="CC46" s="232"/>
      <c r="CD46" s="232"/>
      <c r="CE46" s="232"/>
      <c r="CF46" s="232"/>
      <c r="CG46" s="232"/>
      <c r="CH46" s="232"/>
      <c r="CI46" s="232"/>
      <c r="CJ46" s="232"/>
      <c r="CK46" s="232"/>
      <c r="CL46" s="232"/>
      <c r="CM46" s="232"/>
      <c r="CN46" s="232"/>
      <c r="CO46" s="232"/>
      <c r="CP46" s="232"/>
      <c r="CQ46" s="232"/>
      <c r="CR46" s="232"/>
      <c r="CS46" s="232"/>
      <c r="CT46" s="232"/>
      <c r="CU46" s="232"/>
      <c r="CV46" s="232"/>
      <c r="CW46" s="232"/>
      <c r="CX46" s="232"/>
      <c r="CY46" s="232"/>
      <c r="CZ46" s="232"/>
      <c r="DA46" s="232"/>
      <c r="DB46" s="232"/>
      <c r="DC46" s="232"/>
      <c r="DD46" s="232"/>
      <c r="DE46" s="232"/>
      <c r="DF46" s="232"/>
      <c r="DG46" s="232"/>
      <c r="DH46" s="232"/>
      <c r="DI46" s="232"/>
      <c r="DJ46" s="232"/>
      <c r="DK46" s="232"/>
      <c r="DL46" s="232"/>
      <c r="DM46" s="232"/>
      <c r="DN46" s="232"/>
      <c r="DO46" s="232"/>
      <c r="DP46" s="232"/>
      <c r="DQ46" s="232"/>
      <c r="DR46" s="232"/>
      <c r="DS46" s="232"/>
      <c r="DT46" s="232"/>
      <c r="DU46" s="232"/>
      <c r="DV46" s="232"/>
      <c r="DW46" s="232"/>
      <c r="DX46" s="232"/>
      <c r="DY46" s="232"/>
      <c r="DZ46" s="232"/>
      <c r="EA46" s="232"/>
      <c r="EB46" s="232"/>
      <c r="EC46" s="232"/>
      <c r="ED46" s="232"/>
      <c r="EE46" s="232"/>
      <c r="EF46" s="232"/>
      <c r="EG46" s="232"/>
      <c r="EH46" s="232"/>
      <c r="EI46" s="232"/>
      <c r="EJ46" s="232"/>
      <c r="EK46" s="232"/>
      <c r="EL46" s="232"/>
      <c r="EM46" s="232"/>
      <c r="EN46" s="232"/>
      <c r="EO46" s="232"/>
      <c r="EP46" s="232"/>
      <c r="EQ46" s="232"/>
      <c r="ER46" s="232"/>
      <c r="ES46" s="232"/>
      <c r="ET46" s="232"/>
      <c r="EU46" s="232"/>
      <c r="EV46" s="232"/>
      <c r="EW46" s="232"/>
      <c r="EX46" s="232"/>
      <c r="EY46" s="232"/>
      <c r="EZ46" s="232"/>
      <c r="FA46" s="232"/>
      <c r="FB46" s="232"/>
      <c r="FC46" s="232"/>
      <c r="FD46" s="232"/>
      <c r="FE46" s="232"/>
      <c r="FF46" s="232"/>
      <c r="FG46" s="232"/>
      <c r="FH46" s="232"/>
      <c r="FI46" s="232"/>
      <c r="FJ46" s="232"/>
      <c r="FK46" s="232"/>
      <c r="FL46" s="232"/>
      <c r="FM46" s="232"/>
      <c r="FN46" s="232"/>
      <c r="FO46" s="232"/>
      <c r="FP46" s="232"/>
      <c r="FQ46" s="232"/>
      <c r="FR46" s="232"/>
      <c r="FS46" s="232"/>
      <c r="FT46" s="232"/>
      <c r="FU46" s="232"/>
      <c r="FV46" s="232"/>
      <c r="FW46" s="232"/>
      <c r="FX46" s="232"/>
      <c r="FY46" s="232"/>
      <c r="FZ46" s="232"/>
      <c r="GA46" s="232"/>
      <c r="GB46" s="232"/>
      <c r="GC46" s="232"/>
      <c r="GD46" s="232"/>
      <c r="GE46" s="232"/>
      <c r="GF46" s="232"/>
      <c r="GG46" s="232"/>
      <c r="GH46" s="232"/>
      <c r="GI46" s="232"/>
      <c r="GJ46" s="232"/>
      <c r="GK46" s="232"/>
      <c r="GL46" s="232"/>
      <c r="GM46" s="232"/>
      <c r="GN46" s="232"/>
      <c r="GO46" s="232"/>
      <c r="GP46" s="232"/>
      <c r="GQ46" s="232"/>
      <c r="GR46" s="232"/>
      <c r="GS46" s="232"/>
      <c r="GT46" s="232"/>
      <c r="GU46" s="232"/>
      <c r="GV46" s="232"/>
      <c r="GW46" s="232"/>
      <c r="GX46" s="232"/>
      <c r="GY46" s="232"/>
      <c r="GZ46" s="232"/>
      <c r="HA46" s="232"/>
      <c r="HB46" s="232"/>
      <c r="HC46" s="232"/>
      <c r="HD46" s="232"/>
      <c r="HE46" s="232"/>
      <c r="HF46" s="232"/>
      <c r="HG46" s="232"/>
      <c r="HH46" s="232"/>
      <c r="HI46" s="232"/>
      <c r="HJ46" s="232"/>
      <c r="HK46" s="232"/>
      <c r="HL46" s="232"/>
      <c r="HM46" s="232"/>
      <c r="HN46" s="232"/>
      <c r="HO46" s="232"/>
      <c r="HP46" s="232"/>
      <c r="HQ46" s="232"/>
      <c r="HR46" s="232"/>
      <c r="HS46" s="232"/>
      <c r="HT46" s="232"/>
      <c r="HU46" s="232"/>
      <c r="HV46" s="232"/>
      <c r="HW46" s="232"/>
      <c r="HX46" s="232"/>
      <c r="HY46" s="232"/>
      <c r="HZ46" s="232"/>
      <c r="IA46" s="232"/>
      <c r="IB46" s="232"/>
      <c r="IC46" s="232"/>
    </row>
    <row r="47" spans="1:238" ht="14.1" customHeight="1">
      <c r="A47" s="928" t="s">
        <v>1039</v>
      </c>
      <c r="B47" s="792"/>
      <c r="C47" s="792"/>
      <c r="D47" s="792"/>
      <c r="E47" s="792"/>
      <c r="F47" s="792"/>
      <c r="G47" s="792"/>
      <c r="H47" s="792"/>
      <c r="I47" s="792"/>
      <c r="J47" s="792"/>
      <c r="K47" s="792"/>
      <c r="L47" s="915"/>
      <c r="M47" s="915"/>
      <c r="N47" s="913"/>
      <c r="O47" s="913"/>
      <c r="P47" s="897"/>
      <c r="Q47" s="898"/>
      <c r="R47" s="899"/>
      <c r="S47" s="899"/>
      <c r="T47" s="916"/>
      <c r="U47" s="916"/>
      <c r="V47" s="899"/>
      <c r="W47" s="899"/>
      <c r="X47" s="899"/>
      <c r="Y47" s="899"/>
      <c r="Z47" s="899"/>
      <c r="AA47" s="899"/>
      <c r="AB47" s="899"/>
      <c r="AC47" s="899"/>
      <c r="AD47" s="899"/>
      <c r="AE47" s="899"/>
      <c r="AF47" s="899"/>
      <c r="AG47" s="899"/>
      <c r="AH47" s="899"/>
      <c r="AI47" s="899"/>
      <c r="AJ47" s="899"/>
      <c r="AK47" s="899"/>
      <c r="AL47" s="899"/>
      <c r="AM47" s="232"/>
      <c r="AN47" s="232"/>
      <c r="AO47" s="232"/>
      <c r="AP47" s="232"/>
      <c r="AQ47" s="232"/>
      <c r="AR47" s="232"/>
      <c r="AS47" s="232"/>
      <c r="AT47" s="232"/>
      <c r="AU47" s="232"/>
      <c r="AV47" s="232"/>
      <c r="AW47" s="232"/>
      <c r="AX47" s="232"/>
      <c r="AY47" s="232"/>
      <c r="AZ47" s="232"/>
      <c r="BA47" s="232"/>
      <c r="BB47" s="232"/>
      <c r="BC47" s="232"/>
      <c r="BD47" s="232"/>
      <c r="BE47" s="232"/>
      <c r="BF47" s="232"/>
      <c r="BG47" s="232"/>
      <c r="BH47" s="232"/>
      <c r="BI47" s="232"/>
      <c r="BJ47" s="232"/>
      <c r="BK47" s="232"/>
      <c r="BL47" s="232"/>
      <c r="BM47" s="232"/>
      <c r="BN47" s="232"/>
      <c r="BO47" s="232"/>
      <c r="BP47" s="232"/>
      <c r="BQ47" s="232"/>
      <c r="BR47" s="232"/>
      <c r="BS47" s="232"/>
      <c r="BT47" s="232"/>
      <c r="BU47" s="232"/>
      <c r="BV47" s="232"/>
      <c r="BW47" s="232"/>
      <c r="BX47" s="232"/>
      <c r="BY47" s="232"/>
      <c r="BZ47" s="232"/>
      <c r="CA47" s="232"/>
      <c r="CB47" s="232"/>
      <c r="CC47" s="232"/>
      <c r="CD47" s="232"/>
      <c r="CE47" s="232"/>
      <c r="CF47" s="232"/>
      <c r="CG47" s="232"/>
      <c r="CH47" s="232"/>
      <c r="CI47" s="232"/>
      <c r="CJ47" s="232"/>
      <c r="CK47" s="232"/>
      <c r="CL47" s="232"/>
      <c r="CM47" s="232"/>
      <c r="CN47" s="232"/>
      <c r="CO47" s="232"/>
      <c r="CP47" s="232"/>
      <c r="CQ47" s="232"/>
      <c r="CR47" s="232"/>
      <c r="CS47" s="232"/>
      <c r="CT47" s="232"/>
      <c r="CU47" s="232"/>
      <c r="CV47" s="232"/>
      <c r="CW47" s="232"/>
      <c r="CX47" s="232"/>
      <c r="CY47" s="232"/>
      <c r="CZ47" s="232"/>
      <c r="DA47" s="232"/>
      <c r="DB47" s="232"/>
      <c r="DC47" s="232"/>
      <c r="DD47" s="232"/>
      <c r="DE47" s="232"/>
      <c r="DF47" s="232"/>
      <c r="DG47" s="232"/>
      <c r="DH47" s="232"/>
      <c r="DI47" s="232"/>
      <c r="DJ47" s="232"/>
      <c r="DK47" s="232"/>
      <c r="DL47" s="232"/>
      <c r="DM47" s="232"/>
      <c r="DN47" s="232"/>
      <c r="DO47" s="232"/>
      <c r="DP47" s="232"/>
      <c r="DQ47" s="232"/>
      <c r="DR47" s="232"/>
      <c r="DS47" s="232"/>
      <c r="DT47" s="232"/>
      <c r="DU47" s="232"/>
      <c r="DV47" s="232"/>
      <c r="DW47" s="232"/>
      <c r="DX47" s="232"/>
      <c r="DY47" s="232"/>
      <c r="DZ47" s="232"/>
      <c r="EA47" s="232"/>
      <c r="EB47" s="232"/>
      <c r="EC47" s="232"/>
      <c r="ED47" s="232"/>
      <c r="EE47" s="232"/>
      <c r="EF47" s="232"/>
      <c r="EG47" s="232"/>
      <c r="EH47" s="232"/>
      <c r="EI47" s="232"/>
      <c r="EJ47" s="232"/>
      <c r="EK47" s="232"/>
      <c r="EL47" s="232"/>
      <c r="EM47" s="232"/>
      <c r="EN47" s="232"/>
      <c r="EO47" s="232"/>
      <c r="EP47" s="232"/>
      <c r="EQ47" s="232"/>
      <c r="ER47" s="232"/>
      <c r="ES47" s="232"/>
      <c r="ET47" s="232"/>
      <c r="EU47" s="232"/>
      <c r="EV47" s="232"/>
      <c r="EW47" s="232"/>
      <c r="EX47" s="232"/>
      <c r="EY47" s="232"/>
      <c r="EZ47" s="232"/>
      <c r="FA47" s="232"/>
      <c r="FB47" s="232"/>
      <c r="FC47" s="232"/>
      <c r="FD47" s="232"/>
      <c r="FE47" s="232"/>
      <c r="FF47" s="232"/>
      <c r="FG47" s="232"/>
      <c r="FH47" s="232"/>
      <c r="FI47" s="232"/>
      <c r="FJ47" s="232"/>
      <c r="FK47" s="232"/>
      <c r="FL47" s="232"/>
      <c r="FM47" s="232"/>
      <c r="FN47" s="232"/>
      <c r="FO47" s="232"/>
      <c r="FP47" s="232"/>
      <c r="FQ47" s="232"/>
      <c r="FR47" s="232"/>
      <c r="FS47" s="232"/>
      <c r="FT47" s="232"/>
      <c r="FU47" s="232"/>
      <c r="FV47" s="232"/>
      <c r="FW47" s="232"/>
      <c r="FX47" s="232"/>
      <c r="FY47" s="232"/>
      <c r="FZ47" s="232"/>
      <c r="GA47" s="232"/>
      <c r="GB47" s="232"/>
      <c r="GC47" s="232"/>
      <c r="GD47" s="232"/>
      <c r="GE47" s="232"/>
      <c r="GF47" s="232"/>
      <c r="GG47" s="232"/>
      <c r="GH47" s="232"/>
      <c r="GI47" s="232"/>
      <c r="GJ47" s="232"/>
      <c r="GK47" s="232"/>
      <c r="GL47" s="232"/>
      <c r="GM47" s="232"/>
      <c r="GN47" s="232"/>
      <c r="GO47" s="232"/>
      <c r="GP47" s="232"/>
      <c r="GQ47" s="232"/>
      <c r="GR47" s="232"/>
      <c r="GS47" s="232"/>
      <c r="GT47" s="232"/>
      <c r="GU47" s="232"/>
      <c r="GV47" s="232"/>
      <c r="GW47" s="232"/>
      <c r="GX47" s="232"/>
      <c r="GY47" s="232"/>
      <c r="GZ47" s="232"/>
      <c r="HA47" s="232"/>
      <c r="HB47" s="232"/>
      <c r="HC47" s="232"/>
      <c r="HD47" s="232"/>
      <c r="HE47" s="232"/>
      <c r="HF47" s="232"/>
      <c r="HG47" s="232"/>
      <c r="HH47" s="232"/>
      <c r="HI47" s="232"/>
      <c r="HJ47" s="232"/>
      <c r="HK47" s="232"/>
      <c r="HL47" s="232"/>
      <c r="HM47" s="232"/>
      <c r="HN47" s="232"/>
      <c r="HO47" s="232"/>
      <c r="HP47" s="232"/>
      <c r="HQ47" s="232"/>
      <c r="HR47" s="232"/>
      <c r="HS47" s="232"/>
      <c r="HT47" s="232"/>
      <c r="HU47" s="232"/>
      <c r="HV47" s="232"/>
      <c r="HW47" s="232"/>
      <c r="HX47" s="232"/>
      <c r="HY47" s="232"/>
      <c r="HZ47" s="232"/>
      <c r="IA47" s="232"/>
      <c r="IB47" s="232"/>
      <c r="IC47" s="232"/>
    </row>
    <row r="48" spans="1:238" ht="14.25" customHeight="1">
      <c r="A48" s="927" t="s">
        <v>1085</v>
      </c>
      <c r="B48" s="697"/>
      <c r="C48" s="697"/>
      <c r="D48" s="697"/>
      <c r="E48" s="697"/>
      <c r="F48" s="697"/>
      <c r="G48" s="697"/>
      <c r="H48" s="922"/>
      <c r="I48" s="922"/>
      <c r="J48" s="697"/>
      <c r="K48" s="697"/>
      <c r="L48" s="917"/>
      <c r="M48" s="917"/>
      <c r="N48" s="917"/>
      <c r="O48" s="917"/>
      <c r="P48" s="897"/>
      <c r="Q48" s="898"/>
      <c r="R48" s="899"/>
      <c r="S48" s="899"/>
      <c r="T48" s="916"/>
      <c r="U48" s="916"/>
      <c r="V48" s="899"/>
      <c r="W48" s="899"/>
      <c r="X48" s="899"/>
      <c r="Y48" s="899"/>
      <c r="Z48" s="899"/>
      <c r="AA48" s="899"/>
      <c r="AB48" s="899"/>
      <c r="AC48" s="899"/>
      <c r="AD48" s="899"/>
      <c r="AE48" s="899"/>
      <c r="AF48" s="899"/>
      <c r="AG48" s="899"/>
      <c r="AH48" s="899"/>
      <c r="AI48" s="899"/>
      <c r="AJ48" s="899"/>
      <c r="AK48" s="899"/>
      <c r="AL48" s="899"/>
      <c r="AM48" s="232"/>
      <c r="AN48" s="232"/>
      <c r="AO48" s="232"/>
      <c r="AP48" s="232"/>
      <c r="AQ48" s="232"/>
      <c r="AR48" s="232"/>
      <c r="AS48" s="232"/>
      <c r="AT48" s="232"/>
      <c r="AU48" s="232"/>
      <c r="AV48" s="232"/>
      <c r="AW48" s="232"/>
      <c r="AX48" s="232"/>
      <c r="AY48" s="232"/>
      <c r="AZ48" s="232"/>
      <c r="BA48" s="232"/>
      <c r="BB48" s="232"/>
      <c r="BC48" s="232"/>
      <c r="BD48" s="232"/>
      <c r="BE48" s="232"/>
      <c r="BF48" s="232"/>
      <c r="BG48" s="232"/>
      <c r="BH48" s="232"/>
      <c r="BI48" s="232"/>
      <c r="BJ48" s="232"/>
      <c r="BK48" s="232"/>
      <c r="BL48" s="232"/>
      <c r="BM48" s="232"/>
      <c r="BN48" s="232"/>
      <c r="BO48" s="232"/>
      <c r="BP48" s="232"/>
      <c r="BQ48" s="232"/>
      <c r="BR48" s="232"/>
      <c r="BS48" s="232"/>
      <c r="BT48" s="232"/>
      <c r="BU48" s="232"/>
      <c r="BV48" s="232"/>
      <c r="BW48" s="232"/>
      <c r="BX48" s="232"/>
      <c r="BY48" s="232"/>
      <c r="BZ48" s="232"/>
      <c r="CA48" s="232"/>
      <c r="CB48" s="232"/>
      <c r="CC48" s="232"/>
      <c r="CD48" s="232"/>
      <c r="CE48" s="232"/>
      <c r="CF48" s="232"/>
      <c r="CG48" s="232"/>
      <c r="CH48" s="232"/>
      <c r="CI48" s="232"/>
      <c r="CJ48" s="232"/>
      <c r="CK48" s="232"/>
      <c r="CL48" s="232"/>
      <c r="CM48" s="232"/>
      <c r="CN48" s="232"/>
      <c r="CO48" s="232"/>
      <c r="CP48" s="232"/>
      <c r="CQ48" s="232"/>
      <c r="CR48" s="232"/>
      <c r="CS48" s="232"/>
      <c r="CT48" s="232"/>
      <c r="CU48" s="232"/>
      <c r="CV48" s="232"/>
      <c r="CW48" s="232"/>
      <c r="CX48" s="232"/>
      <c r="CY48" s="232"/>
      <c r="CZ48" s="232"/>
      <c r="DA48" s="232"/>
      <c r="DB48" s="232"/>
      <c r="DC48" s="232"/>
      <c r="DD48" s="232"/>
      <c r="DE48" s="232"/>
      <c r="DF48" s="232"/>
      <c r="DG48" s="232"/>
      <c r="DH48" s="232"/>
      <c r="DI48" s="232"/>
      <c r="DJ48" s="232"/>
      <c r="DK48" s="232"/>
      <c r="DL48" s="232"/>
      <c r="DM48" s="232"/>
      <c r="DN48" s="232"/>
      <c r="DO48" s="232"/>
      <c r="DP48" s="232"/>
      <c r="DQ48" s="232"/>
      <c r="DR48" s="232"/>
      <c r="DS48" s="232"/>
      <c r="DT48" s="232"/>
      <c r="DU48" s="232"/>
      <c r="DV48" s="232"/>
      <c r="DW48" s="232"/>
      <c r="DX48" s="232"/>
      <c r="DY48" s="232"/>
      <c r="DZ48" s="232"/>
      <c r="EA48" s="232"/>
      <c r="EB48" s="232"/>
      <c r="EC48" s="232"/>
      <c r="ED48" s="232"/>
      <c r="EE48" s="232"/>
      <c r="EF48" s="232"/>
      <c r="EG48" s="232"/>
      <c r="EH48" s="232"/>
      <c r="EI48" s="232"/>
      <c r="EJ48" s="232"/>
      <c r="EK48" s="232"/>
      <c r="EL48" s="232"/>
      <c r="EM48" s="232"/>
      <c r="EN48" s="232"/>
      <c r="EO48" s="232"/>
      <c r="EP48" s="232"/>
      <c r="EQ48" s="232"/>
      <c r="ER48" s="232"/>
      <c r="ES48" s="232"/>
      <c r="ET48" s="232"/>
      <c r="EU48" s="232"/>
      <c r="EV48" s="232"/>
      <c r="EW48" s="232"/>
      <c r="EX48" s="232"/>
      <c r="EY48" s="232"/>
      <c r="EZ48" s="232"/>
      <c r="FA48" s="232"/>
      <c r="FB48" s="232"/>
      <c r="FC48" s="232"/>
      <c r="FD48" s="232"/>
      <c r="FE48" s="232"/>
      <c r="FF48" s="232"/>
      <c r="FG48" s="232"/>
      <c r="FH48" s="232"/>
      <c r="FI48" s="232"/>
      <c r="FJ48" s="232"/>
      <c r="FK48" s="232"/>
      <c r="FL48" s="232"/>
      <c r="FM48" s="232"/>
      <c r="FN48" s="232"/>
      <c r="FO48" s="232"/>
      <c r="FP48" s="232"/>
      <c r="FQ48" s="232"/>
      <c r="FR48" s="232"/>
      <c r="FS48" s="232"/>
      <c r="FT48" s="232"/>
      <c r="FU48" s="232"/>
      <c r="FV48" s="232"/>
      <c r="FW48" s="232"/>
      <c r="FX48" s="232"/>
      <c r="FY48" s="232"/>
      <c r="FZ48" s="232"/>
      <c r="GA48" s="232"/>
      <c r="GB48" s="232"/>
      <c r="GC48" s="232"/>
      <c r="GD48" s="232"/>
      <c r="GE48" s="232"/>
      <c r="GF48" s="232"/>
      <c r="GG48" s="232"/>
      <c r="GH48" s="232"/>
      <c r="GI48" s="232"/>
      <c r="GJ48" s="232"/>
      <c r="GK48" s="232"/>
      <c r="GL48" s="232"/>
      <c r="GM48" s="232"/>
      <c r="GN48" s="232"/>
      <c r="GO48" s="232"/>
      <c r="GP48" s="232"/>
      <c r="GQ48" s="232"/>
      <c r="GR48" s="232"/>
      <c r="GS48" s="232"/>
      <c r="GT48" s="232"/>
      <c r="GU48" s="232"/>
      <c r="GV48" s="232"/>
      <c r="GW48" s="232"/>
      <c r="GX48" s="232"/>
      <c r="GY48" s="232"/>
      <c r="GZ48" s="232"/>
      <c r="HA48" s="232"/>
      <c r="HB48" s="232"/>
      <c r="HC48" s="232"/>
      <c r="HD48" s="232"/>
      <c r="HE48" s="232"/>
      <c r="HF48" s="232"/>
      <c r="HG48" s="232"/>
      <c r="HH48" s="232"/>
      <c r="HI48" s="232"/>
      <c r="HJ48" s="232"/>
      <c r="HK48" s="232"/>
      <c r="HL48" s="232"/>
      <c r="HM48" s="232"/>
      <c r="HN48" s="232"/>
      <c r="HO48" s="232"/>
      <c r="HP48" s="232"/>
      <c r="HQ48" s="232"/>
      <c r="HR48" s="232"/>
      <c r="HS48" s="232"/>
      <c r="HT48" s="232"/>
      <c r="HU48" s="232"/>
      <c r="HV48" s="232"/>
      <c r="HW48" s="232"/>
      <c r="HX48" s="232"/>
      <c r="HY48" s="232"/>
      <c r="HZ48" s="232"/>
      <c r="IA48" s="232"/>
      <c r="IB48" s="232"/>
      <c r="IC48" s="232"/>
    </row>
    <row r="49" spans="1:237" ht="12" customHeight="1">
      <c r="A49" s="1279" t="s">
        <v>1086</v>
      </c>
      <c r="B49" s="264"/>
      <c r="C49" s="264"/>
      <c r="D49" s="264"/>
      <c r="E49" s="264"/>
      <c r="F49" s="264"/>
      <c r="G49" s="264"/>
      <c r="H49" s="264"/>
      <c r="I49" s="264"/>
      <c r="J49" s="264"/>
      <c r="K49" s="264"/>
      <c r="L49" s="918"/>
      <c r="M49" s="918"/>
      <c r="N49" s="896"/>
      <c r="O49" s="896"/>
      <c r="P49" s="897"/>
      <c r="Q49" s="898"/>
      <c r="R49" s="899"/>
      <c r="S49" s="899"/>
      <c r="T49" s="916"/>
      <c r="U49" s="916"/>
      <c r="V49" s="899"/>
      <c r="W49" s="899"/>
      <c r="X49" s="899"/>
      <c r="Y49" s="899"/>
      <c r="Z49" s="899"/>
      <c r="AA49" s="899"/>
      <c r="AB49" s="899"/>
      <c r="AC49" s="899"/>
      <c r="AD49" s="899"/>
      <c r="AE49" s="899"/>
      <c r="AF49" s="899"/>
      <c r="AG49" s="899"/>
      <c r="AH49" s="899"/>
      <c r="AI49" s="899"/>
      <c r="AJ49" s="899"/>
      <c r="AK49" s="899"/>
      <c r="AL49" s="899"/>
      <c r="AM49" s="232"/>
      <c r="AN49" s="232"/>
      <c r="AO49" s="232"/>
      <c r="AP49" s="232"/>
      <c r="AQ49" s="232"/>
      <c r="AR49" s="232"/>
      <c r="AS49" s="232"/>
      <c r="AT49" s="232"/>
      <c r="AU49" s="232"/>
      <c r="AV49" s="232"/>
      <c r="AW49" s="232"/>
      <c r="AX49" s="232"/>
      <c r="AY49" s="232"/>
      <c r="AZ49" s="232"/>
      <c r="BA49" s="232"/>
      <c r="BB49" s="232"/>
      <c r="BC49" s="232"/>
      <c r="BD49" s="232"/>
      <c r="BE49" s="232"/>
      <c r="BF49" s="232"/>
      <c r="BG49" s="232"/>
      <c r="BH49" s="232"/>
      <c r="BI49" s="232"/>
      <c r="BJ49" s="232"/>
      <c r="BK49" s="232"/>
      <c r="BL49" s="232"/>
      <c r="BM49" s="232"/>
      <c r="BN49" s="232"/>
      <c r="BO49" s="232"/>
      <c r="BP49" s="232"/>
      <c r="BQ49" s="232"/>
      <c r="BR49" s="232"/>
      <c r="BS49" s="232"/>
      <c r="BT49" s="232"/>
      <c r="BU49" s="232"/>
      <c r="BV49" s="232"/>
      <c r="BW49" s="232"/>
      <c r="BX49" s="232"/>
      <c r="BY49" s="232"/>
      <c r="BZ49" s="232"/>
      <c r="CA49" s="232"/>
      <c r="CB49" s="232"/>
      <c r="CC49" s="232"/>
      <c r="CD49" s="232"/>
      <c r="CE49" s="232"/>
      <c r="CF49" s="232"/>
      <c r="CG49" s="232"/>
      <c r="CH49" s="232"/>
      <c r="CI49" s="232"/>
      <c r="CJ49" s="232"/>
      <c r="CK49" s="232"/>
      <c r="CL49" s="232"/>
      <c r="CM49" s="232"/>
      <c r="CN49" s="232"/>
      <c r="CO49" s="232"/>
      <c r="CP49" s="232"/>
      <c r="CQ49" s="232"/>
      <c r="CR49" s="232"/>
      <c r="CS49" s="232"/>
      <c r="CT49" s="232"/>
      <c r="CU49" s="232"/>
      <c r="CV49" s="232"/>
      <c r="CW49" s="232"/>
      <c r="CX49" s="232"/>
      <c r="CY49" s="232"/>
      <c r="CZ49" s="232"/>
      <c r="DA49" s="232"/>
      <c r="DB49" s="232"/>
      <c r="DC49" s="232"/>
      <c r="DD49" s="232"/>
      <c r="DE49" s="232"/>
      <c r="DF49" s="232"/>
      <c r="DG49" s="232"/>
      <c r="DH49" s="232"/>
      <c r="DI49" s="232"/>
      <c r="DJ49" s="232"/>
      <c r="DK49" s="232"/>
      <c r="DL49" s="232"/>
      <c r="DM49" s="232"/>
      <c r="DN49" s="232"/>
      <c r="DO49" s="232"/>
      <c r="DP49" s="232"/>
      <c r="DQ49" s="232"/>
      <c r="DR49" s="232"/>
      <c r="DS49" s="232"/>
      <c r="DT49" s="232"/>
      <c r="DU49" s="232"/>
      <c r="DV49" s="232"/>
      <c r="DW49" s="232"/>
      <c r="DX49" s="232"/>
      <c r="DY49" s="232"/>
      <c r="DZ49" s="232"/>
      <c r="EA49" s="232"/>
      <c r="EB49" s="232"/>
      <c r="EC49" s="232"/>
      <c r="ED49" s="232"/>
      <c r="EE49" s="232"/>
      <c r="EF49" s="232"/>
      <c r="EG49" s="232"/>
      <c r="EH49" s="232"/>
      <c r="EI49" s="232"/>
      <c r="EJ49" s="232"/>
      <c r="EK49" s="232"/>
      <c r="EL49" s="232"/>
      <c r="EM49" s="232"/>
      <c r="EN49" s="232"/>
      <c r="EO49" s="232"/>
      <c r="EP49" s="232"/>
      <c r="EQ49" s="232"/>
      <c r="ER49" s="232"/>
      <c r="ES49" s="232"/>
      <c r="ET49" s="232"/>
      <c r="EU49" s="232"/>
      <c r="EV49" s="232"/>
      <c r="EW49" s="232"/>
      <c r="EX49" s="232"/>
      <c r="EY49" s="232"/>
      <c r="EZ49" s="232"/>
      <c r="FA49" s="232"/>
      <c r="FB49" s="232"/>
      <c r="FC49" s="232"/>
      <c r="FD49" s="232"/>
      <c r="FE49" s="232"/>
      <c r="FF49" s="232"/>
      <c r="FG49" s="232"/>
      <c r="FH49" s="232"/>
      <c r="FI49" s="232"/>
      <c r="FJ49" s="232"/>
      <c r="FK49" s="232"/>
      <c r="FL49" s="232"/>
      <c r="FM49" s="232"/>
      <c r="FN49" s="232"/>
      <c r="FO49" s="232"/>
      <c r="FP49" s="232"/>
      <c r="FQ49" s="232"/>
      <c r="FR49" s="232"/>
      <c r="FS49" s="232"/>
      <c r="FT49" s="232"/>
      <c r="FU49" s="232"/>
      <c r="FV49" s="232"/>
      <c r="FW49" s="232"/>
      <c r="FX49" s="232"/>
      <c r="FY49" s="232"/>
      <c r="FZ49" s="232"/>
      <c r="GA49" s="232"/>
      <c r="GB49" s="232"/>
      <c r="GC49" s="232"/>
      <c r="GD49" s="232"/>
      <c r="GE49" s="232"/>
      <c r="GF49" s="232"/>
      <c r="GG49" s="232"/>
      <c r="GH49" s="232"/>
      <c r="GI49" s="232"/>
      <c r="GJ49" s="232"/>
      <c r="GK49" s="232"/>
      <c r="GL49" s="232"/>
      <c r="GM49" s="232"/>
      <c r="GN49" s="232"/>
      <c r="GO49" s="232"/>
      <c r="GP49" s="232"/>
      <c r="GQ49" s="232"/>
      <c r="GR49" s="232"/>
      <c r="GS49" s="232"/>
      <c r="GT49" s="232"/>
      <c r="GU49" s="232"/>
      <c r="GV49" s="232"/>
      <c r="GW49" s="232"/>
      <c r="GX49" s="232"/>
      <c r="GY49" s="232"/>
      <c r="GZ49" s="232"/>
      <c r="HA49" s="232"/>
      <c r="HB49" s="232"/>
      <c r="HC49" s="232"/>
      <c r="HD49" s="232"/>
      <c r="HE49" s="232"/>
      <c r="HF49" s="232"/>
      <c r="HG49" s="232"/>
      <c r="HH49" s="232"/>
      <c r="HI49" s="232"/>
      <c r="HJ49" s="232"/>
      <c r="HK49" s="232"/>
      <c r="HL49" s="232"/>
      <c r="HM49" s="232"/>
      <c r="HN49" s="232"/>
      <c r="HO49" s="232"/>
      <c r="HP49" s="232"/>
      <c r="HQ49" s="232"/>
      <c r="HR49" s="232"/>
      <c r="HS49" s="232"/>
      <c r="HT49" s="232"/>
      <c r="HU49" s="232"/>
      <c r="HV49" s="232"/>
      <c r="HW49" s="232"/>
      <c r="HX49" s="232"/>
      <c r="HY49" s="232"/>
      <c r="HZ49" s="232"/>
      <c r="IA49" s="232"/>
      <c r="IB49" s="232"/>
      <c r="IC49" s="232"/>
    </row>
    <row r="50" spans="1:237" ht="12" customHeight="1">
      <c r="A50" s="928" t="s">
        <v>1195</v>
      </c>
      <c r="B50" s="264"/>
      <c r="C50" s="264"/>
      <c r="D50" s="264"/>
      <c r="E50" s="264"/>
      <c r="F50" s="264"/>
      <c r="G50" s="264"/>
      <c r="H50" s="264"/>
      <c r="I50" s="264"/>
      <c r="J50" s="264"/>
      <c r="K50" s="264"/>
      <c r="L50" s="918"/>
      <c r="M50" s="918"/>
      <c r="N50" s="896"/>
      <c r="O50" s="896"/>
      <c r="P50" s="897"/>
      <c r="Q50" s="898"/>
      <c r="V50" s="899"/>
      <c r="W50" s="899"/>
      <c r="X50" s="899"/>
      <c r="Y50" s="899"/>
      <c r="Z50" s="899"/>
      <c r="AA50" s="899"/>
      <c r="AB50" s="899"/>
      <c r="AC50" s="899"/>
      <c r="AD50" s="899"/>
      <c r="AE50" s="899"/>
      <c r="AF50" s="899"/>
      <c r="AG50" s="899"/>
      <c r="AH50" s="899"/>
      <c r="AI50" s="899"/>
      <c r="AJ50" s="899"/>
      <c r="AK50" s="899"/>
      <c r="AL50" s="899"/>
      <c r="AM50" s="232"/>
      <c r="AN50" s="232"/>
      <c r="AO50" s="232"/>
      <c r="AP50" s="232"/>
      <c r="AQ50" s="232"/>
      <c r="AR50" s="232"/>
      <c r="AS50" s="232"/>
      <c r="AT50" s="232"/>
      <c r="AU50" s="232"/>
      <c r="AV50" s="232"/>
      <c r="AW50" s="232"/>
      <c r="AX50" s="232"/>
      <c r="AY50" s="232"/>
      <c r="AZ50" s="232"/>
      <c r="BA50" s="232"/>
      <c r="BB50" s="232"/>
      <c r="BC50" s="232"/>
      <c r="BD50" s="232"/>
      <c r="BE50" s="232"/>
      <c r="BF50" s="232"/>
      <c r="BG50" s="232"/>
      <c r="BH50" s="232"/>
      <c r="BI50" s="232"/>
      <c r="BJ50" s="232"/>
      <c r="BK50" s="232"/>
      <c r="BL50" s="232"/>
      <c r="BM50" s="232"/>
      <c r="BN50" s="232"/>
      <c r="BO50" s="232"/>
      <c r="BP50" s="232"/>
      <c r="BQ50" s="232"/>
      <c r="BR50" s="232"/>
      <c r="BS50" s="232"/>
      <c r="BT50" s="232"/>
      <c r="BU50" s="232"/>
      <c r="BV50" s="232"/>
      <c r="BW50" s="232"/>
      <c r="BX50" s="232"/>
      <c r="BY50" s="232"/>
      <c r="BZ50" s="232"/>
      <c r="CA50" s="232"/>
      <c r="CB50" s="232"/>
      <c r="CC50" s="232"/>
      <c r="CD50" s="232"/>
      <c r="CE50" s="232"/>
      <c r="CF50" s="232"/>
      <c r="CG50" s="232"/>
      <c r="CH50" s="232"/>
      <c r="CI50" s="232"/>
      <c r="CJ50" s="232"/>
      <c r="CK50" s="232"/>
      <c r="CL50" s="232"/>
      <c r="CM50" s="232"/>
      <c r="CN50" s="232"/>
      <c r="CO50" s="232"/>
      <c r="CP50" s="232"/>
      <c r="CQ50" s="232"/>
      <c r="CR50" s="232"/>
      <c r="CS50" s="232"/>
      <c r="CT50" s="232"/>
      <c r="CU50" s="232"/>
      <c r="CV50" s="232"/>
      <c r="CW50" s="232"/>
      <c r="CX50" s="232"/>
      <c r="CY50" s="232"/>
      <c r="CZ50" s="232"/>
      <c r="DA50" s="232"/>
      <c r="DB50" s="232"/>
      <c r="DC50" s="232"/>
      <c r="DD50" s="232"/>
      <c r="DE50" s="232"/>
      <c r="DF50" s="232"/>
      <c r="DG50" s="232"/>
      <c r="DH50" s="232"/>
      <c r="DI50" s="232"/>
      <c r="DJ50" s="232"/>
      <c r="DK50" s="232"/>
      <c r="DL50" s="232"/>
      <c r="DM50" s="232"/>
      <c r="DN50" s="232"/>
      <c r="DO50" s="232"/>
      <c r="DP50" s="232"/>
      <c r="DQ50" s="232"/>
      <c r="DR50" s="232"/>
      <c r="DS50" s="232"/>
      <c r="DT50" s="232"/>
      <c r="DU50" s="232"/>
      <c r="DV50" s="232"/>
      <c r="DW50" s="232"/>
      <c r="DX50" s="232"/>
      <c r="DY50" s="232"/>
      <c r="DZ50" s="232"/>
      <c r="EA50" s="232"/>
      <c r="EB50" s="232"/>
      <c r="EC50" s="232"/>
      <c r="ED50" s="232"/>
      <c r="EE50" s="232"/>
      <c r="EF50" s="232"/>
      <c r="EG50" s="232"/>
      <c r="EH50" s="232"/>
      <c r="EI50" s="232"/>
      <c r="EJ50" s="232"/>
      <c r="EK50" s="232"/>
      <c r="EL50" s="232"/>
      <c r="EM50" s="232"/>
      <c r="EN50" s="232"/>
      <c r="EO50" s="232"/>
      <c r="EP50" s="232"/>
      <c r="EQ50" s="232"/>
      <c r="ER50" s="232"/>
      <c r="ES50" s="232"/>
      <c r="ET50" s="232"/>
      <c r="EU50" s="232"/>
      <c r="EV50" s="232"/>
      <c r="EW50" s="232"/>
      <c r="EX50" s="232"/>
      <c r="EY50" s="232"/>
      <c r="EZ50" s="232"/>
      <c r="FA50" s="232"/>
      <c r="FB50" s="232"/>
      <c r="FC50" s="232"/>
      <c r="FD50" s="232"/>
      <c r="FE50" s="232"/>
      <c r="FF50" s="232"/>
      <c r="FG50" s="232"/>
      <c r="FH50" s="232"/>
      <c r="FI50" s="232"/>
      <c r="FJ50" s="232"/>
      <c r="FK50" s="232"/>
      <c r="FL50" s="232"/>
      <c r="FM50" s="232"/>
      <c r="FN50" s="232"/>
      <c r="FO50" s="232"/>
      <c r="FP50" s="232"/>
      <c r="FQ50" s="232"/>
      <c r="FR50" s="232"/>
      <c r="FS50" s="232"/>
      <c r="FT50" s="232"/>
      <c r="FU50" s="232"/>
      <c r="FV50" s="232"/>
      <c r="FW50" s="232"/>
      <c r="FX50" s="232"/>
      <c r="FY50" s="232"/>
      <c r="FZ50" s="232"/>
      <c r="GA50" s="232"/>
      <c r="GB50" s="232"/>
      <c r="GC50" s="232"/>
      <c r="GD50" s="232"/>
      <c r="GE50" s="232"/>
      <c r="GF50" s="232"/>
      <c r="GG50" s="232"/>
      <c r="GH50" s="232"/>
      <c r="GI50" s="232"/>
      <c r="GJ50" s="232"/>
      <c r="GK50" s="232"/>
      <c r="GL50" s="232"/>
      <c r="GM50" s="232"/>
      <c r="GN50" s="232"/>
      <c r="GO50" s="232"/>
      <c r="GP50" s="232"/>
      <c r="GQ50" s="232"/>
      <c r="GR50" s="232"/>
      <c r="GS50" s="232"/>
      <c r="GT50" s="232"/>
      <c r="GU50" s="232"/>
      <c r="GV50" s="232"/>
      <c r="GW50" s="232"/>
      <c r="GX50" s="232"/>
      <c r="GY50" s="232"/>
      <c r="GZ50" s="232"/>
      <c r="HA50" s="232"/>
      <c r="HB50" s="232"/>
      <c r="HC50" s="232"/>
      <c r="HD50" s="232"/>
      <c r="HE50" s="232"/>
      <c r="HF50" s="232"/>
      <c r="HG50" s="232"/>
      <c r="HH50" s="232"/>
      <c r="HI50" s="232"/>
      <c r="HJ50" s="232"/>
      <c r="HK50" s="232"/>
      <c r="HL50" s="232"/>
      <c r="HM50" s="232"/>
      <c r="HN50" s="232"/>
      <c r="HO50" s="232"/>
      <c r="HP50" s="232"/>
      <c r="HQ50" s="232"/>
      <c r="HR50" s="232"/>
      <c r="HS50" s="232"/>
      <c r="HT50" s="232"/>
      <c r="HU50" s="232"/>
      <c r="HV50" s="232"/>
      <c r="HW50" s="232"/>
      <c r="HX50" s="232"/>
      <c r="HY50" s="232"/>
      <c r="HZ50" s="232"/>
      <c r="IA50" s="232"/>
      <c r="IB50" s="232"/>
      <c r="IC50" s="232"/>
    </row>
    <row r="51" spans="1:237" s="1068" customFormat="1" ht="12.75" customHeight="1">
      <c r="A51" s="1120" t="s">
        <v>1155</v>
      </c>
      <c r="B51" s="1072"/>
      <c r="C51" s="1072"/>
      <c r="D51" s="1072"/>
      <c r="E51" s="1073"/>
    </row>
    <row r="52" spans="1:237" ht="14.1" customHeight="1">
      <c r="B52" s="248"/>
      <c r="C52" s="248"/>
      <c r="D52" s="248"/>
      <c r="E52" s="248"/>
      <c r="F52" s="248"/>
      <c r="G52" s="248"/>
      <c r="H52" s="923"/>
      <c r="I52" s="923"/>
      <c r="K52" s="265"/>
      <c r="L52" s="919"/>
      <c r="M52" s="919"/>
      <c r="N52" s="919"/>
      <c r="O52" s="919"/>
      <c r="P52" s="919"/>
      <c r="Q52" s="909"/>
      <c r="V52" s="899"/>
      <c r="W52" s="899"/>
      <c r="X52" s="899"/>
      <c r="Y52" s="899"/>
      <c r="Z52" s="899"/>
      <c r="AA52" s="899"/>
      <c r="AB52" s="899"/>
      <c r="AC52" s="899"/>
      <c r="AD52" s="899"/>
      <c r="AE52" s="899"/>
      <c r="AF52" s="899"/>
      <c r="AG52" s="899"/>
      <c r="AH52" s="899"/>
      <c r="AI52" s="899"/>
      <c r="AJ52" s="899"/>
      <c r="AK52" s="899"/>
      <c r="AL52" s="899"/>
      <c r="AM52" s="232"/>
      <c r="AN52" s="232"/>
      <c r="AO52" s="232"/>
      <c r="AP52" s="232"/>
      <c r="AQ52" s="232"/>
      <c r="AR52" s="232"/>
      <c r="AS52" s="232"/>
      <c r="AT52" s="232"/>
      <c r="AU52" s="232"/>
      <c r="AV52" s="232"/>
      <c r="AW52" s="232"/>
      <c r="AX52" s="232"/>
      <c r="AY52" s="232"/>
      <c r="AZ52" s="232"/>
      <c r="BA52" s="232"/>
      <c r="BB52" s="232"/>
      <c r="BC52" s="232"/>
      <c r="BD52" s="232"/>
      <c r="BE52" s="232"/>
      <c r="BF52" s="232"/>
      <c r="BG52" s="232"/>
      <c r="BH52" s="232"/>
      <c r="BI52" s="232"/>
      <c r="BJ52" s="232"/>
      <c r="BK52" s="232"/>
      <c r="BL52" s="232"/>
      <c r="BM52" s="232"/>
      <c r="BN52" s="232"/>
      <c r="BO52" s="232"/>
      <c r="BP52" s="232"/>
      <c r="BQ52" s="232"/>
      <c r="BR52" s="232"/>
      <c r="BS52" s="232"/>
      <c r="BT52" s="232"/>
      <c r="BU52" s="232"/>
      <c r="BV52" s="232"/>
      <c r="BW52" s="232"/>
      <c r="BX52" s="232"/>
      <c r="BY52" s="232"/>
      <c r="BZ52" s="232"/>
      <c r="CA52" s="232"/>
      <c r="CB52" s="232"/>
      <c r="CC52" s="232"/>
      <c r="CD52" s="232"/>
      <c r="CE52" s="232"/>
      <c r="CF52" s="232"/>
      <c r="CG52" s="232"/>
      <c r="CH52" s="232"/>
      <c r="CI52" s="232"/>
      <c r="CJ52" s="232"/>
      <c r="CK52" s="232"/>
      <c r="CL52" s="232"/>
      <c r="CM52" s="232"/>
      <c r="CN52" s="232"/>
      <c r="CO52" s="232"/>
      <c r="CP52" s="232"/>
      <c r="CQ52" s="232"/>
      <c r="CR52" s="232"/>
      <c r="CS52" s="232"/>
      <c r="CT52" s="232"/>
      <c r="CU52" s="232"/>
      <c r="CV52" s="232"/>
      <c r="CW52" s="232"/>
      <c r="CX52" s="232"/>
      <c r="CY52" s="232"/>
      <c r="CZ52" s="232"/>
      <c r="DA52" s="232"/>
      <c r="DB52" s="232"/>
      <c r="DC52" s="232"/>
      <c r="DD52" s="232"/>
      <c r="DE52" s="232"/>
      <c r="DF52" s="232"/>
      <c r="DG52" s="232"/>
      <c r="DH52" s="232"/>
      <c r="DI52" s="232"/>
      <c r="DJ52" s="232"/>
      <c r="DK52" s="232"/>
      <c r="DL52" s="232"/>
      <c r="DM52" s="232"/>
      <c r="DN52" s="232"/>
      <c r="DO52" s="232"/>
      <c r="DP52" s="232"/>
      <c r="DQ52" s="232"/>
      <c r="DR52" s="232"/>
      <c r="DS52" s="232"/>
      <c r="DT52" s="232"/>
      <c r="DU52" s="232"/>
      <c r="DV52" s="232"/>
      <c r="DW52" s="232"/>
      <c r="DX52" s="232"/>
      <c r="DY52" s="232"/>
      <c r="DZ52" s="232"/>
      <c r="EA52" s="232"/>
      <c r="EB52" s="232"/>
      <c r="EC52" s="232"/>
      <c r="ED52" s="232"/>
      <c r="EE52" s="232"/>
      <c r="EF52" s="232"/>
      <c r="EG52" s="232"/>
      <c r="EH52" s="232"/>
      <c r="EI52" s="232"/>
      <c r="EJ52" s="232"/>
      <c r="EK52" s="232"/>
      <c r="EL52" s="232"/>
      <c r="EM52" s="232"/>
      <c r="EN52" s="232"/>
      <c r="EO52" s="232"/>
      <c r="EP52" s="232"/>
      <c r="EQ52" s="232"/>
      <c r="ER52" s="232"/>
      <c r="ES52" s="232"/>
      <c r="ET52" s="232"/>
      <c r="EU52" s="232"/>
      <c r="EV52" s="232"/>
      <c r="EW52" s="232"/>
      <c r="EX52" s="232"/>
      <c r="EY52" s="232"/>
      <c r="EZ52" s="232"/>
      <c r="FA52" s="232"/>
      <c r="FB52" s="232"/>
      <c r="FC52" s="232"/>
      <c r="FD52" s="232"/>
      <c r="FE52" s="232"/>
      <c r="FF52" s="232"/>
      <c r="FG52" s="232"/>
      <c r="FH52" s="232"/>
      <c r="FI52" s="232"/>
      <c r="FJ52" s="232"/>
      <c r="FK52" s="232"/>
      <c r="FL52" s="232"/>
      <c r="FM52" s="232"/>
      <c r="FN52" s="232"/>
      <c r="FO52" s="232"/>
      <c r="FP52" s="232"/>
      <c r="FQ52" s="232"/>
      <c r="FR52" s="232"/>
      <c r="FS52" s="232"/>
      <c r="FT52" s="232"/>
      <c r="FU52" s="232"/>
      <c r="FV52" s="232"/>
      <c r="FW52" s="232"/>
      <c r="FX52" s="232"/>
      <c r="FY52" s="232"/>
      <c r="FZ52" s="232"/>
      <c r="GA52" s="232"/>
      <c r="GB52" s="232"/>
      <c r="GC52" s="232"/>
      <c r="GD52" s="232"/>
      <c r="GE52" s="232"/>
      <c r="GF52" s="232"/>
      <c r="GG52" s="232"/>
      <c r="GH52" s="232"/>
      <c r="GI52" s="232"/>
      <c r="GJ52" s="232"/>
      <c r="GK52" s="232"/>
      <c r="GL52" s="232"/>
      <c r="GM52" s="232"/>
      <c r="GN52" s="232"/>
      <c r="GO52" s="232"/>
      <c r="GP52" s="232"/>
      <c r="GQ52" s="232"/>
      <c r="GR52" s="232"/>
      <c r="GS52" s="232"/>
      <c r="GT52" s="232"/>
      <c r="GU52" s="232"/>
      <c r="GV52" s="232"/>
      <c r="GW52" s="232"/>
      <c r="GX52" s="232"/>
      <c r="GY52" s="232"/>
      <c r="GZ52" s="232"/>
      <c r="HA52" s="232"/>
      <c r="HB52" s="232"/>
      <c r="HC52" s="232"/>
      <c r="HD52" s="232"/>
      <c r="HE52" s="232"/>
      <c r="HF52" s="232"/>
      <c r="HG52" s="232"/>
      <c r="HH52" s="232"/>
      <c r="HI52" s="232"/>
      <c r="HJ52" s="232"/>
      <c r="HK52" s="232"/>
      <c r="HL52" s="232"/>
      <c r="HM52" s="232"/>
      <c r="HN52" s="232"/>
      <c r="HO52" s="232"/>
      <c r="HP52" s="232"/>
      <c r="HQ52" s="232"/>
      <c r="HR52" s="232"/>
      <c r="HS52" s="232"/>
      <c r="HT52" s="232"/>
      <c r="HU52" s="232"/>
      <c r="HV52" s="232"/>
      <c r="HW52" s="232"/>
      <c r="HX52" s="232"/>
      <c r="HY52" s="232"/>
      <c r="HZ52" s="232"/>
      <c r="IA52" s="232"/>
      <c r="IB52" s="232"/>
      <c r="IC52" s="232"/>
    </row>
    <row r="53" spans="1:237" ht="14.1" customHeight="1">
      <c r="A53" s="232"/>
      <c r="B53" s="248"/>
      <c r="C53" s="248"/>
      <c r="D53" s="248"/>
      <c r="E53" s="248"/>
      <c r="F53" s="248"/>
      <c r="G53" s="248"/>
      <c r="H53" s="228"/>
      <c r="I53" s="228"/>
      <c r="K53" s="265"/>
      <c r="L53" s="899"/>
      <c r="M53" s="899"/>
      <c r="N53" s="899"/>
      <c r="O53" s="899"/>
      <c r="Q53" s="909"/>
      <c r="V53" s="899"/>
      <c r="W53" s="899"/>
      <c r="X53" s="899"/>
      <c r="Y53" s="899"/>
      <c r="Z53" s="899"/>
      <c r="AA53" s="899"/>
      <c r="AB53" s="899"/>
      <c r="AC53" s="899"/>
      <c r="AD53" s="899"/>
      <c r="AE53" s="899"/>
      <c r="AF53" s="899"/>
      <c r="AG53" s="899"/>
      <c r="AH53" s="899"/>
      <c r="AI53" s="899"/>
      <c r="AJ53" s="899"/>
      <c r="AK53" s="899"/>
      <c r="AL53" s="899"/>
      <c r="AM53" s="232"/>
      <c r="AN53" s="232"/>
      <c r="AO53" s="232"/>
      <c r="AP53" s="232"/>
      <c r="AQ53" s="232"/>
      <c r="AR53" s="232"/>
      <c r="AS53" s="232"/>
      <c r="AT53" s="232"/>
      <c r="AU53" s="232"/>
      <c r="AV53" s="232"/>
      <c r="AW53" s="232"/>
      <c r="AX53" s="232"/>
      <c r="AY53" s="232"/>
      <c r="AZ53" s="232"/>
      <c r="BA53" s="232"/>
      <c r="BB53" s="232"/>
      <c r="BC53" s="232"/>
      <c r="BD53" s="232"/>
      <c r="BE53" s="232"/>
      <c r="BF53" s="232"/>
      <c r="BG53" s="232"/>
      <c r="BH53" s="232"/>
      <c r="BI53" s="232"/>
      <c r="BJ53" s="232"/>
      <c r="BK53" s="232"/>
      <c r="BL53" s="232"/>
      <c r="BM53" s="232"/>
      <c r="BN53" s="232"/>
      <c r="BO53" s="232"/>
      <c r="BP53" s="232"/>
      <c r="BQ53" s="232"/>
      <c r="BR53" s="232"/>
      <c r="BS53" s="232"/>
      <c r="BT53" s="232"/>
      <c r="BU53" s="232"/>
      <c r="BV53" s="232"/>
      <c r="BW53" s="232"/>
      <c r="BX53" s="232"/>
      <c r="BY53" s="232"/>
      <c r="BZ53" s="232"/>
      <c r="CA53" s="232"/>
      <c r="CB53" s="232"/>
      <c r="CC53" s="232"/>
      <c r="CD53" s="232"/>
      <c r="CE53" s="232"/>
      <c r="CF53" s="232"/>
      <c r="CG53" s="232"/>
      <c r="CH53" s="232"/>
      <c r="CI53" s="232"/>
      <c r="CJ53" s="232"/>
      <c r="CK53" s="232"/>
      <c r="CL53" s="232"/>
      <c r="CM53" s="232"/>
      <c r="CN53" s="232"/>
      <c r="CO53" s="232"/>
      <c r="CP53" s="232"/>
      <c r="CQ53" s="232"/>
      <c r="CR53" s="232"/>
      <c r="CS53" s="232"/>
      <c r="CT53" s="232"/>
      <c r="CU53" s="232"/>
      <c r="CV53" s="232"/>
      <c r="CW53" s="232"/>
      <c r="CX53" s="232"/>
      <c r="CY53" s="232"/>
      <c r="CZ53" s="232"/>
      <c r="DA53" s="232"/>
      <c r="DB53" s="232"/>
      <c r="DC53" s="232"/>
      <c r="DD53" s="232"/>
      <c r="DE53" s="232"/>
      <c r="DF53" s="232"/>
      <c r="DG53" s="232"/>
      <c r="DH53" s="232"/>
      <c r="DI53" s="232"/>
      <c r="DJ53" s="232"/>
      <c r="DK53" s="232"/>
      <c r="DL53" s="232"/>
      <c r="DM53" s="232"/>
      <c r="DN53" s="232"/>
      <c r="DO53" s="232"/>
      <c r="DP53" s="232"/>
      <c r="DQ53" s="232"/>
      <c r="DR53" s="232"/>
      <c r="DS53" s="232"/>
      <c r="DT53" s="232"/>
      <c r="DU53" s="232"/>
      <c r="DV53" s="232"/>
      <c r="DW53" s="232"/>
      <c r="DX53" s="232"/>
      <c r="DY53" s="232"/>
      <c r="DZ53" s="232"/>
      <c r="EA53" s="232"/>
      <c r="EB53" s="232"/>
      <c r="EC53" s="232"/>
      <c r="ED53" s="232"/>
      <c r="EE53" s="232"/>
      <c r="EF53" s="232"/>
      <c r="EG53" s="232"/>
      <c r="EH53" s="232"/>
      <c r="EI53" s="232"/>
      <c r="EJ53" s="232"/>
      <c r="EK53" s="232"/>
      <c r="EL53" s="232"/>
      <c r="EM53" s="232"/>
      <c r="EN53" s="232"/>
      <c r="EO53" s="232"/>
      <c r="EP53" s="232"/>
      <c r="EQ53" s="232"/>
      <c r="ER53" s="232"/>
      <c r="ES53" s="232"/>
      <c r="ET53" s="232"/>
      <c r="EU53" s="232"/>
      <c r="EV53" s="232"/>
      <c r="EW53" s="232"/>
      <c r="EX53" s="232"/>
      <c r="EY53" s="232"/>
      <c r="EZ53" s="232"/>
      <c r="FA53" s="232"/>
      <c r="FB53" s="232"/>
      <c r="FC53" s="232"/>
      <c r="FD53" s="232"/>
      <c r="FE53" s="232"/>
      <c r="FF53" s="232"/>
      <c r="FG53" s="232"/>
      <c r="FH53" s="232"/>
      <c r="FI53" s="232"/>
      <c r="FJ53" s="232"/>
      <c r="FK53" s="232"/>
      <c r="FL53" s="232"/>
      <c r="FM53" s="232"/>
      <c r="FN53" s="232"/>
      <c r="FO53" s="232"/>
      <c r="FP53" s="232"/>
      <c r="FQ53" s="232"/>
      <c r="FR53" s="232"/>
      <c r="FS53" s="232"/>
      <c r="FT53" s="232"/>
      <c r="FU53" s="232"/>
      <c r="FV53" s="232"/>
      <c r="FW53" s="232"/>
      <c r="FX53" s="232"/>
      <c r="FY53" s="232"/>
      <c r="FZ53" s="232"/>
      <c r="GA53" s="232"/>
      <c r="GB53" s="232"/>
      <c r="GC53" s="232"/>
      <c r="GD53" s="232"/>
      <c r="GE53" s="232"/>
      <c r="GF53" s="232"/>
      <c r="GG53" s="232"/>
      <c r="GH53" s="232"/>
      <c r="GI53" s="232"/>
      <c r="GJ53" s="232"/>
      <c r="GK53" s="232"/>
      <c r="GL53" s="232"/>
      <c r="GM53" s="232"/>
      <c r="GN53" s="232"/>
      <c r="GO53" s="232"/>
      <c r="GP53" s="232"/>
      <c r="GQ53" s="232"/>
      <c r="GR53" s="232"/>
      <c r="GS53" s="232"/>
      <c r="GT53" s="232"/>
      <c r="GU53" s="232"/>
      <c r="GV53" s="232"/>
      <c r="GW53" s="232"/>
      <c r="GX53" s="232"/>
      <c r="GY53" s="232"/>
      <c r="GZ53" s="232"/>
      <c r="HA53" s="232"/>
      <c r="HB53" s="232"/>
      <c r="HC53" s="232"/>
      <c r="HD53" s="232"/>
      <c r="HE53" s="232"/>
      <c r="HF53" s="232"/>
      <c r="HG53" s="232"/>
      <c r="HH53" s="232"/>
      <c r="HI53" s="232"/>
      <c r="HJ53" s="232"/>
      <c r="HK53" s="232"/>
      <c r="HL53" s="232"/>
      <c r="HM53" s="232"/>
      <c r="HN53" s="232"/>
      <c r="HO53" s="232"/>
      <c r="HP53" s="232"/>
      <c r="HQ53" s="232"/>
      <c r="HR53" s="232"/>
      <c r="HS53" s="232"/>
      <c r="HT53" s="232"/>
      <c r="HU53" s="232"/>
      <c r="HV53" s="232"/>
      <c r="HW53" s="232"/>
      <c r="HX53" s="232"/>
      <c r="HY53" s="232"/>
      <c r="HZ53" s="232"/>
      <c r="IA53" s="232"/>
      <c r="IB53" s="232"/>
      <c r="IC53" s="232"/>
    </row>
    <row r="54" spans="1:237" ht="14.1" customHeight="1">
      <c r="A54" s="232"/>
      <c r="B54" s="248"/>
      <c r="C54" s="248"/>
      <c r="D54" s="248"/>
      <c r="E54" s="248"/>
      <c r="F54" s="248"/>
      <c r="G54" s="248"/>
      <c r="H54" s="228"/>
      <c r="I54" s="228"/>
      <c r="K54" s="265"/>
      <c r="L54" s="899"/>
      <c r="M54" s="899"/>
      <c r="N54" s="899"/>
      <c r="O54" s="899"/>
      <c r="Q54" s="909"/>
      <c r="V54" s="899"/>
      <c r="W54" s="899"/>
      <c r="X54" s="899"/>
      <c r="Y54" s="899"/>
      <c r="Z54" s="899"/>
      <c r="AA54" s="899"/>
      <c r="AB54" s="899"/>
      <c r="AC54" s="899"/>
      <c r="AD54" s="899"/>
      <c r="AE54" s="899"/>
      <c r="AF54" s="899"/>
      <c r="AG54" s="899"/>
      <c r="AH54" s="899"/>
      <c r="AI54" s="899"/>
      <c r="AJ54" s="899"/>
      <c r="AK54" s="899"/>
      <c r="AL54" s="899"/>
      <c r="AM54" s="232"/>
      <c r="AN54" s="232"/>
      <c r="AO54" s="232"/>
      <c r="AP54" s="232"/>
      <c r="AQ54" s="232"/>
      <c r="AR54" s="232"/>
      <c r="AS54" s="232"/>
      <c r="AT54" s="232"/>
      <c r="AU54" s="232"/>
      <c r="AV54" s="232"/>
      <c r="AW54" s="232"/>
      <c r="AX54" s="232"/>
      <c r="AY54" s="232"/>
      <c r="AZ54" s="232"/>
      <c r="BA54" s="232"/>
      <c r="BB54" s="232"/>
      <c r="BC54" s="232"/>
      <c r="BD54" s="232"/>
      <c r="BE54" s="232"/>
      <c r="BF54" s="232"/>
      <c r="BG54" s="232"/>
      <c r="BH54" s="232"/>
      <c r="BI54" s="232"/>
      <c r="BJ54" s="232"/>
      <c r="BK54" s="232"/>
      <c r="BL54" s="232"/>
      <c r="BM54" s="232"/>
      <c r="BN54" s="232"/>
      <c r="BO54" s="232"/>
      <c r="BP54" s="232"/>
      <c r="BQ54" s="232"/>
      <c r="BR54" s="232"/>
      <c r="BS54" s="232"/>
      <c r="BT54" s="232"/>
      <c r="BU54" s="232"/>
      <c r="BV54" s="232"/>
      <c r="BW54" s="232"/>
      <c r="BX54" s="232"/>
      <c r="BY54" s="232"/>
      <c r="BZ54" s="232"/>
      <c r="CA54" s="232"/>
      <c r="CB54" s="232"/>
      <c r="CC54" s="232"/>
      <c r="CD54" s="232"/>
      <c r="CE54" s="232"/>
      <c r="CF54" s="232"/>
      <c r="CG54" s="232"/>
      <c r="CH54" s="232"/>
      <c r="CI54" s="232"/>
      <c r="CJ54" s="232"/>
      <c r="CK54" s="232"/>
      <c r="CL54" s="232"/>
      <c r="CM54" s="232"/>
      <c r="CN54" s="232"/>
      <c r="CO54" s="232"/>
      <c r="CP54" s="232"/>
      <c r="CQ54" s="232"/>
      <c r="CR54" s="232"/>
      <c r="CS54" s="232"/>
      <c r="CT54" s="232"/>
      <c r="CU54" s="232"/>
      <c r="CV54" s="232"/>
      <c r="CW54" s="232"/>
      <c r="CX54" s="232"/>
      <c r="CY54" s="232"/>
      <c r="CZ54" s="232"/>
      <c r="DA54" s="232"/>
      <c r="DB54" s="232"/>
      <c r="DC54" s="232"/>
      <c r="DD54" s="232"/>
      <c r="DE54" s="232"/>
      <c r="DF54" s="232"/>
      <c r="DG54" s="232"/>
      <c r="DH54" s="232"/>
      <c r="DI54" s="232"/>
      <c r="DJ54" s="232"/>
      <c r="DK54" s="232"/>
      <c r="DL54" s="232"/>
      <c r="DM54" s="232"/>
      <c r="DN54" s="232"/>
      <c r="DO54" s="232"/>
      <c r="DP54" s="232"/>
      <c r="DQ54" s="232"/>
      <c r="DR54" s="232"/>
      <c r="DS54" s="232"/>
      <c r="DT54" s="232"/>
      <c r="DU54" s="232"/>
      <c r="DV54" s="232"/>
      <c r="DW54" s="232"/>
      <c r="DX54" s="232"/>
      <c r="DY54" s="232"/>
      <c r="DZ54" s="232"/>
      <c r="EA54" s="232"/>
      <c r="EB54" s="232"/>
      <c r="EC54" s="232"/>
      <c r="ED54" s="232"/>
      <c r="EE54" s="232"/>
      <c r="EF54" s="232"/>
      <c r="EG54" s="232"/>
      <c r="EH54" s="232"/>
      <c r="EI54" s="232"/>
      <c r="EJ54" s="232"/>
      <c r="EK54" s="232"/>
      <c r="EL54" s="232"/>
      <c r="EM54" s="232"/>
      <c r="EN54" s="232"/>
      <c r="EO54" s="232"/>
      <c r="EP54" s="232"/>
      <c r="EQ54" s="232"/>
      <c r="ER54" s="232"/>
      <c r="ES54" s="232"/>
      <c r="ET54" s="232"/>
      <c r="EU54" s="232"/>
      <c r="EV54" s="232"/>
      <c r="EW54" s="232"/>
      <c r="EX54" s="232"/>
      <c r="EY54" s="232"/>
      <c r="EZ54" s="232"/>
      <c r="FA54" s="232"/>
      <c r="FB54" s="232"/>
      <c r="FC54" s="232"/>
      <c r="FD54" s="232"/>
      <c r="FE54" s="232"/>
      <c r="FF54" s="232"/>
      <c r="FG54" s="232"/>
      <c r="FH54" s="232"/>
      <c r="FI54" s="232"/>
      <c r="FJ54" s="232"/>
      <c r="FK54" s="232"/>
      <c r="FL54" s="232"/>
      <c r="FM54" s="232"/>
      <c r="FN54" s="232"/>
      <c r="FO54" s="232"/>
      <c r="FP54" s="232"/>
      <c r="FQ54" s="232"/>
      <c r="FR54" s="232"/>
      <c r="FS54" s="232"/>
      <c r="FT54" s="232"/>
      <c r="FU54" s="232"/>
      <c r="FV54" s="232"/>
      <c r="FW54" s="232"/>
      <c r="FX54" s="232"/>
      <c r="FY54" s="232"/>
      <c r="FZ54" s="232"/>
      <c r="GA54" s="232"/>
      <c r="GB54" s="232"/>
      <c r="GC54" s="232"/>
      <c r="GD54" s="232"/>
      <c r="GE54" s="232"/>
      <c r="GF54" s="232"/>
      <c r="GG54" s="232"/>
      <c r="GH54" s="232"/>
      <c r="GI54" s="232"/>
      <c r="GJ54" s="232"/>
      <c r="GK54" s="232"/>
      <c r="GL54" s="232"/>
      <c r="GM54" s="232"/>
      <c r="GN54" s="232"/>
      <c r="GO54" s="232"/>
      <c r="GP54" s="232"/>
      <c r="GQ54" s="232"/>
      <c r="GR54" s="232"/>
      <c r="GS54" s="232"/>
      <c r="GT54" s="232"/>
      <c r="GU54" s="232"/>
      <c r="GV54" s="232"/>
      <c r="GW54" s="232"/>
      <c r="GX54" s="232"/>
      <c r="GY54" s="232"/>
      <c r="GZ54" s="232"/>
      <c r="HA54" s="232"/>
      <c r="HB54" s="232"/>
      <c r="HC54" s="232"/>
      <c r="HD54" s="232"/>
      <c r="HE54" s="232"/>
      <c r="HF54" s="232"/>
      <c r="HG54" s="232"/>
      <c r="HH54" s="232"/>
      <c r="HI54" s="232"/>
      <c r="HJ54" s="232"/>
      <c r="HK54" s="232"/>
      <c r="HL54" s="232"/>
      <c r="HM54" s="232"/>
      <c r="HN54" s="232"/>
      <c r="HO54" s="232"/>
      <c r="HP54" s="232"/>
      <c r="HQ54" s="232"/>
      <c r="HR54" s="232"/>
      <c r="HS54" s="232"/>
      <c r="HT54" s="232"/>
      <c r="HU54" s="232"/>
      <c r="HV54" s="232"/>
      <c r="HW54" s="232"/>
      <c r="HX54" s="232"/>
      <c r="HY54" s="232"/>
      <c r="HZ54" s="232"/>
      <c r="IA54" s="232"/>
      <c r="IB54" s="232"/>
      <c r="IC54" s="232"/>
    </row>
    <row r="55" spans="1:237" ht="14.1" customHeight="1">
      <c r="A55" s="232"/>
      <c r="B55" s="248"/>
      <c r="C55" s="248"/>
      <c r="D55" s="248"/>
      <c r="E55" s="248"/>
      <c r="F55" s="248"/>
      <c r="G55" s="248"/>
      <c r="H55" s="228"/>
      <c r="I55" s="228"/>
      <c r="K55" s="265"/>
      <c r="L55" s="899"/>
      <c r="M55" s="899"/>
      <c r="N55" s="899"/>
      <c r="O55" s="899"/>
      <c r="Q55" s="909"/>
      <c r="R55" s="899"/>
      <c r="S55" s="899"/>
      <c r="T55" s="899"/>
      <c r="U55" s="899"/>
      <c r="V55" s="899"/>
      <c r="W55" s="899"/>
      <c r="X55" s="899"/>
      <c r="Y55" s="899"/>
      <c r="Z55" s="899"/>
      <c r="AA55" s="899"/>
      <c r="AB55" s="899"/>
      <c r="AC55" s="899"/>
      <c r="AD55" s="899"/>
      <c r="AE55" s="899"/>
      <c r="AF55" s="899"/>
      <c r="AG55" s="899"/>
      <c r="AH55" s="899"/>
      <c r="AI55" s="899"/>
      <c r="AJ55" s="899"/>
      <c r="AK55" s="899"/>
      <c r="AL55" s="899"/>
      <c r="AM55" s="232"/>
      <c r="AN55" s="232"/>
      <c r="AO55" s="232"/>
      <c r="AP55" s="232"/>
      <c r="AQ55" s="232"/>
      <c r="AR55" s="232"/>
      <c r="AS55" s="232"/>
      <c r="AT55" s="232"/>
      <c r="AU55" s="232"/>
      <c r="AV55" s="232"/>
      <c r="AW55" s="232"/>
      <c r="AX55" s="232"/>
      <c r="AY55" s="232"/>
      <c r="AZ55" s="232"/>
      <c r="BA55" s="232"/>
      <c r="BB55" s="232"/>
      <c r="BC55" s="232"/>
      <c r="BD55" s="232"/>
      <c r="BE55" s="232"/>
      <c r="BF55" s="232"/>
      <c r="BG55" s="232"/>
      <c r="BH55" s="232"/>
      <c r="BI55" s="232"/>
      <c r="BJ55" s="232"/>
      <c r="BK55" s="232"/>
      <c r="BL55" s="232"/>
      <c r="BM55" s="232"/>
      <c r="BN55" s="232"/>
      <c r="BO55" s="232"/>
      <c r="BP55" s="232"/>
      <c r="BQ55" s="232"/>
      <c r="BR55" s="232"/>
      <c r="BS55" s="232"/>
      <c r="BT55" s="232"/>
      <c r="BU55" s="232"/>
      <c r="BV55" s="232"/>
      <c r="BW55" s="232"/>
      <c r="BX55" s="232"/>
      <c r="BY55" s="232"/>
      <c r="BZ55" s="232"/>
      <c r="CA55" s="232"/>
      <c r="CB55" s="232"/>
      <c r="CC55" s="232"/>
      <c r="CD55" s="232"/>
      <c r="CE55" s="232"/>
      <c r="CF55" s="232"/>
      <c r="CG55" s="232"/>
      <c r="CH55" s="232"/>
      <c r="CI55" s="232"/>
      <c r="CJ55" s="232"/>
      <c r="CK55" s="232"/>
      <c r="CL55" s="232"/>
      <c r="CM55" s="232"/>
      <c r="CN55" s="232"/>
      <c r="CO55" s="232"/>
      <c r="CP55" s="232"/>
      <c r="CQ55" s="232"/>
      <c r="CR55" s="232"/>
      <c r="CS55" s="232"/>
      <c r="CT55" s="232"/>
      <c r="CU55" s="232"/>
      <c r="CV55" s="232"/>
      <c r="CW55" s="232"/>
      <c r="CX55" s="232"/>
      <c r="CY55" s="232"/>
      <c r="CZ55" s="232"/>
      <c r="DA55" s="232"/>
      <c r="DB55" s="232"/>
      <c r="DC55" s="232"/>
      <c r="DD55" s="232"/>
      <c r="DE55" s="232"/>
      <c r="DF55" s="232"/>
      <c r="DG55" s="232"/>
      <c r="DH55" s="232"/>
      <c r="DI55" s="232"/>
      <c r="DJ55" s="232"/>
      <c r="DK55" s="232"/>
      <c r="DL55" s="232"/>
      <c r="DM55" s="232"/>
      <c r="DN55" s="232"/>
      <c r="DO55" s="232"/>
      <c r="DP55" s="232"/>
      <c r="DQ55" s="232"/>
      <c r="DR55" s="232"/>
      <c r="DS55" s="232"/>
      <c r="DT55" s="232"/>
      <c r="DU55" s="232"/>
      <c r="DV55" s="232"/>
      <c r="DW55" s="232"/>
      <c r="DX55" s="232"/>
      <c r="DY55" s="232"/>
      <c r="DZ55" s="232"/>
      <c r="EA55" s="232"/>
      <c r="EB55" s="232"/>
      <c r="EC55" s="232"/>
      <c r="ED55" s="232"/>
      <c r="EE55" s="232"/>
      <c r="EF55" s="232"/>
      <c r="EG55" s="232"/>
      <c r="EH55" s="232"/>
      <c r="EI55" s="232"/>
      <c r="EJ55" s="232"/>
      <c r="EK55" s="232"/>
      <c r="EL55" s="232"/>
      <c r="EM55" s="232"/>
      <c r="EN55" s="232"/>
      <c r="EO55" s="232"/>
      <c r="EP55" s="232"/>
      <c r="EQ55" s="232"/>
      <c r="ER55" s="232"/>
      <c r="ES55" s="232"/>
      <c r="ET55" s="232"/>
      <c r="EU55" s="232"/>
      <c r="EV55" s="232"/>
      <c r="EW55" s="232"/>
      <c r="EX55" s="232"/>
      <c r="EY55" s="232"/>
      <c r="EZ55" s="232"/>
      <c r="FA55" s="232"/>
      <c r="FB55" s="232"/>
      <c r="FC55" s="232"/>
      <c r="FD55" s="232"/>
      <c r="FE55" s="232"/>
      <c r="FF55" s="232"/>
      <c r="FG55" s="232"/>
      <c r="FH55" s="232"/>
      <c r="FI55" s="232"/>
      <c r="FJ55" s="232"/>
      <c r="FK55" s="232"/>
      <c r="FL55" s="232"/>
      <c r="FM55" s="232"/>
      <c r="FN55" s="232"/>
      <c r="FO55" s="232"/>
      <c r="FP55" s="232"/>
      <c r="FQ55" s="232"/>
      <c r="FR55" s="232"/>
      <c r="FS55" s="232"/>
      <c r="FT55" s="232"/>
      <c r="FU55" s="232"/>
      <c r="FV55" s="232"/>
      <c r="FW55" s="232"/>
      <c r="FX55" s="232"/>
      <c r="FY55" s="232"/>
      <c r="FZ55" s="232"/>
      <c r="GA55" s="232"/>
      <c r="GB55" s="232"/>
      <c r="GC55" s="232"/>
      <c r="GD55" s="232"/>
      <c r="GE55" s="232"/>
      <c r="GF55" s="232"/>
      <c r="GG55" s="232"/>
      <c r="GH55" s="232"/>
      <c r="GI55" s="232"/>
      <c r="GJ55" s="232"/>
      <c r="GK55" s="232"/>
      <c r="GL55" s="232"/>
      <c r="GM55" s="232"/>
      <c r="GN55" s="232"/>
      <c r="GO55" s="232"/>
      <c r="GP55" s="232"/>
      <c r="GQ55" s="232"/>
      <c r="GR55" s="232"/>
      <c r="GS55" s="232"/>
      <c r="GT55" s="232"/>
      <c r="GU55" s="232"/>
      <c r="GV55" s="232"/>
      <c r="GW55" s="232"/>
      <c r="GX55" s="232"/>
      <c r="GY55" s="232"/>
      <c r="GZ55" s="232"/>
      <c r="HA55" s="232"/>
      <c r="HB55" s="232"/>
      <c r="HC55" s="232"/>
      <c r="HD55" s="232"/>
      <c r="HE55" s="232"/>
      <c r="HF55" s="232"/>
      <c r="HG55" s="232"/>
      <c r="HH55" s="232"/>
      <c r="HI55" s="232"/>
      <c r="HJ55" s="232"/>
      <c r="HK55" s="232"/>
      <c r="HL55" s="232"/>
      <c r="HM55" s="232"/>
      <c r="HN55" s="232"/>
      <c r="HO55" s="232"/>
      <c r="HP55" s="232"/>
      <c r="HQ55" s="232"/>
      <c r="HR55" s="232"/>
      <c r="HS55" s="232"/>
      <c r="HT55" s="232"/>
      <c r="HU55" s="232"/>
      <c r="HV55" s="232"/>
      <c r="HW55" s="232"/>
      <c r="HX55" s="232"/>
      <c r="HY55" s="232"/>
      <c r="HZ55" s="232"/>
      <c r="IA55" s="232"/>
      <c r="IB55" s="232"/>
      <c r="IC55" s="232"/>
    </row>
    <row r="56" spans="1:237" ht="14.1" customHeight="1">
      <c r="A56" s="232"/>
      <c r="B56" s="248"/>
      <c r="C56" s="248"/>
      <c r="D56" s="248"/>
      <c r="E56" s="248"/>
      <c r="F56" s="248"/>
      <c r="G56" s="248"/>
      <c r="H56" s="228"/>
      <c r="I56" s="228"/>
      <c r="K56" s="265"/>
      <c r="L56" s="899"/>
      <c r="M56" s="899"/>
      <c r="N56" s="899"/>
      <c r="O56" s="899"/>
      <c r="Q56" s="909"/>
      <c r="R56" s="899"/>
      <c r="S56" s="899"/>
      <c r="T56" s="899"/>
      <c r="U56" s="899"/>
      <c r="V56" s="899"/>
      <c r="W56" s="899"/>
      <c r="X56" s="899"/>
      <c r="Y56" s="899"/>
      <c r="Z56" s="899"/>
      <c r="AA56" s="899"/>
      <c r="AB56" s="899"/>
      <c r="AC56" s="899"/>
      <c r="AD56" s="899"/>
      <c r="AE56" s="899"/>
      <c r="AF56" s="899"/>
      <c r="AG56" s="899"/>
      <c r="AH56" s="899"/>
      <c r="AI56" s="899"/>
      <c r="AJ56" s="899"/>
      <c r="AK56" s="899"/>
      <c r="AL56" s="899"/>
      <c r="AM56" s="232"/>
      <c r="AN56" s="232"/>
      <c r="AO56" s="232"/>
      <c r="AP56" s="232"/>
      <c r="AQ56" s="232"/>
      <c r="AR56" s="232"/>
      <c r="AS56" s="232"/>
      <c r="AT56" s="232"/>
      <c r="AU56" s="232"/>
      <c r="AV56" s="232"/>
      <c r="AW56" s="232"/>
      <c r="AX56" s="232"/>
      <c r="AY56" s="232"/>
      <c r="AZ56" s="232"/>
      <c r="BA56" s="232"/>
      <c r="BB56" s="232"/>
      <c r="BC56" s="232"/>
      <c r="BD56" s="232"/>
      <c r="BE56" s="232"/>
      <c r="BF56" s="232"/>
      <c r="BG56" s="232"/>
      <c r="BH56" s="232"/>
      <c r="BI56" s="232"/>
      <c r="BJ56" s="232"/>
      <c r="BK56" s="232"/>
      <c r="BL56" s="232"/>
      <c r="BM56" s="232"/>
      <c r="BN56" s="232"/>
      <c r="BO56" s="232"/>
      <c r="BP56" s="232"/>
      <c r="BQ56" s="232"/>
      <c r="BR56" s="232"/>
      <c r="BS56" s="232"/>
      <c r="BT56" s="232"/>
      <c r="BU56" s="232"/>
      <c r="BV56" s="232"/>
      <c r="BW56" s="232"/>
      <c r="BX56" s="232"/>
      <c r="BY56" s="232"/>
      <c r="BZ56" s="232"/>
      <c r="CA56" s="232"/>
      <c r="CB56" s="232"/>
      <c r="CC56" s="232"/>
      <c r="CD56" s="232"/>
      <c r="CE56" s="232"/>
      <c r="CF56" s="232"/>
      <c r="CG56" s="232"/>
      <c r="CH56" s="232"/>
      <c r="CI56" s="232"/>
      <c r="CJ56" s="232"/>
      <c r="CK56" s="232"/>
      <c r="CL56" s="232"/>
      <c r="CM56" s="232"/>
      <c r="CN56" s="232"/>
      <c r="CO56" s="232"/>
      <c r="CP56" s="232"/>
      <c r="CQ56" s="232"/>
      <c r="CR56" s="232"/>
      <c r="CS56" s="232"/>
      <c r="CT56" s="232"/>
      <c r="CU56" s="232"/>
      <c r="CV56" s="232"/>
      <c r="CW56" s="232"/>
      <c r="CX56" s="232"/>
      <c r="CY56" s="232"/>
      <c r="CZ56" s="232"/>
      <c r="DA56" s="232"/>
      <c r="DB56" s="232"/>
      <c r="DC56" s="232"/>
      <c r="DD56" s="232"/>
      <c r="DE56" s="232"/>
      <c r="DF56" s="232"/>
      <c r="DG56" s="232"/>
      <c r="DH56" s="232"/>
      <c r="DI56" s="232"/>
      <c r="DJ56" s="232"/>
      <c r="DK56" s="232"/>
      <c r="DL56" s="232"/>
      <c r="DM56" s="232"/>
      <c r="DN56" s="232"/>
      <c r="DO56" s="232"/>
      <c r="DP56" s="232"/>
      <c r="DQ56" s="232"/>
      <c r="DR56" s="232"/>
      <c r="DS56" s="232"/>
      <c r="DT56" s="232"/>
      <c r="DU56" s="232"/>
      <c r="DV56" s="232"/>
      <c r="DW56" s="232"/>
      <c r="DX56" s="232"/>
      <c r="DY56" s="232"/>
      <c r="DZ56" s="232"/>
      <c r="EA56" s="232"/>
      <c r="EB56" s="232"/>
      <c r="EC56" s="232"/>
      <c r="ED56" s="232"/>
      <c r="EE56" s="232"/>
      <c r="EF56" s="232"/>
      <c r="EG56" s="232"/>
      <c r="EH56" s="232"/>
      <c r="EI56" s="232"/>
      <c r="EJ56" s="232"/>
      <c r="EK56" s="232"/>
      <c r="EL56" s="232"/>
      <c r="EM56" s="232"/>
      <c r="EN56" s="232"/>
      <c r="EO56" s="232"/>
      <c r="EP56" s="232"/>
      <c r="EQ56" s="232"/>
      <c r="ER56" s="232"/>
      <c r="ES56" s="232"/>
      <c r="ET56" s="232"/>
      <c r="EU56" s="232"/>
      <c r="EV56" s="232"/>
      <c r="EW56" s="232"/>
      <c r="EX56" s="232"/>
      <c r="EY56" s="232"/>
      <c r="EZ56" s="232"/>
      <c r="FA56" s="232"/>
      <c r="FB56" s="232"/>
      <c r="FC56" s="232"/>
      <c r="FD56" s="232"/>
      <c r="FE56" s="232"/>
      <c r="FF56" s="232"/>
      <c r="FG56" s="232"/>
      <c r="FH56" s="232"/>
      <c r="FI56" s="232"/>
      <c r="FJ56" s="232"/>
      <c r="FK56" s="232"/>
      <c r="FL56" s="232"/>
      <c r="FM56" s="232"/>
      <c r="FN56" s="232"/>
      <c r="FO56" s="232"/>
      <c r="FP56" s="232"/>
      <c r="FQ56" s="232"/>
      <c r="FR56" s="232"/>
      <c r="FS56" s="232"/>
      <c r="FT56" s="232"/>
      <c r="FU56" s="232"/>
      <c r="FV56" s="232"/>
      <c r="FW56" s="232"/>
      <c r="FX56" s="232"/>
      <c r="FY56" s="232"/>
      <c r="FZ56" s="232"/>
      <c r="GA56" s="232"/>
      <c r="GB56" s="232"/>
      <c r="GC56" s="232"/>
      <c r="GD56" s="232"/>
      <c r="GE56" s="232"/>
      <c r="GF56" s="232"/>
      <c r="GG56" s="232"/>
      <c r="GH56" s="232"/>
      <c r="GI56" s="232"/>
      <c r="GJ56" s="232"/>
      <c r="GK56" s="232"/>
      <c r="GL56" s="232"/>
      <c r="GM56" s="232"/>
      <c r="GN56" s="232"/>
      <c r="GO56" s="232"/>
      <c r="GP56" s="232"/>
      <c r="GQ56" s="232"/>
      <c r="GR56" s="232"/>
      <c r="GS56" s="232"/>
      <c r="GT56" s="232"/>
      <c r="GU56" s="232"/>
      <c r="GV56" s="232"/>
      <c r="GW56" s="232"/>
      <c r="GX56" s="232"/>
      <c r="GY56" s="232"/>
      <c r="GZ56" s="232"/>
      <c r="HA56" s="232"/>
      <c r="HB56" s="232"/>
      <c r="HC56" s="232"/>
      <c r="HD56" s="232"/>
      <c r="HE56" s="232"/>
      <c r="HF56" s="232"/>
      <c r="HG56" s="232"/>
      <c r="HH56" s="232"/>
      <c r="HI56" s="232"/>
      <c r="HJ56" s="232"/>
      <c r="HK56" s="232"/>
      <c r="HL56" s="232"/>
      <c r="HM56" s="232"/>
      <c r="HN56" s="232"/>
      <c r="HO56" s="232"/>
      <c r="HP56" s="232"/>
      <c r="HQ56" s="232"/>
      <c r="HR56" s="232"/>
      <c r="HS56" s="232"/>
      <c r="HT56" s="232"/>
      <c r="HU56" s="232"/>
      <c r="HV56" s="232"/>
      <c r="HW56" s="232"/>
      <c r="HX56" s="232"/>
      <c r="HY56" s="232"/>
      <c r="HZ56" s="232"/>
      <c r="IA56" s="232"/>
      <c r="IB56" s="232"/>
      <c r="IC56" s="232"/>
    </row>
    <row r="57" spans="1:237" ht="14.1" customHeight="1">
      <c r="A57" s="232"/>
      <c r="B57" s="248"/>
      <c r="C57" s="248"/>
      <c r="D57" s="248"/>
      <c r="E57" s="248"/>
      <c r="F57" s="248"/>
      <c r="G57" s="248"/>
      <c r="H57" s="228"/>
      <c r="I57" s="228"/>
      <c r="K57" s="265"/>
      <c r="L57" s="899"/>
      <c r="M57" s="899"/>
      <c r="N57" s="899"/>
      <c r="O57" s="899"/>
      <c r="Q57" s="909"/>
      <c r="R57" s="899"/>
      <c r="S57" s="899"/>
      <c r="T57" s="899"/>
      <c r="U57" s="899"/>
      <c r="V57" s="899"/>
      <c r="W57" s="899"/>
      <c r="X57" s="899"/>
      <c r="Y57" s="899"/>
      <c r="Z57" s="899"/>
      <c r="AA57" s="899"/>
      <c r="AB57" s="899"/>
      <c r="AC57" s="899"/>
      <c r="AD57" s="899"/>
      <c r="AE57" s="899"/>
      <c r="AF57" s="899"/>
      <c r="AG57" s="899"/>
      <c r="AH57" s="899"/>
      <c r="AI57" s="899"/>
      <c r="AJ57" s="899"/>
      <c r="AK57" s="899"/>
      <c r="AL57" s="899"/>
      <c r="AM57" s="232"/>
      <c r="AN57" s="232"/>
      <c r="AO57" s="232"/>
      <c r="AP57" s="232"/>
      <c r="AQ57" s="232"/>
      <c r="AR57" s="232"/>
      <c r="AS57" s="232"/>
      <c r="AT57" s="232"/>
      <c r="AU57" s="232"/>
      <c r="AV57" s="232"/>
      <c r="AW57" s="232"/>
      <c r="AX57" s="232"/>
      <c r="AY57" s="232"/>
      <c r="AZ57" s="232"/>
      <c r="BA57" s="232"/>
      <c r="BB57" s="232"/>
      <c r="BC57" s="232"/>
      <c r="BD57" s="232"/>
      <c r="BE57" s="232"/>
      <c r="BF57" s="232"/>
      <c r="BG57" s="232"/>
      <c r="BH57" s="232"/>
      <c r="BI57" s="232"/>
      <c r="BJ57" s="232"/>
      <c r="BK57" s="232"/>
      <c r="BL57" s="232"/>
      <c r="BM57" s="232"/>
      <c r="BN57" s="232"/>
      <c r="BO57" s="232"/>
      <c r="BP57" s="232"/>
      <c r="BQ57" s="232"/>
      <c r="BR57" s="232"/>
      <c r="BS57" s="232"/>
      <c r="BT57" s="232"/>
      <c r="BU57" s="232"/>
      <c r="BV57" s="232"/>
      <c r="BW57" s="232"/>
      <c r="BX57" s="232"/>
      <c r="BY57" s="232"/>
      <c r="BZ57" s="232"/>
      <c r="CA57" s="232"/>
      <c r="CB57" s="232"/>
      <c r="CC57" s="232"/>
      <c r="CD57" s="232"/>
      <c r="CE57" s="232"/>
      <c r="CF57" s="232"/>
      <c r="CG57" s="232"/>
      <c r="CH57" s="232"/>
      <c r="CI57" s="232"/>
      <c r="CJ57" s="232"/>
      <c r="CK57" s="232"/>
      <c r="CL57" s="232"/>
      <c r="CM57" s="232"/>
      <c r="CN57" s="232"/>
      <c r="CO57" s="232"/>
      <c r="CP57" s="232"/>
      <c r="CQ57" s="232"/>
      <c r="CR57" s="232"/>
      <c r="CS57" s="232"/>
      <c r="CT57" s="232"/>
      <c r="CU57" s="232"/>
      <c r="CV57" s="232"/>
      <c r="CW57" s="232"/>
      <c r="CX57" s="232"/>
      <c r="CY57" s="232"/>
      <c r="CZ57" s="232"/>
      <c r="DA57" s="232"/>
      <c r="DB57" s="232"/>
      <c r="DC57" s="232"/>
      <c r="DD57" s="232"/>
      <c r="DE57" s="232"/>
      <c r="DF57" s="232"/>
      <c r="DG57" s="232"/>
      <c r="DH57" s="232"/>
      <c r="DI57" s="232"/>
      <c r="DJ57" s="232"/>
      <c r="DK57" s="232"/>
      <c r="DL57" s="232"/>
      <c r="DM57" s="232"/>
      <c r="DN57" s="232"/>
      <c r="DO57" s="232"/>
      <c r="DP57" s="232"/>
      <c r="DQ57" s="232"/>
      <c r="DR57" s="232"/>
      <c r="DS57" s="232"/>
      <c r="DT57" s="232"/>
      <c r="DU57" s="232"/>
      <c r="DV57" s="232"/>
      <c r="DW57" s="232"/>
      <c r="DX57" s="232"/>
      <c r="DY57" s="232"/>
      <c r="DZ57" s="232"/>
      <c r="EA57" s="232"/>
      <c r="EB57" s="232"/>
      <c r="EC57" s="232"/>
      <c r="ED57" s="232"/>
      <c r="EE57" s="232"/>
      <c r="EF57" s="232"/>
      <c r="EG57" s="232"/>
      <c r="EH57" s="232"/>
      <c r="EI57" s="232"/>
      <c r="EJ57" s="232"/>
      <c r="EK57" s="232"/>
      <c r="EL57" s="232"/>
      <c r="EM57" s="232"/>
      <c r="EN57" s="232"/>
      <c r="EO57" s="232"/>
      <c r="EP57" s="232"/>
      <c r="EQ57" s="232"/>
      <c r="ER57" s="232"/>
      <c r="ES57" s="232"/>
      <c r="ET57" s="232"/>
      <c r="EU57" s="232"/>
      <c r="EV57" s="232"/>
      <c r="EW57" s="232"/>
      <c r="EX57" s="232"/>
      <c r="EY57" s="232"/>
      <c r="EZ57" s="232"/>
      <c r="FA57" s="232"/>
      <c r="FB57" s="232"/>
      <c r="FC57" s="232"/>
      <c r="FD57" s="232"/>
      <c r="FE57" s="232"/>
      <c r="FF57" s="232"/>
      <c r="FG57" s="232"/>
      <c r="FH57" s="232"/>
      <c r="FI57" s="232"/>
      <c r="FJ57" s="232"/>
      <c r="FK57" s="232"/>
      <c r="FL57" s="232"/>
      <c r="FM57" s="232"/>
      <c r="FN57" s="232"/>
      <c r="FO57" s="232"/>
      <c r="FP57" s="232"/>
      <c r="FQ57" s="232"/>
      <c r="FR57" s="232"/>
      <c r="FS57" s="232"/>
      <c r="FT57" s="232"/>
      <c r="FU57" s="232"/>
      <c r="FV57" s="232"/>
      <c r="FW57" s="232"/>
      <c r="FX57" s="232"/>
      <c r="FY57" s="232"/>
      <c r="FZ57" s="232"/>
      <c r="GA57" s="232"/>
      <c r="GB57" s="232"/>
      <c r="GC57" s="232"/>
      <c r="GD57" s="232"/>
      <c r="GE57" s="232"/>
      <c r="GF57" s="232"/>
      <c r="GG57" s="232"/>
      <c r="GH57" s="232"/>
      <c r="GI57" s="232"/>
      <c r="GJ57" s="232"/>
      <c r="GK57" s="232"/>
      <c r="GL57" s="232"/>
      <c r="GM57" s="232"/>
      <c r="GN57" s="232"/>
      <c r="GO57" s="232"/>
      <c r="GP57" s="232"/>
      <c r="GQ57" s="232"/>
      <c r="GR57" s="232"/>
      <c r="GS57" s="232"/>
      <c r="GT57" s="232"/>
      <c r="GU57" s="232"/>
      <c r="GV57" s="232"/>
      <c r="GW57" s="232"/>
      <c r="GX57" s="232"/>
      <c r="GY57" s="232"/>
      <c r="GZ57" s="232"/>
      <c r="HA57" s="232"/>
      <c r="HB57" s="232"/>
      <c r="HC57" s="232"/>
      <c r="HD57" s="232"/>
      <c r="HE57" s="232"/>
      <c r="HF57" s="232"/>
      <c r="HG57" s="232"/>
      <c r="HH57" s="232"/>
      <c r="HI57" s="232"/>
      <c r="HJ57" s="232"/>
      <c r="HK57" s="232"/>
      <c r="HL57" s="232"/>
      <c r="HM57" s="232"/>
      <c r="HN57" s="232"/>
      <c r="HO57" s="232"/>
      <c r="HP57" s="232"/>
      <c r="HQ57" s="232"/>
      <c r="HR57" s="232"/>
      <c r="HS57" s="232"/>
      <c r="HT57" s="232"/>
      <c r="HU57" s="232"/>
      <c r="HV57" s="232"/>
      <c r="HW57" s="232"/>
      <c r="HX57" s="232"/>
      <c r="HY57" s="232"/>
      <c r="HZ57" s="232"/>
      <c r="IA57" s="232"/>
      <c r="IB57" s="232"/>
      <c r="IC57" s="232"/>
    </row>
    <row r="58" spans="1:237" ht="14.1" customHeight="1">
      <c r="A58" s="232"/>
      <c r="B58" s="248"/>
      <c r="C58" s="248"/>
      <c r="D58" s="248"/>
      <c r="E58" s="248"/>
      <c r="F58" s="248"/>
      <c r="G58" s="248"/>
      <c r="H58" s="228"/>
      <c r="I58" s="228"/>
      <c r="K58" s="265"/>
      <c r="L58" s="899"/>
      <c r="M58" s="899"/>
      <c r="N58" s="899"/>
      <c r="O58" s="899"/>
      <c r="Q58" s="909"/>
      <c r="R58" s="899"/>
      <c r="S58" s="899"/>
      <c r="T58" s="899"/>
      <c r="U58" s="899"/>
      <c r="V58" s="899"/>
      <c r="W58" s="899"/>
      <c r="X58" s="899"/>
      <c r="Y58" s="899"/>
      <c r="Z58" s="899"/>
      <c r="AA58" s="899"/>
      <c r="AB58" s="899"/>
      <c r="AC58" s="899"/>
      <c r="AD58" s="899"/>
      <c r="AE58" s="899"/>
      <c r="AF58" s="899"/>
      <c r="AG58" s="899"/>
      <c r="AH58" s="899"/>
      <c r="AI58" s="899"/>
      <c r="AJ58" s="899"/>
      <c r="AK58" s="899"/>
      <c r="AL58" s="899"/>
      <c r="AM58" s="232"/>
      <c r="AN58" s="232"/>
      <c r="AO58" s="232"/>
      <c r="AP58" s="232"/>
      <c r="AQ58" s="232"/>
      <c r="AR58" s="232"/>
      <c r="AS58" s="232"/>
      <c r="AT58" s="232"/>
      <c r="AU58" s="232"/>
      <c r="AV58" s="232"/>
      <c r="AW58" s="232"/>
      <c r="AX58" s="232"/>
      <c r="AY58" s="232"/>
      <c r="AZ58" s="232"/>
      <c r="BA58" s="232"/>
      <c r="BB58" s="232"/>
      <c r="BC58" s="232"/>
      <c r="BD58" s="232"/>
      <c r="BE58" s="232"/>
      <c r="BF58" s="232"/>
      <c r="BG58" s="232"/>
      <c r="BH58" s="232"/>
      <c r="BI58" s="232"/>
      <c r="BJ58" s="232"/>
      <c r="BK58" s="232"/>
      <c r="BL58" s="232"/>
      <c r="BM58" s="232"/>
      <c r="BN58" s="232"/>
      <c r="BO58" s="232"/>
      <c r="BP58" s="232"/>
      <c r="BQ58" s="232"/>
      <c r="BR58" s="232"/>
      <c r="BS58" s="232"/>
      <c r="BT58" s="232"/>
      <c r="BU58" s="232"/>
      <c r="BV58" s="232"/>
      <c r="BW58" s="232"/>
      <c r="BX58" s="232"/>
      <c r="BY58" s="232"/>
      <c r="BZ58" s="232"/>
      <c r="CA58" s="232"/>
      <c r="CB58" s="232"/>
      <c r="CC58" s="232"/>
      <c r="CD58" s="232"/>
      <c r="CE58" s="232"/>
      <c r="CF58" s="232"/>
      <c r="CG58" s="232"/>
      <c r="CH58" s="232"/>
      <c r="CI58" s="232"/>
      <c r="CJ58" s="232"/>
      <c r="CK58" s="232"/>
      <c r="CL58" s="232"/>
      <c r="CM58" s="232"/>
      <c r="CN58" s="232"/>
      <c r="CO58" s="232"/>
      <c r="CP58" s="232"/>
      <c r="CQ58" s="232"/>
      <c r="CR58" s="232"/>
      <c r="CS58" s="232"/>
      <c r="CT58" s="232"/>
      <c r="CU58" s="232"/>
      <c r="CV58" s="232"/>
      <c r="CW58" s="232"/>
      <c r="CX58" s="232"/>
      <c r="CY58" s="232"/>
      <c r="CZ58" s="232"/>
      <c r="DA58" s="232"/>
      <c r="DB58" s="232"/>
      <c r="DC58" s="232"/>
      <c r="DD58" s="232"/>
      <c r="DE58" s="232"/>
      <c r="DF58" s="232"/>
      <c r="DG58" s="232"/>
      <c r="DH58" s="232"/>
      <c r="DI58" s="232"/>
      <c r="DJ58" s="232"/>
      <c r="DK58" s="232"/>
      <c r="DL58" s="232"/>
      <c r="DM58" s="232"/>
      <c r="DN58" s="232"/>
      <c r="DO58" s="232"/>
      <c r="DP58" s="232"/>
      <c r="DQ58" s="232"/>
      <c r="DR58" s="232"/>
      <c r="DS58" s="232"/>
      <c r="DT58" s="232"/>
      <c r="DU58" s="232"/>
      <c r="DV58" s="232"/>
      <c r="DW58" s="232"/>
      <c r="DX58" s="232"/>
      <c r="DY58" s="232"/>
      <c r="DZ58" s="232"/>
      <c r="EA58" s="232"/>
      <c r="EB58" s="232"/>
      <c r="EC58" s="232"/>
      <c r="ED58" s="232"/>
      <c r="EE58" s="232"/>
      <c r="EF58" s="232"/>
      <c r="EG58" s="232"/>
      <c r="EH58" s="232"/>
      <c r="EI58" s="232"/>
      <c r="EJ58" s="232"/>
      <c r="EK58" s="232"/>
      <c r="EL58" s="232"/>
      <c r="EM58" s="232"/>
      <c r="EN58" s="232"/>
      <c r="EO58" s="232"/>
      <c r="EP58" s="232"/>
      <c r="EQ58" s="232"/>
      <c r="ER58" s="232"/>
      <c r="ES58" s="232"/>
      <c r="ET58" s="232"/>
      <c r="EU58" s="232"/>
      <c r="EV58" s="232"/>
      <c r="EW58" s="232"/>
      <c r="EX58" s="232"/>
      <c r="EY58" s="232"/>
      <c r="EZ58" s="232"/>
      <c r="FA58" s="232"/>
      <c r="FB58" s="232"/>
      <c r="FC58" s="232"/>
      <c r="FD58" s="232"/>
      <c r="FE58" s="232"/>
      <c r="FF58" s="232"/>
      <c r="FG58" s="232"/>
      <c r="FH58" s="232"/>
      <c r="FI58" s="232"/>
      <c r="FJ58" s="232"/>
      <c r="FK58" s="232"/>
      <c r="FL58" s="232"/>
      <c r="FM58" s="232"/>
      <c r="FN58" s="232"/>
      <c r="FO58" s="232"/>
      <c r="FP58" s="232"/>
      <c r="FQ58" s="232"/>
      <c r="FR58" s="232"/>
      <c r="FS58" s="232"/>
      <c r="FT58" s="232"/>
      <c r="FU58" s="232"/>
      <c r="FV58" s="232"/>
      <c r="FW58" s="232"/>
      <c r="FX58" s="232"/>
      <c r="FY58" s="232"/>
      <c r="FZ58" s="232"/>
      <c r="GA58" s="232"/>
      <c r="GB58" s="232"/>
      <c r="GC58" s="232"/>
      <c r="GD58" s="232"/>
      <c r="GE58" s="232"/>
      <c r="GF58" s="232"/>
      <c r="GG58" s="232"/>
      <c r="GH58" s="232"/>
      <c r="GI58" s="232"/>
      <c r="GJ58" s="232"/>
      <c r="GK58" s="232"/>
      <c r="GL58" s="232"/>
      <c r="GM58" s="232"/>
      <c r="GN58" s="232"/>
      <c r="GO58" s="232"/>
      <c r="GP58" s="232"/>
      <c r="GQ58" s="232"/>
      <c r="GR58" s="232"/>
      <c r="GS58" s="232"/>
      <c r="GT58" s="232"/>
      <c r="GU58" s="232"/>
      <c r="GV58" s="232"/>
      <c r="GW58" s="232"/>
      <c r="GX58" s="232"/>
      <c r="GY58" s="232"/>
      <c r="GZ58" s="232"/>
      <c r="HA58" s="232"/>
      <c r="HB58" s="232"/>
      <c r="HC58" s="232"/>
      <c r="HD58" s="232"/>
      <c r="HE58" s="232"/>
      <c r="HF58" s="232"/>
      <c r="HG58" s="232"/>
      <c r="HH58" s="232"/>
      <c r="HI58" s="232"/>
      <c r="HJ58" s="232"/>
      <c r="HK58" s="232"/>
      <c r="HL58" s="232"/>
      <c r="HM58" s="232"/>
      <c r="HN58" s="232"/>
      <c r="HO58" s="232"/>
      <c r="HP58" s="232"/>
      <c r="HQ58" s="232"/>
      <c r="HR58" s="232"/>
      <c r="HS58" s="232"/>
      <c r="HT58" s="232"/>
      <c r="HU58" s="232"/>
      <c r="HV58" s="232"/>
      <c r="HW58" s="232"/>
      <c r="HX58" s="232"/>
      <c r="HY58" s="232"/>
      <c r="HZ58" s="232"/>
      <c r="IA58" s="232"/>
      <c r="IB58" s="232"/>
      <c r="IC58" s="232"/>
    </row>
    <row r="59" spans="1:237" ht="14.1" customHeight="1">
      <c r="A59" s="232"/>
      <c r="B59" s="248"/>
      <c r="C59" s="248"/>
      <c r="D59" s="248"/>
      <c r="E59" s="248"/>
      <c r="F59" s="248"/>
      <c r="G59" s="248"/>
      <c r="H59" s="228"/>
      <c r="I59" s="228"/>
      <c r="K59" s="265"/>
      <c r="L59" s="899"/>
      <c r="M59" s="899"/>
      <c r="N59" s="899"/>
      <c r="O59" s="899"/>
      <c r="Q59" s="909"/>
      <c r="R59" s="899"/>
      <c r="S59" s="899"/>
      <c r="T59" s="899"/>
      <c r="U59" s="899"/>
      <c r="V59" s="899"/>
      <c r="W59" s="899"/>
      <c r="X59" s="899"/>
      <c r="Y59" s="899"/>
      <c r="Z59" s="899"/>
      <c r="AA59" s="899"/>
      <c r="AB59" s="899"/>
      <c r="AC59" s="899"/>
      <c r="AD59" s="899"/>
      <c r="AE59" s="899"/>
      <c r="AF59" s="899"/>
      <c r="AG59" s="899"/>
      <c r="AH59" s="899"/>
      <c r="AI59" s="899"/>
      <c r="AJ59" s="899"/>
      <c r="AK59" s="899"/>
      <c r="AL59" s="899"/>
      <c r="AM59" s="232"/>
      <c r="AN59" s="232"/>
      <c r="AO59" s="232"/>
      <c r="AP59" s="232"/>
      <c r="AQ59" s="232"/>
      <c r="AR59" s="232"/>
      <c r="AS59" s="232"/>
      <c r="AT59" s="232"/>
      <c r="AU59" s="232"/>
      <c r="AV59" s="232"/>
      <c r="AW59" s="232"/>
      <c r="AX59" s="232"/>
      <c r="AY59" s="232"/>
      <c r="AZ59" s="232"/>
      <c r="BA59" s="232"/>
      <c r="BB59" s="232"/>
      <c r="BC59" s="232"/>
      <c r="BD59" s="232"/>
      <c r="BE59" s="232"/>
      <c r="BF59" s="232"/>
      <c r="BG59" s="232"/>
      <c r="BH59" s="232"/>
      <c r="BI59" s="232"/>
      <c r="BJ59" s="232"/>
      <c r="BK59" s="232"/>
      <c r="BL59" s="232"/>
      <c r="BM59" s="232"/>
      <c r="BN59" s="232"/>
      <c r="BO59" s="232"/>
      <c r="BP59" s="232"/>
      <c r="BQ59" s="232"/>
      <c r="BR59" s="232"/>
      <c r="BS59" s="232"/>
      <c r="BT59" s="232"/>
      <c r="BU59" s="232"/>
      <c r="BV59" s="232"/>
      <c r="BW59" s="232"/>
      <c r="BX59" s="232"/>
      <c r="BY59" s="232"/>
      <c r="BZ59" s="232"/>
      <c r="CA59" s="232"/>
      <c r="CB59" s="232"/>
      <c r="CC59" s="232"/>
      <c r="CD59" s="232"/>
      <c r="CE59" s="232"/>
      <c r="CF59" s="232"/>
      <c r="CG59" s="232"/>
      <c r="CH59" s="232"/>
      <c r="CI59" s="232"/>
      <c r="CJ59" s="232"/>
      <c r="CK59" s="232"/>
      <c r="CL59" s="232"/>
      <c r="CM59" s="232"/>
      <c r="CN59" s="232"/>
      <c r="CO59" s="232"/>
      <c r="CP59" s="232"/>
      <c r="CQ59" s="232"/>
      <c r="CR59" s="232"/>
      <c r="CS59" s="232"/>
      <c r="CT59" s="232"/>
      <c r="CU59" s="232"/>
      <c r="CV59" s="232"/>
      <c r="CW59" s="232"/>
      <c r="CX59" s="232"/>
      <c r="CY59" s="232"/>
      <c r="CZ59" s="232"/>
      <c r="DA59" s="232"/>
      <c r="DB59" s="232"/>
      <c r="DC59" s="232"/>
      <c r="DD59" s="232"/>
      <c r="DE59" s="232"/>
      <c r="DF59" s="232"/>
      <c r="DG59" s="232"/>
      <c r="DH59" s="232"/>
      <c r="DI59" s="232"/>
      <c r="DJ59" s="232"/>
      <c r="DK59" s="232"/>
      <c r="DL59" s="232"/>
      <c r="DM59" s="232"/>
      <c r="DN59" s="232"/>
      <c r="DO59" s="232"/>
      <c r="DP59" s="232"/>
      <c r="DQ59" s="232"/>
      <c r="DR59" s="232"/>
      <c r="DS59" s="232"/>
      <c r="DT59" s="232"/>
      <c r="DU59" s="232"/>
      <c r="DV59" s="232"/>
      <c r="DW59" s="232"/>
      <c r="DX59" s="232"/>
      <c r="DY59" s="232"/>
      <c r="DZ59" s="232"/>
      <c r="EA59" s="232"/>
      <c r="EB59" s="232"/>
      <c r="EC59" s="232"/>
      <c r="ED59" s="232"/>
      <c r="EE59" s="232"/>
      <c r="EF59" s="232"/>
      <c r="EG59" s="232"/>
      <c r="EH59" s="232"/>
      <c r="EI59" s="232"/>
      <c r="EJ59" s="232"/>
      <c r="EK59" s="232"/>
      <c r="EL59" s="232"/>
      <c r="EM59" s="232"/>
      <c r="EN59" s="232"/>
      <c r="EO59" s="232"/>
      <c r="EP59" s="232"/>
      <c r="EQ59" s="232"/>
      <c r="ER59" s="232"/>
      <c r="ES59" s="232"/>
      <c r="ET59" s="232"/>
      <c r="EU59" s="232"/>
      <c r="EV59" s="232"/>
      <c r="EW59" s="232"/>
      <c r="EX59" s="232"/>
      <c r="EY59" s="232"/>
      <c r="EZ59" s="232"/>
      <c r="FA59" s="232"/>
      <c r="FB59" s="232"/>
      <c r="FC59" s="232"/>
      <c r="FD59" s="232"/>
      <c r="FE59" s="232"/>
      <c r="FF59" s="232"/>
      <c r="FG59" s="232"/>
      <c r="FH59" s="232"/>
      <c r="FI59" s="232"/>
      <c r="FJ59" s="232"/>
      <c r="FK59" s="232"/>
      <c r="FL59" s="232"/>
      <c r="FM59" s="232"/>
      <c r="FN59" s="232"/>
      <c r="FO59" s="232"/>
      <c r="FP59" s="232"/>
      <c r="FQ59" s="232"/>
      <c r="FR59" s="232"/>
      <c r="FS59" s="232"/>
      <c r="FT59" s="232"/>
      <c r="FU59" s="232"/>
      <c r="FV59" s="232"/>
      <c r="FW59" s="232"/>
      <c r="FX59" s="232"/>
      <c r="FY59" s="232"/>
      <c r="FZ59" s="232"/>
      <c r="GA59" s="232"/>
      <c r="GB59" s="232"/>
      <c r="GC59" s="232"/>
      <c r="GD59" s="232"/>
      <c r="GE59" s="232"/>
      <c r="GF59" s="232"/>
      <c r="GG59" s="232"/>
      <c r="GH59" s="232"/>
      <c r="GI59" s="232"/>
      <c r="GJ59" s="232"/>
      <c r="GK59" s="232"/>
      <c r="GL59" s="232"/>
      <c r="GM59" s="232"/>
      <c r="GN59" s="232"/>
      <c r="GO59" s="232"/>
      <c r="GP59" s="232"/>
      <c r="GQ59" s="232"/>
      <c r="GR59" s="232"/>
      <c r="GS59" s="232"/>
      <c r="GT59" s="232"/>
      <c r="GU59" s="232"/>
      <c r="GV59" s="232"/>
      <c r="GW59" s="232"/>
      <c r="GX59" s="232"/>
      <c r="GY59" s="232"/>
      <c r="GZ59" s="232"/>
      <c r="HA59" s="232"/>
      <c r="HB59" s="232"/>
      <c r="HC59" s="232"/>
      <c r="HD59" s="232"/>
      <c r="HE59" s="232"/>
      <c r="HF59" s="232"/>
      <c r="HG59" s="232"/>
      <c r="HH59" s="232"/>
      <c r="HI59" s="232"/>
      <c r="HJ59" s="232"/>
      <c r="HK59" s="232"/>
      <c r="HL59" s="232"/>
      <c r="HM59" s="232"/>
      <c r="HN59" s="232"/>
      <c r="HO59" s="232"/>
      <c r="HP59" s="232"/>
      <c r="HQ59" s="232"/>
      <c r="HR59" s="232"/>
      <c r="HS59" s="232"/>
      <c r="HT59" s="232"/>
      <c r="HU59" s="232"/>
      <c r="HV59" s="232"/>
      <c r="HW59" s="232"/>
      <c r="HX59" s="232"/>
      <c r="HY59" s="232"/>
      <c r="HZ59" s="232"/>
      <c r="IA59" s="232"/>
      <c r="IB59" s="232"/>
      <c r="IC59" s="232"/>
    </row>
    <row r="60" spans="1:237" ht="14.1" customHeight="1">
      <c r="A60" s="232"/>
      <c r="B60" s="248"/>
      <c r="C60" s="248"/>
      <c r="D60" s="248"/>
      <c r="E60" s="248"/>
      <c r="F60" s="248"/>
      <c r="G60" s="248"/>
      <c r="H60" s="228"/>
      <c r="I60" s="228"/>
      <c r="K60" s="265"/>
      <c r="L60" s="899"/>
      <c r="M60" s="899"/>
      <c r="N60" s="899"/>
      <c r="O60" s="899"/>
      <c r="Q60" s="909"/>
      <c r="R60" s="899"/>
      <c r="S60" s="899"/>
      <c r="T60" s="899"/>
      <c r="U60" s="899"/>
      <c r="V60" s="899"/>
      <c r="W60" s="899"/>
      <c r="X60" s="899"/>
      <c r="Y60" s="899"/>
      <c r="Z60" s="899"/>
      <c r="AA60" s="899"/>
      <c r="AB60" s="899"/>
      <c r="AC60" s="899"/>
      <c r="AD60" s="899"/>
      <c r="AE60" s="899"/>
      <c r="AF60" s="899"/>
      <c r="AG60" s="899"/>
      <c r="AH60" s="899"/>
      <c r="AI60" s="899"/>
      <c r="AJ60" s="899"/>
      <c r="AK60" s="899"/>
      <c r="AL60" s="899"/>
      <c r="AM60" s="232"/>
      <c r="AN60" s="232"/>
      <c r="AO60" s="232"/>
      <c r="AP60" s="232"/>
      <c r="AQ60" s="232"/>
      <c r="AR60" s="232"/>
      <c r="AS60" s="232"/>
      <c r="AT60" s="232"/>
      <c r="AU60" s="232"/>
      <c r="AV60" s="232"/>
      <c r="AW60" s="232"/>
      <c r="AX60" s="232"/>
      <c r="AY60" s="232"/>
      <c r="AZ60" s="232"/>
      <c r="BA60" s="232"/>
      <c r="BB60" s="232"/>
      <c r="BC60" s="232"/>
      <c r="BD60" s="232"/>
      <c r="BE60" s="232"/>
      <c r="BF60" s="232"/>
      <c r="BG60" s="232"/>
      <c r="BH60" s="232"/>
      <c r="BI60" s="232"/>
      <c r="BJ60" s="232"/>
      <c r="BK60" s="232"/>
      <c r="BL60" s="232"/>
      <c r="BM60" s="232"/>
      <c r="BN60" s="232"/>
      <c r="BO60" s="232"/>
      <c r="BP60" s="232"/>
      <c r="BQ60" s="232"/>
      <c r="BR60" s="232"/>
      <c r="BS60" s="232"/>
      <c r="BT60" s="232"/>
      <c r="BU60" s="232"/>
      <c r="BV60" s="232"/>
      <c r="BW60" s="232"/>
      <c r="BX60" s="232"/>
      <c r="BY60" s="232"/>
      <c r="BZ60" s="232"/>
      <c r="CA60" s="232"/>
      <c r="CB60" s="232"/>
      <c r="CC60" s="232"/>
      <c r="CD60" s="232"/>
      <c r="CE60" s="232"/>
      <c r="CF60" s="232"/>
      <c r="CG60" s="232"/>
      <c r="CH60" s="232"/>
      <c r="CI60" s="232"/>
      <c r="CJ60" s="232"/>
      <c r="CK60" s="232"/>
      <c r="CL60" s="232"/>
      <c r="CM60" s="232"/>
      <c r="CN60" s="232"/>
      <c r="CO60" s="232"/>
      <c r="CP60" s="232"/>
      <c r="CQ60" s="232"/>
      <c r="CR60" s="232"/>
      <c r="CS60" s="232"/>
      <c r="CT60" s="232"/>
      <c r="CU60" s="232"/>
      <c r="CV60" s="232"/>
      <c r="CW60" s="232"/>
      <c r="CX60" s="232"/>
      <c r="CY60" s="232"/>
      <c r="CZ60" s="232"/>
      <c r="DA60" s="232"/>
      <c r="DB60" s="232"/>
      <c r="DC60" s="232"/>
      <c r="DD60" s="232"/>
      <c r="DE60" s="232"/>
      <c r="DF60" s="232"/>
      <c r="DG60" s="232"/>
      <c r="DH60" s="232"/>
      <c r="DI60" s="232"/>
      <c r="DJ60" s="232"/>
      <c r="DK60" s="232"/>
      <c r="DL60" s="232"/>
      <c r="DM60" s="232"/>
      <c r="DN60" s="232"/>
      <c r="DO60" s="232"/>
      <c r="DP60" s="232"/>
      <c r="DQ60" s="232"/>
      <c r="DR60" s="232"/>
      <c r="DS60" s="232"/>
      <c r="DT60" s="232"/>
      <c r="DU60" s="232"/>
      <c r="DV60" s="232"/>
      <c r="DW60" s="232"/>
      <c r="DX60" s="232"/>
      <c r="DY60" s="232"/>
      <c r="DZ60" s="232"/>
      <c r="EA60" s="232"/>
      <c r="EB60" s="232"/>
      <c r="EC60" s="232"/>
      <c r="ED60" s="232"/>
      <c r="EE60" s="232"/>
      <c r="EF60" s="232"/>
      <c r="EG60" s="232"/>
      <c r="EH60" s="232"/>
      <c r="EI60" s="232"/>
      <c r="EJ60" s="232"/>
      <c r="EK60" s="232"/>
      <c r="EL60" s="232"/>
      <c r="EM60" s="232"/>
      <c r="EN60" s="232"/>
      <c r="EO60" s="232"/>
      <c r="EP60" s="232"/>
      <c r="EQ60" s="232"/>
      <c r="ER60" s="232"/>
      <c r="ES60" s="232"/>
      <c r="ET60" s="232"/>
      <c r="EU60" s="232"/>
      <c r="EV60" s="232"/>
      <c r="EW60" s="232"/>
      <c r="EX60" s="232"/>
      <c r="EY60" s="232"/>
      <c r="EZ60" s="232"/>
      <c r="FA60" s="232"/>
      <c r="FB60" s="232"/>
      <c r="FC60" s="232"/>
      <c r="FD60" s="232"/>
      <c r="FE60" s="232"/>
      <c r="FF60" s="232"/>
      <c r="FG60" s="232"/>
      <c r="FH60" s="232"/>
      <c r="FI60" s="232"/>
      <c r="FJ60" s="232"/>
      <c r="FK60" s="232"/>
      <c r="FL60" s="232"/>
      <c r="FM60" s="232"/>
      <c r="FN60" s="232"/>
      <c r="FO60" s="232"/>
      <c r="FP60" s="232"/>
      <c r="FQ60" s="232"/>
      <c r="FR60" s="232"/>
      <c r="FS60" s="232"/>
      <c r="FT60" s="232"/>
      <c r="FU60" s="232"/>
      <c r="FV60" s="232"/>
      <c r="FW60" s="232"/>
      <c r="FX60" s="232"/>
      <c r="FY60" s="232"/>
      <c r="FZ60" s="232"/>
      <c r="GA60" s="232"/>
      <c r="GB60" s="232"/>
      <c r="GC60" s="232"/>
      <c r="GD60" s="232"/>
      <c r="GE60" s="232"/>
      <c r="GF60" s="232"/>
      <c r="GG60" s="232"/>
      <c r="GH60" s="232"/>
      <c r="GI60" s="232"/>
      <c r="GJ60" s="232"/>
      <c r="GK60" s="232"/>
      <c r="GL60" s="232"/>
      <c r="GM60" s="232"/>
      <c r="GN60" s="232"/>
      <c r="GO60" s="232"/>
      <c r="GP60" s="232"/>
      <c r="GQ60" s="232"/>
      <c r="GR60" s="232"/>
      <c r="GS60" s="232"/>
      <c r="GT60" s="232"/>
      <c r="GU60" s="232"/>
      <c r="GV60" s="232"/>
      <c r="GW60" s="232"/>
      <c r="GX60" s="232"/>
      <c r="GY60" s="232"/>
      <c r="GZ60" s="232"/>
      <c r="HA60" s="232"/>
      <c r="HB60" s="232"/>
      <c r="HC60" s="232"/>
      <c r="HD60" s="232"/>
      <c r="HE60" s="232"/>
      <c r="HF60" s="232"/>
      <c r="HG60" s="232"/>
      <c r="HH60" s="232"/>
      <c r="HI60" s="232"/>
      <c r="HJ60" s="232"/>
      <c r="HK60" s="232"/>
      <c r="HL60" s="232"/>
      <c r="HM60" s="232"/>
      <c r="HN60" s="232"/>
      <c r="HO60" s="232"/>
      <c r="HP60" s="232"/>
      <c r="HQ60" s="232"/>
      <c r="HR60" s="232"/>
      <c r="HS60" s="232"/>
      <c r="HT60" s="232"/>
      <c r="HU60" s="232"/>
      <c r="HV60" s="232"/>
      <c r="HW60" s="232"/>
      <c r="HX60" s="232"/>
      <c r="HY60" s="232"/>
      <c r="HZ60" s="232"/>
      <c r="IA60" s="232"/>
      <c r="IB60" s="232"/>
      <c r="IC60" s="232"/>
    </row>
    <row r="61" spans="1:237" ht="14.1" customHeight="1">
      <c r="A61" s="232"/>
      <c r="B61" s="248"/>
      <c r="C61" s="248"/>
      <c r="D61" s="248"/>
      <c r="E61" s="248"/>
      <c r="F61" s="248"/>
      <c r="G61" s="248"/>
      <c r="H61" s="228"/>
      <c r="I61" s="228"/>
      <c r="K61" s="265"/>
      <c r="L61" s="899"/>
      <c r="M61" s="899"/>
      <c r="N61" s="899"/>
      <c r="O61" s="899"/>
      <c r="Q61" s="909"/>
      <c r="R61" s="899"/>
      <c r="S61" s="899"/>
      <c r="T61" s="899"/>
      <c r="U61" s="899"/>
      <c r="V61" s="899"/>
      <c r="W61" s="899"/>
      <c r="X61" s="899"/>
      <c r="Y61" s="899"/>
      <c r="Z61" s="899"/>
      <c r="AA61" s="899"/>
      <c r="AB61" s="899"/>
      <c r="AC61" s="899"/>
      <c r="AD61" s="899"/>
      <c r="AE61" s="899"/>
      <c r="AF61" s="899"/>
      <c r="AG61" s="899"/>
      <c r="AH61" s="899"/>
      <c r="AI61" s="899"/>
      <c r="AJ61" s="899"/>
      <c r="AK61" s="899"/>
      <c r="AL61" s="899"/>
      <c r="AM61" s="232"/>
      <c r="AN61" s="232"/>
      <c r="AO61" s="232"/>
      <c r="AP61" s="232"/>
      <c r="AQ61" s="232"/>
      <c r="AR61" s="232"/>
      <c r="AS61" s="232"/>
      <c r="AT61" s="232"/>
      <c r="AU61" s="232"/>
      <c r="AV61" s="232"/>
      <c r="AW61" s="232"/>
      <c r="AX61" s="232"/>
      <c r="AY61" s="232"/>
      <c r="AZ61" s="232"/>
      <c r="BA61" s="232"/>
      <c r="BB61" s="232"/>
      <c r="BC61" s="232"/>
      <c r="BD61" s="232"/>
      <c r="BE61" s="232"/>
      <c r="BF61" s="232"/>
      <c r="BG61" s="232"/>
      <c r="BH61" s="232"/>
      <c r="BI61" s="232"/>
      <c r="BJ61" s="232"/>
      <c r="BK61" s="232"/>
      <c r="BL61" s="232"/>
      <c r="BM61" s="232"/>
      <c r="BN61" s="232"/>
      <c r="BO61" s="232"/>
      <c r="BP61" s="232"/>
      <c r="BQ61" s="232"/>
      <c r="BR61" s="232"/>
      <c r="BS61" s="232"/>
      <c r="BT61" s="232"/>
      <c r="BU61" s="232"/>
      <c r="BV61" s="232"/>
      <c r="BW61" s="232"/>
      <c r="BX61" s="232"/>
      <c r="BY61" s="232"/>
      <c r="BZ61" s="232"/>
      <c r="CA61" s="232"/>
      <c r="CB61" s="232"/>
      <c r="CC61" s="232"/>
      <c r="CD61" s="232"/>
      <c r="CE61" s="232"/>
      <c r="CF61" s="232"/>
      <c r="CG61" s="232"/>
      <c r="CH61" s="232"/>
      <c r="CI61" s="232"/>
      <c r="CJ61" s="232"/>
      <c r="CK61" s="232"/>
      <c r="CL61" s="232"/>
      <c r="CM61" s="232"/>
      <c r="CN61" s="232"/>
      <c r="CO61" s="232"/>
      <c r="CP61" s="232"/>
      <c r="CQ61" s="232"/>
      <c r="CR61" s="232"/>
      <c r="CS61" s="232"/>
      <c r="CT61" s="232"/>
      <c r="CU61" s="232"/>
      <c r="CV61" s="232"/>
      <c r="CW61" s="232"/>
      <c r="CX61" s="232"/>
      <c r="CY61" s="232"/>
      <c r="CZ61" s="232"/>
      <c r="DA61" s="232"/>
      <c r="DB61" s="232"/>
      <c r="DC61" s="232"/>
      <c r="DD61" s="232"/>
      <c r="DE61" s="232"/>
      <c r="DF61" s="232"/>
      <c r="DG61" s="232"/>
      <c r="DH61" s="232"/>
      <c r="DI61" s="232"/>
      <c r="DJ61" s="232"/>
      <c r="DK61" s="232"/>
      <c r="DL61" s="232"/>
      <c r="DM61" s="232"/>
      <c r="DN61" s="232"/>
      <c r="DO61" s="232"/>
      <c r="DP61" s="232"/>
      <c r="DQ61" s="232"/>
      <c r="DR61" s="232"/>
      <c r="DS61" s="232"/>
      <c r="DT61" s="232"/>
      <c r="DU61" s="232"/>
      <c r="DV61" s="232"/>
      <c r="DW61" s="232"/>
      <c r="DX61" s="232"/>
      <c r="DY61" s="232"/>
      <c r="DZ61" s="232"/>
      <c r="EA61" s="232"/>
      <c r="EB61" s="232"/>
      <c r="EC61" s="232"/>
      <c r="ED61" s="232"/>
      <c r="EE61" s="232"/>
      <c r="EF61" s="232"/>
      <c r="EG61" s="232"/>
      <c r="EH61" s="232"/>
      <c r="EI61" s="232"/>
      <c r="EJ61" s="232"/>
      <c r="EK61" s="232"/>
      <c r="EL61" s="232"/>
      <c r="EM61" s="232"/>
      <c r="EN61" s="232"/>
      <c r="EO61" s="232"/>
      <c r="EP61" s="232"/>
      <c r="EQ61" s="232"/>
      <c r="ER61" s="232"/>
      <c r="ES61" s="232"/>
      <c r="ET61" s="232"/>
      <c r="EU61" s="232"/>
      <c r="EV61" s="232"/>
      <c r="EW61" s="232"/>
      <c r="EX61" s="232"/>
      <c r="EY61" s="232"/>
      <c r="EZ61" s="232"/>
      <c r="FA61" s="232"/>
      <c r="FB61" s="232"/>
      <c r="FC61" s="232"/>
      <c r="FD61" s="232"/>
      <c r="FE61" s="232"/>
      <c r="FF61" s="232"/>
      <c r="FG61" s="232"/>
      <c r="FH61" s="232"/>
      <c r="FI61" s="232"/>
      <c r="FJ61" s="232"/>
      <c r="FK61" s="232"/>
      <c r="FL61" s="232"/>
      <c r="FM61" s="232"/>
      <c r="FN61" s="232"/>
      <c r="FO61" s="232"/>
      <c r="FP61" s="232"/>
      <c r="FQ61" s="232"/>
      <c r="FR61" s="232"/>
      <c r="FS61" s="232"/>
      <c r="FT61" s="232"/>
      <c r="FU61" s="232"/>
      <c r="FV61" s="232"/>
      <c r="FW61" s="232"/>
      <c r="FX61" s="232"/>
      <c r="FY61" s="232"/>
      <c r="FZ61" s="232"/>
      <c r="GA61" s="232"/>
      <c r="GB61" s="232"/>
      <c r="GC61" s="232"/>
      <c r="GD61" s="232"/>
      <c r="GE61" s="232"/>
      <c r="GF61" s="232"/>
      <c r="GG61" s="232"/>
      <c r="GH61" s="232"/>
      <c r="GI61" s="232"/>
      <c r="GJ61" s="232"/>
      <c r="GK61" s="232"/>
      <c r="GL61" s="232"/>
      <c r="GM61" s="232"/>
      <c r="GN61" s="232"/>
      <c r="GO61" s="232"/>
      <c r="GP61" s="232"/>
      <c r="GQ61" s="232"/>
      <c r="GR61" s="232"/>
      <c r="GS61" s="232"/>
      <c r="GT61" s="232"/>
      <c r="GU61" s="232"/>
      <c r="GV61" s="232"/>
      <c r="GW61" s="232"/>
      <c r="GX61" s="232"/>
      <c r="GY61" s="232"/>
      <c r="GZ61" s="232"/>
      <c r="HA61" s="232"/>
      <c r="HB61" s="232"/>
      <c r="HC61" s="232"/>
      <c r="HD61" s="232"/>
      <c r="HE61" s="232"/>
      <c r="HF61" s="232"/>
      <c r="HG61" s="232"/>
      <c r="HH61" s="232"/>
      <c r="HI61" s="232"/>
      <c r="HJ61" s="232"/>
      <c r="HK61" s="232"/>
      <c r="HL61" s="232"/>
      <c r="HM61" s="232"/>
      <c r="HN61" s="232"/>
      <c r="HO61" s="232"/>
      <c r="HP61" s="232"/>
      <c r="HQ61" s="232"/>
      <c r="HR61" s="232"/>
      <c r="HS61" s="232"/>
      <c r="HT61" s="232"/>
      <c r="HU61" s="232"/>
      <c r="HV61" s="232"/>
      <c r="HW61" s="232"/>
      <c r="HX61" s="232"/>
      <c r="HY61" s="232"/>
      <c r="HZ61" s="232"/>
      <c r="IA61" s="232"/>
      <c r="IB61" s="232"/>
      <c r="IC61" s="232"/>
    </row>
    <row r="62" spans="1:237" ht="14.1" customHeight="1">
      <c r="A62" s="232"/>
      <c r="B62" s="248"/>
      <c r="C62" s="248"/>
      <c r="D62" s="248"/>
      <c r="E62" s="248"/>
      <c r="F62" s="248"/>
      <c r="G62" s="248"/>
      <c r="H62" s="228"/>
      <c r="I62" s="228"/>
      <c r="K62" s="265"/>
      <c r="L62" s="899"/>
      <c r="M62" s="899"/>
      <c r="N62" s="899"/>
      <c r="O62" s="899"/>
      <c r="Q62" s="909"/>
      <c r="R62" s="899"/>
      <c r="S62" s="899"/>
      <c r="T62" s="899"/>
      <c r="U62" s="899"/>
      <c r="V62" s="899"/>
      <c r="W62" s="899"/>
      <c r="X62" s="899"/>
      <c r="Y62" s="899"/>
      <c r="Z62" s="899"/>
      <c r="AA62" s="899"/>
      <c r="AB62" s="899"/>
      <c r="AC62" s="899"/>
      <c r="AD62" s="899"/>
      <c r="AE62" s="899"/>
      <c r="AF62" s="899"/>
      <c r="AG62" s="899"/>
      <c r="AH62" s="899"/>
      <c r="AI62" s="899"/>
      <c r="AJ62" s="899"/>
      <c r="AK62" s="899"/>
      <c r="AL62" s="899"/>
      <c r="AM62" s="232"/>
      <c r="AN62" s="232"/>
      <c r="AO62" s="232"/>
      <c r="AP62" s="232"/>
      <c r="AQ62" s="232"/>
      <c r="AR62" s="232"/>
      <c r="AS62" s="232"/>
      <c r="AT62" s="232"/>
      <c r="AU62" s="232"/>
      <c r="AV62" s="232"/>
      <c r="AW62" s="232"/>
      <c r="AX62" s="232"/>
      <c r="AY62" s="232"/>
      <c r="AZ62" s="232"/>
      <c r="BA62" s="232"/>
      <c r="BB62" s="232"/>
      <c r="BC62" s="232"/>
      <c r="BD62" s="232"/>
      <c r="BE62" s="232"/>
      <c r="BF62" s="232"/>
      <c r="BG62" s="232"/>
      <c r="BH62" s="232"/>
      <c r="BI62" s="232"/>
      <c r="BJ62" s="232"/>
      <c r="BK62" s="232"/>
      <c r="BL62" s="232"/>
      <c r="BM62" s="232"/>
      <c r="BN62" s="232"/>
      <c r="BO62" s="232"/>
      <c r="BP62" s="232"/>
      <c r="BQ62" s="232"/>
      <c r="BR62" s="232"/>
      <c r="BS62" s="232"/>
      <c r="BT62" s="232"/>
      <c r="BU62" s="232"/>
      <c r="BV62" s="232"/>
      <c r="BW62" s="232"/>
      <c r="BX62" s="232"/>
      <c r="BY62" s="232"/>
      <c r="BZ62" s="232"/>
      <c r="CA62" s="232"/>
      <c r="CB62" s="232"/>
      <c r="CC62" s="232"/>
      <c r="CD62" s="232"/>
      <c r="CE62" s="232"/>
      <c r="CF62" s="232"/>
      <c r="CG62" s="232"/>
      <c r="CH62" s="232"/>
      <c r="CI62" s="232"/>
      <c r="CJ62" s="232"/>
      <c r="CK62" s="232"/>
      <c r="CL62" s="232"/>
      <c r="CM62" s="232"/>
      <c r="CN62" s="232"/>
      <c r="CO62" s="232"/>
      <c r="CP62" s="232"/>
      <c r="CQ62" s="232"/>
      <c r="CR62" s="232"/>
      <c r="CS62" s="232"/>
      <c r="CT62" s="232"/>
      <c r="CU62" s="232"/>
      <c r="CV62" s="232"/>
      <c r="CW62" s="232"/>
      <c r="CX62" s="232"/>
      <c r="CY62" s="232"/>
      <c r="CZ62" s="232"/>
      <c r="DA62" s="232"/>
      <c r="DB62" s="232"/>
      <c r="DC62" s="232"/>
      <c r="DD62" s="232"/>
      <c r="DE62" s="232"/>
      <c r="DF62" s="232"/>
      <c r="DG62" s="232"/>
      <c r="DH62" s="232"/>
      <c r="DI62" s="232"/>
      <c r="DJ62" s="232"/>
      <c r="DK62" s="232"/>
      <c r="DL62" s="232"/>
      <c r="DM62" s="232"/>
      <c r="DN62" s="232"/>
      <c r="DO62" s="232"/>
      <c r="DP62" s="232"/>
      <c r="DQ62" s="232"/>
      <c r="DR62" s="232"/>
      <c r="DS62" s="232"/>
      <c r="DT62" s="232"/>
      <c r="DU62" s="232"/>
      <c r="DV62" s="232"/>
      <c r="DW62" s="232"/>
      <c r="DX62" s="232"/>
      <c r="DY62" s="232"/>
      <c r="DZ62" s="232"/>
      <c r="EA62" s="232"/>
      <c r="EB62" s="232"/>
      <c r="EC62" s="232"/>
      <c r="ED62" s="232"/>
      <c r="EE62" s="232"/>
      <c r="EF62" s="232"/>
      <c r="EG62" s="232"/>
      <c r="EH62" s="232"/>
      <c r="EI62" s="232"/>
      <c r="EJ62" s="232"/>
      <c r="EK62" s="232"/>
      <c r="EL62" s="232"/>
      <c r="EM62" s="232"/>
      <c r="EN62" s="232"/>
      <c r="EO62" s="232"/>
      <c r="EP62" s="232"/>
      <c r="EQ62" s="232"/>
      <c r="ER62" s="232"/>
      <c r="ES62" s="232"/>
      <c r="ET62" s="232"/>
      <c r="EU62" s="232"/>
      <c r="EV62" s="232"/>
      <c r="EW62" s="232"/>
      <c r="EX62" s="232"/>
      <c r="EY62" s="232"/>
      <c r="EZ62" s="232"/>
      <c r="FA62" s="232"/>
      <c r="FB62" s="232"/>
      <c r="FC62" s="232"/>
      <c r="FD62" s="232"/>
      <c r="FE62" s="232"/>
      <c r="FF62" s="232"/>
      <c r="FG62" s="232"/>
      <c r="FH62" s="232"/>
      <c r="FI62" s="232"/>
      <c r="FJ62" s="232"/>
      <c r="FK62" s="232"/>
      <c r="FL62" s="232"/>
      <c r="FM62" s="232"/>
      <c r="FN62" s="232"/>
      <c r="FO62" s="232"/>
      <c r="FP62" s="232"/>
      <c r="FQ62" s="232"/>
      <c r="FR62" s="232"/>
      <c r="FS62" s="232"/>
      <c r="FT62" s="232"/>
      <c r="FU62" s="232"/>
      <c r="FV62" s="232"/>
      <c r="FW62" s="232"/>
      <c r="FX62" s="232"/>
      <c r="FY62" s="232"/>
      <c r="FZ62" s="232"/>
      <c r="GA62" s="232"/>
      <c r="GB62" s="232"/>
      <c r="GC62" s="232"/>
      <c r="GD62" s="232"/>
      <c r="GE62" s="232"/>
      <c r="GF62" s="232"/>
      <c r="GG62" s="232"/>
      <c r="GH62" s="232"/>
      <c r="GI62" s="232"/>
      <c r="GJ62" s="232"/>
      <c r="GK62" s="232"/>
      <c r="GL62" s="232"/>
      <c r="GM62" s="232"/>
      <c r="GN62" s="232"/>
      <c r="GO62" s="232"/>
      <c r="GP62" s="232"/>
      <c r="GQ62" s="232"/>
      <c r="GR62" s="232"/>
      <c r="GS62" s="232"/>
      <c r="GT62" s="232"/>
      <c r="GU62" s="232"/>
      <c r="GV62" s="232"/>
      <c r="GW62" s="232"/>
      <c r="GX62" s="232"/>
      <c r="GY62" s="232"/>
      <c r="GZ62" s="232"/>
      <c r="HA62" s="232"/>
      <c r="HB62" s="232"/>
      <c r="HC62" s="232"/>
      <c r="HD62" s="232"/>
      <c r="HE62" s="232"/>
      <c r="HF62" s="232"/>
      <c r="HG62" s="232"/>
      <c r="HH62" s="232"/>
      <c r="HI62" s="232"/>
      <c r="HJ62" s="232"/>
      <c r="HK62" s="232"/>
      <c r="HL62" s="232"/>
      <c r="HM62" s="232"/>
      <c r="HN62" s="232"/>
      <c r="HO62" s="232"/>
      <c r="HP62" s="232"/>
      <c r="HQ62" s="232"/>
      <c r="HR62" s="232"/>
      <c r="HS62" s="232"/>
      <c r="HT62" s="232"/>
      <c r="HU62" s="232"/>
      <c r="HV62" s="232"/>
      <c r="HW62" s="232"/>
      <c r="HX62" s="232"/>
      <c r="HY62" s="232"/>
      <c r="HZ62" s="232"/>
      <c r="IA62" s="232"/>
      <c r="IB62" s="232"/>
      <c r="IC62" s="232"/>
    </row>
    <row r="63" spans="1:237" ht="14.1" customHeight="1">
      <c r="A63" s="232"/>
      <c r="B63" s="248"/>
      <c r="C63" s="248"/>
      <c r="D63" s="248"/>
      <c r="E63" s="248"/>
      <c r="F63" s="248"/>
      <c r="G63" s="248"/>
      <c r="H63" s="228"/>
      <c r="I63" s="228"/>
      <c r="K63" s="265"/>
      <c r="L63" s="899"/>
      <c r="M63" s="899"/>
      <c r="N63" s="899"/>
      <c r="O63" s="899"/>
      <c r="Q63" s="909"/>
      <c r="R63" s="899"/>
      <c r="S63" s="899"/>
      <c r="T63" s="899"/>
      <c r="U63" s="899"/>
      <c r="V63" s="899"/>
      <c r="W63" s="899"/>
      <c r="X63" s="899"/>
      <c r="Y63" s="899"/>
      <c r="Z63" s="899"/>
      <c r="AA63" s="899"/>
      <c r="AB63" s="899"/>
      <c r="AC63" s="899"/>
      <c r="AD63" s="899"/>
      <c r="AE63" s="899"/>
      <c r="AF63" s="899"/>
      <c r="AG63" s="899"/>
      <c r="AH63" s="899"/>
      <c r="AI63" s="899"/>
      <c r="AJ63" s="899"/>
      <c r="AK63" s="899"/>
      <c r="AL63" s="899"/>
      <c r="AM63" s="232"/>
      <c r="AN63" s="232"/>
      <c r="AO63" s="232"/>
      <c r="AP63" s="232"/>
      <c r="AQ63" s="232"/>
      <c r="AR63" s="232"/>
      <c r="AS63" s="232"/>
      <c r="AT63" s="232"/>
      <c r="AU63" s="232"/>
      <c r="AV63" s="232"/>
      <c r="AW63" s="232"/>
      <c r="AX63" s="232"/>
      <c r="AY63" s="232"/>
      <c r="AZ63" s="232"/>
      <c r="BA63" s="232"/>
      <c r="BB63" s="232"/>
      <c r="BC63" s="232"/>
      <c r="BD63" s="232"/>
      <c r="BE63" s="232"/>
      <c r="BF63" s="232"/>
      <c r="BG63" s="232"/>
      <c r="BH63" s="232"/>
      <c r="BI63" s="232"/>
      <c r="BJ63" s="232"/>
      <c r="BK63" s="232"/>
      <c r="BL63" s="232"/>
      <c r="BM63" s="232"/>
      <c r="BN63" s="232"/>
      <c r="BO63" s="232"/>
      <c r="BP63" s="232"/>
      <c r="BQ63" s="232"/>
      <c r="BR63" s="232"/>
      <c r="BS63" s="232"/>
      <c r="BT63" s="232"/>
      <c r="BU63" s="232"/>
      <c r="BV63" s="232"/>
      <c r="BW63" s="232"/>
      <c r="BX63" s="232"/>
      <c r="BY63" s="232"/>
      <c r="BZ63" s="232"/>
      <c r="CA63" s="232"/>
      <c r="CB63" s="232"/>
      <c r="CC63" s="232"/>
      <c r="CD63" s="232"/>
      <c r="CE63" s="232"/>
      <c r="CF63" s="232"/>
      <c r="CG63" s="232"/>
      <c r="CH63" s="232"/>
      <c r="CI63" s="232"/>
      <c r="CJ63" s="232"/>
      <c r="CK63" s="232"/>
      <c r="CL63" s="232"/>
      <c r="CM63" s="232"/>
      <c r="CN63" s="232"/>
      <c r="CO63" s="232"/>
      <c r="CP63" s="232"/>
      <c r="CQ63" s="232"/>
      <c r="CR63" s="232"/>
      <c r="CS63" s="232"/>
      <c r="CT63" s="232"/>
      <c r="CU63" s="232"/>
      <c r="CV63" s="232"/>
      <c r="CW63" s="232"/>
      <c r="CX63" s="232"/>
      <c r="CY63" s="232"/>
      <c r="CZ63" s="232"/>
      <c r="DA63" s="232"/>
      <c r="DB63" s="232"/>
      <c r="DC63" s="232"/>
      <c r="DD63" s="232"/>
      <c r="DE63" s="232"/>
      <c r="DF63" s="232"/>
      <c r="DG63" s="232"/>
      <c r="DH63" s="232"/>
      <c r="DI63" s="232"/>
      <c r="DJ63" s="232"/>
      <c r="DK63" s="232"/>
      <c r="DL63" s="232"/>
      <c r="DM63" s="232"/>
      <c r="DN63" s="232"/>
      <c r="DO63" s="232"/>
      <c r="DP63" s="232"/>
      <c r="DQ63" s="232"/>
      <c r="DR63" s="232"/>
      <c r="DS63" s="232"/>
      <c r="DT63" s="232"/>
      <c r="DU63" s="232"/>
      <c r="DV63" s="232"/>
      <c r="DW63" s="232"/>
      <c r="DX63" s="232"/>
      <c r="DY63" s="232"/>
      <c r="DZ63" s="232"/>
      <c r="EA63" s="232"/>
      <c r="EB63" s="232"/>
      <c r="EC63" s="232"/>
      <c r="ED63" s="232"/>
      <c r="EE63" s="232"/>
      <c r="EF63" s="232"/>
      <c r="EG63" s="232"/>
      <c r="EH63" s="232"/>
      <c r="EI63" s="232"/>
      <c r="EJ63" s="232"/>
      <c r="EK63" s="232"/>
      <c r="EL63" s="232"/>
      <c r="EM63" s="232"/>
      <c r="EN63" s="232"/>
      <c r="EO63" s="232"/>
      <c r="EP63" s="232"/>
      <c r="EQ63" s="232"/>
      <c r="ER63" s="232"/>
      <c r="ES63" s="232"/>
      <c r="ET63" s="232"/>
      <c r="EU63" s="232"/>
      <c r="EV63" s="232"/>
      <c r="EW63" s="232"/>
      <c r="EX63" s="232"/>
      <c r="EY63" s="232"/>
      <c r="EZ63" s="232"/>
      <c r="FA63" s="232"/>
      <c r="FB63" s="232"/>
      <c r="FC63" s="232"/>
      <c r="FD63" s="232"/>
      <c r="FE63" s="232"/>
      <c r="FF63" s="232"/>
      <c r="FG63" s="232"/>
      <c r="FH63" s="232"/>
      <c r="FI63" s="232"/>
      <c r="FJ63" s="232"/>
      <c r="FK63" s="232"/>
      <c r="FL63" s="232"/>
      <c r="FM63" s="232"/>
      <c r="FN63" s="232"/>
      <c r="FO63" s="232"/>
      <c r="FP63" s="232"/>
      <c r="FQ63" s="232"/>
      <c r="FR63" s="232"/>
      <c r="FS63" s="232"/>
      <c r="FT63" s="232"/>
      <c r="FU63" s="232"/>
      <c r="FV63" s="232"/>
      <c r="FW63" s="232"/>
      <c r="FX63" s="232"/>
      <c r="FY63" s="232"/>
      <c r="FZ63" s="232"/>
      <c r="GA63" s="232"/>
      <c r="GB63" s="232"/>
      <c r="GC63" s="232"/>
      <c r="GD63" s="232"/>
      <c r="GE63" s="232"/>
      <c r="GF63" s="232"/>
      <c r="GG63" s="232"/>
      <c r="GH63" s="232"/>
      <c r="GI63" s="232"/>
      <c r="GJ63" s="232"/>
      <c r="GK63" s="232"/>
      <c r="GL63" s="232"/>
      <c r="GM63" s="232"/>
      <c r="GN63" s="232"/>
      <c r="GO63" s="232"/>
      <c r="GP63" s="232"/>
      <c r="GQ63" s="232"/>
      <c r="GR63" s="232"/>
      <c r="GS63" s="232"/>
      <c r="GT63" s="232"/>
      <c r="GU63" s="232"/>
      <c r="GV63" s="232"/>
      <c r="GW63" s="232"/>
      <c r="GX63" s="232"/>
      <c r="GY63" s="232"/>
      <c r="GZ63" s="232"/>
      <c r="HA63" s="232"/>
      <c r="HB63" s="232"/>
      <c r="HC63" s="232"/>
      <c r="HD63" s="232"/>
      <c r="HE63" s="232"/>
      <c r="HF63" s="232"/>
      <c r="HG63" s="232"/>
      <c r="HH63" s="232"/>
      <c r="HI63" s="232"/>
      <c r="HJ63" s="232"/>
      <c r="HK63" s="232"/>
      <c r="HL63" s="232"/>
      <c r="HM63" s="232"/>
      <c r="HN63" s="232"/>
      <c r="HO63" s="232"/>
      <c r="HP63" s="232"/>
      <c r="HQ63" s="232"/>
      <c r="HR63" s="232"/>
      <c r="HS63" s="232"/>
      <c r="HT63" s="232"/>
      <c r="HU63" s="232"/>
      <c r="HV63" s="232"/>
      <c r="HW63" s="232"/>
      <c r="HX63" s="232"/>
      <c r="HY63" s="232"/>
      <c r="HZ63" s="232"/>
      <c r="IA63" s="232"/>
      <c r="IB63" s="232"/>
      <c r="IC63" s="232"/>
    </row>
    <row r="64" spans="1:237" ht="14.1" customHeight="1">
      <c r="A64" s="232"/>
      <c r="B64" s="248"/>
      <c r="C64" s="248"/>
      <c r="D64" s="248"/>
      <c r="E64" s="248"/>
      <c r="F64" s="248"/>
      <c r="G64" s="248"/>
      <c r="H64" s="228"/>
      <c r="I64" s="228"/>
      <c r="K64" s="265"/>
      <c r="L64" s="899"/>
      <c r="M64" s="899"/>
      <c r="N64" s="899"/>
      <c r="O64" s="899"/>
      <c r="Q64" s="909"/>
      <c r="R64" s="899"/>
      <c r="S64" s="899"/>
      <c r="T64" s="899"/>
      <c r="U64" s="899"/>
      <c r="V64" s="899"/>
      <c r="W64" s="899"/>
      <c r="X64" s="899"/>
      <c r="Y64" s="899"/>
      <c r="Z64" s="899"/>
      <c r="AA64" s="899"/>
      <c r="AB64" s="899"/>
      <c r="AC64" s="899"/>
      <c r="AD64" s="899"/>
      <c r="AE64" s="899"/>
      <c r="AF64" s="899"/>
      <c r="AG64" s="899"/>
      <c r="AH64" s="899"/>
      <c r="AI64" s="899"/>
      <c r="AJ64" s="899"/>
      <c r="AK64" s="899"/>
      <c r="AL64" s="899"/>
      <c r="AM64" s="232"/>
      <c r="AN64" s="232"/>
      <c r="AO64" s="232"/>
      <c r="AP64" s="232"/>
      <c r="AQ64" s="232"/>
      <c r="AR64" s="232"/>
      <c r="AS64" s="232"/>
      <c r="AT64" s="232"/>
      <c r="AU64" s="232"/>
      <c r="AV64" s="232"/>
      <c r="AW64" s="232"/>
      <c r="AX64" s="232"/>
      <c r="AY64" s="232"/>
      <c r="AZ64" s="232"/>
      <c r="BA64" s="232"/>
      <c r="BB64" s="232"/>
      <c r="BC64" s="232"/>
      <c r="BD64" s="232"/>
      <c r="BE64" s="232"/>
      <c r="BF64" s="232"/>
      <c r="BG64" s="232"/>
      <c r="BH64" s="232"/>
      <c r="BI64" s="232"/>
      <c r="BJ64" s="232"/>
      <c r="BK64" s="232"/>
      <c r="BL64" s="232"/>
      <c r="BM64" s="232"/>
      <c r="BN64" s="232"/>
      <c r="BO64" s="232"/>
      <c r="BP64" s="232"/>
      <c r="BQ64" s="232"/>
      <c r="BR64" s="232"/>
      <c r="BS64" s="232"/>
      <c r="BT64" s="232"/>
      <c r="BU64" s="232"/>
      <c r="BV64" s="232"/>
      <c r="BW64" s="232"/>
      <c r="BX64" s="232"/>
      <c r="BY64" s="232"/>
      <c r="BZ64" s="232"/>
      <c r="CA64" s="232"/>
      <c r="CB64" s="232"/>
      <c r="CC64" s="232"/>
      <c r="CD64" s="232"/>
      <c r="CE64" s="232"/>
      <c r="CF64" s="232"/>
      <c r="CG64" s="232"/>
      <c r="CH64" s="232"/>
      <c r="CI64" s="232"/>
      <c r="CJ64" s="232"/>
      <c r="CK64" s="232"/>
      <c r="CL64" s="232"/>
      <c r="CM64" s="232"/>
      <c r="CN64" s="232"/>
      <c r="CO64" s="232"/>
      <c r="CP64" s="232"/>
      <c r="CQ64" s="232"/>
      <c r="CR64" s="232"/>
      <c r="CS64" s="232"/>
      <c r="CT64" s="232"/>
      <c r="CU64" s="232"/>
      <c r="CV64" s="232"/>
      <c r="CW64" s="232"/>
      <c r="CX64" s="232"/>
      <c r="CY64" s="232"/>
      <c r="CZ64" s="232"/>
      <c r="DA64" s="232"/>
      <c r="DB64" s="232"/>
      <c r="DC64" s="232"/>
      <c r="DD64" s="232"/>
      <c r="DE64" s="232"/>
      <c r="DF64" s="232"/>
      <c r="DG64" s="232"/>
      <c r="DH64" s="232"/>
      <c r="DI64" s="232"/>
      <c r="DJ64" s="232"/>
      <c r="DK64" s="232"/>
      <c r="DL64" s="232"/>
      <c r="DM64" s="232"/>
      <c r="DN64" s="232"/>
      <c r="DO64" s="232"/>
      <c r="DP64" s="232"/>
      <c r="DQ64" s="232"/>
      <c r="DR64" s="232"/>
      <c r="DS64" s="232"/>
      <c r="DT64" s="232"/>
      <c r="DU64" s="232"/>
      <c r="DV64" s="232"/>
      <c r="DW64" s="232"/>
      <c r="DX64" s="232"/>
      <c r="DY64" s="232"/>
      <c r="DZ64" s="232"/>
      <c r="EA64" s="232"/>
      <c r="EB64" s="232"/>
      <c r="EC64" s="232"/>
      <c r="ED64" s="232"/>
      <c r="EE64" s="232"/>
      <c r="EF64" s="232"/>
      <c r="EG64" s="232"/>
      <c r="EH64" s="232"/>
      <c r="EI64" s="232"/>
      <c r="EJ64" s="232"/>
      <c r="EK64" s="232"/>
      <c r="EL64" s="232"/>
      <c r="EM64" s="232"/>
      <c r="EN64" s="232"/>
      <c r="EO64" s="232"/>
      <c r="EP64" s="232"/>
      <c r="EQ64" s="232"/>
      <c r="ER64" s="232"/>
      <c r="ES64" s="232"/>
      <c r="ET64" s="232"/>
      <c r="EU64" s="232"/>
      <c r="EV64" s="232"/>
      <c r="EW64" s="232"/>
      <c r="EX64" s="232"/>
      <c r="EY64" s="232"/>
      <c r="EZ64" s="232"/>
      <c r="FA64" s="232"/>
      <c r="FB64" s="232"/>
      <c r="FC64" s="232"/>
      <c r="FD64" s="232"/>
      <c r="FE64" s="232"/>
      <c r="FF64" s="232"/>
      <c r="FG64" s="232"/>
      <c r="FH64" s="232"/>
      <c r="FI64" s="232"/>
      <c r="FJ64" s="232"/>
      <c r="FK64" s="232"/>
      <c r="FL64" s="232"/>
      <c r="FM64" s="232"/>
      <c r="FN64" s="232"/>
      <c r="FO64" s="232"/>
      <c r="FP64" s="232"/>
      <c r="FQ64" s="232"/>
      <c r="FR64" s="232"/>
      <c r="FS64" s="232"/>
      <c r="FT64" s="232"/>
      <c r="FU64" s="232"/>
      <c r="FV64" s="232"/>
      <c r="FW64" s="232"/>
      <c r="FX64" s="232"/>
      <c r="FY64" s="232"/>
      <c r="FZ64" s="232"/>
      <c r="GA64" s="232"/>
      <c r="GB64" s="232"/>
      <c r="GC64" s="232"/>
      <c r="GD64" s="232"/>
      <c r="GE64" s="232"/>
      <c r="GF64" s="232"/>
      <c r="GG64" s="232"/>
      <c r="GH64" s="232"/>
      <c r="GI64" s="232"/>
      <c r="GJ64" s="232"/>
      <c r="GK64" s="232"/>
      <c r="GL64" s="232"/>
      <c r="GM64" s="232"/>
      <c r="GN64" s="232"/>
      <c r="GO64" s="232"/>
      <c r="GP64" s="232"/>
      <c r="GQ64" s="232"/>
      <c r="GR64" s="232"/>
      <c r="GS64" s="232"/>
      <c r="GT64" s="232"/>
      <c r="GU64" s="232"/>
      <c r="GV64" s="232"/>
      <c r="GW64" s="232"/>
      <c r="GX64" s="232"/>
      <c r="GY64" s="232"/>
      <c r="GZ64" s="232"/>
      <c r="HA64" s="232"/>
      <c r="HB64" s="232"/>
      <c r="HC64" s="232"/>
      <c r="HD64" s="232"/>
      <c r="HE64" s="232"/>
      <c r="HF64" s="232"/>
      <c r="HG64" s="232"/>
      <c r="HH64" s="232"/>
      <c r="HI64" s="232"/>
      <c r="HJ64" s="232"/>
      <c r="HK64" s="232"/>
      <c r="HL64" s="232"/>
      <c r="HM64" s="232"/>
      <c r="HN64" s="232"/>
      <c r="HO64" s="232"/>
      <c r="HP64" s="232"/>
      <c r="HQ64" s="232"/>
      <c r="HR64" s="232"/>
      <c r="HS64" s="232"/>
      <c r="HT64" s="232"/>
      <c r="HU64" s="232"/>
      <c r="HV64" s="232"/>
      <c r="HW64" s="232"/>
      <c r="HX64" s="232"/>
      <c r="HY64" s="232"/>
      <c r="HZ64" s="232"/>
      <c r="IA64" s="232"/>
      <c r="IB64" s="232"/>
      <c r="IC64" s="232"/>
    </row>
    <row r="65" spans="1:237" ht="14.1" customHeight="1">
      <c r="A65" s="232"/>
      <c r="B65" s="248"/>
      <c r="C65" s="248"/>
      <c r="D65" s="248"/>
      <c r="E65" s="248"/>
      <c r="F65" s="248"/>
      <c r="G65" s="248"/>
      <c r="H65" s="228"/>
      <c r="I65" s="228"/>
      <c r="K65" s="265"/>
      <c r="L65" s="899"/>
      <c r="M65" s="899"/>
      <c r="N65" s="899"/>
      <c r="O65" s="899"/>
      <c r="Q65" s="909"/>
      <c r="R65" s="899"/>
      <c r="S65" s="899"/>
      <c r="T65" s="899"/>
      <c r="U65" s="899"/>
      <c r="V65" s="899"/>
      <c r="W65" s="899"/>
      <c r="X65" s="899"/>
      <c r="Y65" s="899"/>
      <c r="Z65" s="899"/>
      <c r="AA65" s="899"/>
      <c r="AB65" s="899"/>
      <c r="AC65" s="899"/>
      <c r="AD65" s="899"/>
      <c r="AE65" s="899"/>
      <c r="AF65" s="899"/>
      <c r="AG65" s="899"/>
      <c r="AH65" s="899"/>
      <c r="AI65" s="899"/>
      <c r="AJ65" s="899"/>
      <c r="AK65" s="899"/>
      <c r="AL65" s="899"/>
      <c r="AM65" s="232"/>
      <c r="AN65" s="232"/>
      <c r="AO65" s="232"/>
      <c r="AP65" s="232"/>
      <c r="AQ65" s="232"/>
      <c r="AR65" s="232"/>
      <c r="AS65" s="232"/>
      <c r="AT65" s="232"/>
      <c r="AU65" s="232"/>
      <c r="AV65" s="232"/>
      <c r="AW65" s="232"/>
      <c r="AX65" s="232"/>
      <c r="AY65" s="232"/>
      <c r="AZ65" s="232"/>
      <c r="BA65" s="232"/>
      <c r="BB65" s="232"/>
      <c r="BC65" s="232"/>
      <c r="BD65" s="232"/>
      <c r="BE65" s="232"/>
      <c r="BF65" s="232"/>
      <c r="BG65" s="232"/>
      <c r="BH65" s="232"/>
      <c r="BI65" s="232"/>
      <c r="BJ65" s="232"/>
      <c r="BK65" s="232"/>
      <c r="BL65" s="232"/>
      <c r="BM65" s="232"/>
      <c r="BN65" s="232"/>
      <c r="BO65" s="232"/>
      <c r="BP65" s="232"/>
      <c r="BQ65" s="232"/>
      <c r="BR65" s="232"/>
      <c r="BS65" s="232"/>
      <c r="BT65" s="232"/>
      <c r="BU65" s="232"/>
      <c r="BV65" s="232"/>
      <c r="BW65" s="232"/>
      <c r="BX65" s="232"/>
      <c r="BY65" s="232"/>
      <c r="BZ65" s="232"/>
      <c r="CA65" s="232"/>
      <c r="CB65" s="232"/>
      <c r="CC65" s="232"/>
      <c r="CD65" s="232"/>
      <c r="CE65" s="232"/>
      <c r="CF65" s="232"/>
      <c r="CG65" s="232"/>
      <c r="CH65" s="232"/>
      <c r="CI65" s="232"/>
      <c r="CJ65" s="232"/>
      <c r="CK65" s="232"/>
      <c r="CL65" s="232"/>
      <c r="CM65" s="232"/>
      <c r="CN65" s="232"/>
      <c r="CO65" s="232"/>
      <c r="CP65" s="232"/>
      <c r="CQ65" s="232"/>
      <c r="CR65" s="232"/>
      <c r="CS65" s="232"/>
      <c r="CT65" s="232"/>
      <c r="CU65" s="232"/>
      <c r="CV65" s="232"/>
      <c r="CW65" s="232"/>
      <c r="CX65" s="232"/>
      <c r="CY65" s="232"/>
      <c r="CZ65" s="232"/>
      <c r="DA65" s="232"/>
      <c r="DB65" s="232"/>
      <c r="DC65" s="232"/>
      <c r="DD65" s="232"/>
      <c r="DE65" s="232"/>
      <c r="DF65" s="232"/>
      <c r="DG65" s="232"/>
      <c r="DH65" s="232"/>
      <c r="DI65" s="232"/>
      <c r="DJ65" s="232"/>
      <c r="DK65" s="232"/>
      <c r="DL65" s="232"/>
      <c r="DM65" s="232"/>
      <c r="DN65" s="232"/>
      <c r="DO65" s="232"/>
      <c r="DP65" s="232"/>
      <c r="DQ65" s="232"/>
      <c r="DR65" s="232"/>
      <c r="DS65" s="232"/>
      <c r="DT65" s="232"/>
      <c r="DU65" s="232"/>
      <c r="DV65" s="232"/>
      <c r="DW65" s="232"/>
      <c r="DX65" s="232"/>
      <c r="DY65" s="232"/>
      <c r="DZ65" s="232"/>
      <c r="EA65" s="232"/>
      <c r="EB65" s="232"/>
      <c r="EC65" s="232"/>
      <c r="ED65" s="232"/>
      <c r="EE65" s="232"/>
      <c r="EF65" s="232"/>
      <c r="EG65" s="232"/>
      <c r="EH65" s="232"/>
      <c r="EI65" s="232"/>
      <c r="EJ65" s="232"/>
      <c r="EK65" s="232"/>
      <c r="EL65" s="232"/>
      <c r="EM65" s="232"/>
      <c r="EN65" s="232"/>
      <c r="EO65" s="232"/>
      <c r="EP65" s="232"/>
      <c r="EQ65" s="232"/>
      <c r="ER65" s="232"/>
      <c r="ES65" s="232"/>
      <c r="ET65" s="232"/>
      <c r="EU65" s="232"/>
      <c r="EV65" s="232"/>
      <c r="EW65" s="232"/>
      <c r="EX65" s="232"/>
      <c r="EY65" s="232"/>
      <c r="EZ65" s="232"/>
      <c r="FA65" s="232"/>
      <c r="FB65" s="232"/>
      <c r="FC65" s="232"/>
      <c r="FD65" s="232"/>
      <c r="FE65" s="232"/>
      <c r="FF65" s="232"/>
      <c r="FG65" s="232"/>
      <c r="FH65" s="232"/>
      <c r="FI65" s="232"/>
      <c r="FJ65" s="232"/>
      <c r="FK65" s="232"/>
      <c r="FL65" s="232"/>
      <c r="FM65" s="232"/>
      <c r="FN65" s="232"/>
      <c r="FO65" s="232"/>
      <c r="FP65" s="232"/>
      <c r="FQ65" s="232"/>
      <c r="FR65" s="232"/>
      <c r="FS65" s="232"/>
      <c r="FT65" s="232"/>
      <c r="FU65" s="232"/>
      <c r="FV65" s="232"/>
      <c r="FW65" s="232"/>
      <c r="FX65" s="232"/>
      <c r="FY65" s="232"/>
      <c r="FZ65" s="232"/>
      <c r="GA65" s="232"/>
      <c r="GB65" s="232"/>
      <c r="GC65" s="232"/>
      <c r="GD65" s="232"/>
      <c r="GE65" s="232"/>
      <c r="GF65" s="232"/>
      <c r="GG65" s="232"/>
      <c r="GH65" s="232"/>
      <c r="GI65" s="232"/>
      <c r="GJ65" s="232"/>
      <c r="GK65" s="232"/>
      <c r="GL65" s="232"/>
      <c r="GM65" s="232"/>
      <c r="GN65" s="232"/>
      <c r="GO65" s="232"/>
      <c r="GP65" s="232"/>
      <c r="GQ65" s="232"/>
      <c r="GR65" s="232"/>
      <c r="GS65" s="232"/>
      <c r="GT65" s="232"/>
      <c r="GU65" s="232"/>
      <c r="GV65" s="232"/>
      <c r="GW65" s="232"/>
      <c r="GX65" s="232"/>
      <c r="GY65" s="232"/>
      <c r="GZ65" s="232"/>
      <c r="HA65" s="232"/>
      <c r="HB65" s="232"/>
      <c r="HC65" s="232"/>
      <c r="HD65" s="232"/>
      <c r="HE65" s="232"/>
      <c r="HF65" s="232"/>
      <c r="HG65" s="232"/>
      <c r="HH65" s="232"/>
      <c r="HI65" s="232"/>
      <c r="HJ65" s="232"/>
      <c r="HK65" s="232"/>
      <c r="HL65" s="232"/>
      <c r="HM65" s="232"/>
      <c r="HN65" s="232"/>
      <c r="HO65" s="232"/>
      <c r="HP65" s="232"/>
      <c r="HQ65" s="232"/>
      <c r="HR65" s="232"/>
      <c r="HS65" s="232"/>
      <c r="HT65" s="232"/>
      <c r="HU65" s="232"/>
      <c r="HV65" s="232"/>
      <c r="HW65" s="232"/>
      <c r="HX65" s="232"/>
      <c r="HY65" s="232"/>
      <c r="HZ65" s="232"/>
      <c r="IA65" s="232"/>
      <c r="IB65" s="232"/>
      <c r="IC65" s="232"/>
    </row>
    <row r="66" spans="1:237" ht="14.1" customHeight="1">
      <c r="A66" s="232"/>
      <c r="B66" s="248"/>
      <c r="C66" s="248"/>
      <c r="D66" s="248"/>
      <c r="E66" s="248"/>
      <c r="F66" s="248"/>
      <c r="G66" s="248"/>
      <c r="H66" s="228"/>
      <c r="I66" s="228"/>
      <c r="K66" s="265"/>
      <c r="L66" s="899"/>
      <c r="M66" s="899"/>
      <c r="N66" s="899"/>
      <c r="O66" s="899"/>
      <c r="Q66" s="909"/>
      <c r="R66" s="899"/>
      <c r="S66" s="899"/>
      <c r="T66" s="899"/>
      <c r="U66" s="899"/>
      <c r="V66" s="899"/>
      <c r="W66" s="899"/>
      <c r="X66" s="899"/>
      <c r="Y66" s="899"/>
      <c r="Z66" s="899"/>
      <c r="AA66" s="899"/>
      <c r="AB66" s="899"/>
      <c r="AC66" s="899"/>
      <c r="AD66" s="899"/>
      <c r="AE66" s="899"/>
      <c r="AF66" s="899"/>
      <c r="AG66" s="899"/>
      <c r="AH66" s="899"/>
      <c r="AI66" s="899"/>
      <c r="AJ66" s="899"/>
      <c r="AK66" s="899"/>
      <c r="AL66" s="899"/>
      <c r="AM66" s="232"/>
      <c r="AN66" s="232"/>
      <c r="AO66" s="232"/>
      <c r="AP66" s="232"/>
      <c r="AQ66" s="232"/>
      <c r="AR66" s="232"/>
      <c r="AS66" s="232"/>
      <c r="AT66" s="232"/>
      <c r="AU66" s="232"/>
      <c r="AV66" s="232"/>
      <c r="AW66" s="232"/>
      <c r="AX66" s="232"/>
      <c r="AY66" s="232"/>
      <c r="AZ66" s="232"/>
      <c r="BA66" s="232"/>
      <c r="BB66" s="232"/>
      <c r="BC66" s="232"/>
      <c r="BD66" s="232"/>
      <c r="BE66" s="232"/>
      <c r="BF66" s="232"/>
      <c r="BG66" s="232"/>
      <c r="BH66" s="232"/>
      <c r="BI66" s="232"/>
      <c r="BJ66" s="232"/>
      <c r="BK66" s="232"/>
      <c r="BL66" s="232"/>
      <c r="BM66" s="232"/>
      <c r="BN66" s="232"/>
      <c r="BO66" s="232"/>
      <c r="BP66" s="232"/>
      <c r="BQ66" s="232"/>
      <c r="BR66" s="232"/>
      <c r="BS66" s="232"/>
      <c r="BT66" s="232"/>
      <c r="BU66" s="232"/>
      <c r="BV66" s="232"/>
      <c r="BW66" s="232"/>
      <c r="BX66" s="232"/>
      <c r="BY66" s="232"/>
      <c r="BZ66" s="232"/>
      <c r="CA66" s="232"/>
      <c r="CB66" s="232"/>
      <c r="CC66" s="232"/>
      <c r="CD66" s="232"/>
      <c r="CE66" s="232"/>
      <c r="CF66" s="232"/>
      <c r="CG66" s="232"/>
      <c r="CH66" s="232"/>
      <c r="CI66" s="232"/>
      <c r="CJ66" s="232"/>
      <c r="CK66" s="232"/>
      <c r="CL66" s="232"/>
      <c r="CM66" s="232"/>
      <c r="CN66" s="232"/>
      <c r="CO66" s="232"/>
      <c r="CP66" s="232"/>
      <c r="CQ66" s="232"/>
      <c r="CR66" s="232"/>
      <c r="CS66" s="232"/>
      <c r="CT66" s="232"/>
      <c r="CU66" s="232"/>
      <c r="CV66" s="232"/>
      <c r="CW66" s="232"/>
      <c r="CX66" s="232"/>
      <c r="CY66" s="232"/>
      <c r="CZ66" s="232"/>
      <c r="DA66" s="232"/>
      <c r="DB66" s="232"/>
      <c r="DC66" s="232"/>
      <c r="DD66" s="232"/>
      <c r="DE66" s="232"/>
      <c r="DF66" s="232"/>
      <c r="DG66" s="232"/>
      <c r="DH66" s="232"/>
      <c r="DI66" s="232"/>
      <c r="DJ66" s="232"/>
      <c r="DK66" s="232"/>
      <c r="DL66" s="232"/>
      <c r="DM66" s="232"/>
      <c r="DN66" s="232"/>
      <c r="DO66" s="232"/>
      <c r="DP66" s="232"/>
      <c r="DQ66" s="232"/>
      <c r="DR66" s="232"/>
      <c r="DS66" s="232"/>
      <c r="DT66" s="232"/>
      <c r="DU66" s="232"/>
      <c r="DV66" s="232"/>
      <c r="DW66" s="232"/>
      <c r="DX66" s="232"/>
      <c r="DY66" s="232"/>
      <c r="DZ66" s="232"/>
      <c r="EA66" s="232"/>
      <c r="EB66" s="232"/>
      <c r="EC66" s="232"/>
      <c r="ED66" s="232"/>
      <c r="EE66" s="232"/>
      <c r="EF66" s="232"/>
      <c r="EG66" s="232"/>
      <c r="EH66" s="232"/>
      <c r="EI66" s="232"/>
      <c r="EJ66" s="232"/>
      <c r="EK66" s="232"/>
      <c r="EL66" s="232"/>
      <c r="EM66" s="232"/>
      <c r="EN66" s="232"/>
      <c r="EO66" s="232"/>
      <c r="EP66" s="232"/>
      <c r="EQ66" s="232"/>
      <c r="ER66" s="232"/>
      <c r="ES66" s="232"/>
      <c r="ET66" s="232"/>
      <c r="EU66" s="232"/>
      <c r="EV66" s="232"/>
      <c r="EW66" s="232"/>
      <c r="EX66" s="232"/>
      <c r="EY66" s="232"/>
      <c r="EZ66" s="232"/>
      <c r="FA66" s="232"/>
      <c r="FB66" s="232"/>
      <c r="FC66" s="232"/>
      <c r="FD66" s="232"/>
      <c r="FE66" s="232"/>
      <c r="FF66" s="232"/>
      <c r="FG66" s="232"/>
      <c r="FH66" s="232"/>
      <c r="FI66" s="232"/>
      <c r="FJ66" s="232"/>
      <c r="FK66" s="232"/>
      <c r="FL66" s="232"/>
      <c r="FM66" s="232"/>
      <c r="FN66" s="232"/>
      <c r="FO66" s="232"/>
      <c r="FP66" s="232"/>
      <c r="FQ66" s="232"/>
      <c r="FR66" s="232"/>
      <c r="FS66" s="232"/>
      <c r="FT66" s="232"/>
      <c r="FU66" s="232"/>
      <c r="FV66" s="232"/>
      <c r="FW66" s="232"/>
      <c r="FX66" s="232"/>
      <c r="FY66" s="232"/>
      <c r="FZ66" s="232"/>
      <c r="GA66" s="232"/>
      <c r="GB66" s="232"/>
      <c r="GC66" s="232"/>
      <c r="GD66" s="232"/>
      <c r="GE66" s="232"/>
      <c r="GF66" s="232"/>
      <c r="GG66" s="232"/>
      <c r="GH66" s="232"/>
      <c r="GI66" s="232"/>
      <c r="GJ66" s="232"/>
      <c r="GK66" s="232"/>
      <c r="GL66" s="232"/>
      <c r="GM66" s="232"/>
      <c r="GN66" s="232"/>
      <c r="GO66" s="232"/>
      <c r="GP66" s="232"/>
      <c r="GQ66" s="232"/>
      <c r="GR66" s="232"/>
      <c r="GS66" s="232"/>
      <c r="GT66" s="232"/>
      <c r="GU66" s="232"/>
      <c r="GV66" s="232"/>
      <c r="GW66" s="232"/>
      <c r="GX66" s="232"/>
      <c r="GY66" s="232"/>
      <c r="GZ66" s="232"/>
      <c r="HA66" s="232"/>
      <c r="HB66" s="232"/>
      <c r="HC66" s="232"/>
      <c r="HD66" s="232"/>
      <c r="HE66" s="232"/>
      <c r="HF66" s="232"/>
      <c r="HG66" s="232"/>
      <c r="HH66" s="232"/>
      <c r="HI66" s="232"/>
      <c r="HJ66" s="232"/>
      <c r="HK66" s="232"/>
      <c r="HL66" s="232"/>
      <c r="HM66" s="232"/>
      <c r="HN66" s="232"/>
      <c r="HO66" s="232"/>
      <c r="HP66" s="232"/>
      <c r="HQ66" s="232"/>
      <c r="HR66" s="232"/>
      <c r="HS66" s="232"/>
      <c r="HT66" s="232"/>
      <c r="HU66" s="232"/>
      <c r="HV66" s="232"/>
      <c r="HW66" s="232"/>
      <c r="HX66" s="232"/>
      <c r="HY66" s="232"/>
      <c r="HZ66" s="232"/>
      <c r="IA66" s="232"/>
      <c r="IB66" s="232"/>
      <c r="IC66" s="232"/>
    </row>
    <row r="67" spans="1:237" ht="14.1" customHeight="1">
      <c r="A67" s="232"/>
      <c r="B67" s="248"/>
      <c r="C67" s="248"/>
      <c r="D67" s="248"/>
      <c r="E67" s="248"/>
      <c r="F67" s="248"/>
      <c r="G67" s="248"/>
      <c r="H67" s="228"/>
      <c r="I67" s="228"/>
      <c r="K67" s="265"/>
      <c r="L67" s="899"/>
      <c r="M67" s="899"/>
      <c r="N67" s="899"/>
      <c r="O67" s="899"/>
      <c r="Q67" s="909"/>
      <c r="R67" s="899"/>
      <c r="S67" s="899"/>
      <c r="T67" s="899"/>
      <c r="U67" s="899"/>
      <c r="V67" s="899"/>
      <c r="W67" s="899"/>
      <c r="X67" s="899"/>
      <c r="Y67" s="899"/>
      <c r="Z67" s="899"/>
      <c r="AA67" s="899"/>
      <c r="AB67" s="899"/>
      <c r="AC67" s="899"/>
      <c r="AD67" s="899"/>
      <c r="AE67" s="899"/>
      <c r="AF67" s="899"/>
      <c r="AG67" s="899"/>
      <c r="AH67" s="899"/>
      <c r="AI67" s="899"/>
      <c r="AJ67" s="899"/>
      <c r="AK67" s="899"/>
      <c r="AL67" s="899"/>
      <c r="AM67" s="232"/>
      <c r="AN67" s="232"/>
      <c r="AO67" s="232"/>
      <c r="AP67" s="232"/>
      <c r="AQ67" s="232"/>
      <c r="AR67" s="232"/>
      <c r="AS67" s="232"/>
      <c r="AT67" s="232"/>
      <c r="AU67" s="232"/>
      <c r="AV67" s="232"/>
      <c r="AW67" s="232"/>
      <c r="AX67" s="232"/>
      <c r="AY67" s="232"/>
      <c r="AZ67" s="232"/>
      <c r="BA67" s="232"/>
      <c r="BB67" s="232"/>
      <c r="BC67" s="232"/>
      <c r="BD67" s="232"/>
      <c r="BE67" s="232"/>
      <c r="BF67" s="232"/>
      <c r="BG67" s="232"/>
      <c r="BH67" s="232"/>
      <c r="BI67" s="232"/>
      <c r="BJ67" s="232"/>
      <c r="BK67" s="232"/>
      <c r="BL67" s="232"/>
      <c r="BM67" s="232"/>
      <c r="BN67" s="232"/>
      <c r="BO67" s="232"/>
      <c r="BP67" s="232"/>
      <c r="BQ67" s="232"/>
      <c r="BR67" s="232"/>
      <c r="BS67" s="232"/>
      <c r="BT67" s="232"/>
      <c r="BU67" s="232"/>
      <c r="BV67" s="232"/>
      <c r="BW67" s="232"/>
      <c r="BX67" s="232"/>
      <c r="BY67" s="232"/>
      <c r="BZ67" s="232"/>
      <c r="CA67" s="232"/>
      <c r="CB67" s="232"/>
      <c r="CC67" s="232"/>
      <c r="CD67" s="232"/>
      <c r="CE67" s="232"/>
      <c r="CF67" s="232"/>
      <c r="CG67" s="232"/>
      <c r="CH67" s="232"/>
      <c r="CI67" s="232"/>
      <c r="CJ67" s="232"/>
      <c r="CK67" s="232"/>
      <c r="CL67" s="232"/>
      <c r="CM67" s="232"/>
      <c r="CN67" s="232"/>
      <c r="CO67" s="232"/>
      <c r="CP67" s="232"/>
      <c r="CQ67" s="232"/>
      <c r="CR67" s="232"/>
      <c r="CS67" s="232"/>
      <c r="CT67" s="232"/>
      <c r="CU67" s="232"/>
      <c r="CV67" s="232"/>
      <c r="CW67" s="232"/>
      <c r="CX67" s="232"/>
      <c r="CY67" s="232"/>
      <c r="CZ67" s="232"/>
      <c r="DA67" s="232"/>
      <c r="DB67" s="232"/>
      <c r="DC67" s="232"/>
      <c r="DD67" s="232"/>
      <c r="DE67" s="232"/>
      <c r="DF67" s="232"/>
      <c r="DG67" s="232"/>
      <c r="DH67" s="232"/>
      <c r="DI67" s="232"/>
      <c r="DJ67" s="232"/>
      <c r="DK67" s="232"/>
      <c r="DL67" s="232"/>
      <c r="DM67" s="232"/>
      <c r="DN67" s="232"/>
      <c r="DO67" s="232"/>
      <c r="DP67" s="232"/>
      <c r="DQ67" s="232"/>
      <c r="DR67" s="232"/>
      <c r="DS67" s="232"/>
      <c r="DT67" s="232"/>
      <c r="DU67" s="232"/>
      <c r="DV67" s="232"/>
      <c r="DW67" s="232"/>
      <c r="DX67" s="232"/>
      <c r="DY67" s="232"/>
      <c r="DZ67" s="232"/>
      <c r="EA67" s="232"/>
      <c r="EB67" s="232"/>
      <c r="EC67" s="232"/>
      <c r="ED67" s="232"/>
      <c r="EE67" s="232"/>
      <c r="EF67" s="232"/>
      <c r="EG67" s="232"/>
      <c r="EH67" s="232"/>
      <c r="EI67" s="232"/>
      <c r="EJ67" s="232"/>
      <c r="EK67" s="232"/>
      <c r="EL67" s="232"/>
      <c r="EM67" s="232"/>
      <c r="EN67" s="232"/>
      <c r="EO67" s="232"/>
      <c r="EP67" s="232"/>
      <c r="EQ67" s="232"/>
      <c r="ER67" s="232"/>
      <c r="ES67" s="232"/>
      <c r="ET67" s="232"/>
      <c r="EU67" s="232"/>
      <c r="EV67" s="232"/>
      <c r="EW67" s="232"/>
      <c r="EX67" s="232"/>
      <c r="EY67" s="232"/>
      <c r="EZ67" s="232"/>
      <c r="FA67" s="232"/>
      <c r="FB67" s="232"/>
      <c r="FC67" s="232"/>
      <c r="FD67" s="232"/>
      <c r="FE67" s="232"/>
      <c r="FF67" s="232"/>
      <c r="FG67" s="232"/>
      <c r="FH67" s="232"/>
      <c r="FI67" s="232"/>
      <c r="FJ67" s="232"/>
      <c r="FK67" s="232"/>
      <c r="FL67" s="232"/>
      <c r="FM67" s="232"/>
      <c r="FN67" s="232"/>
      <c r="FO67" s="232"/>
      <c r="FP67" s="232"/>
      <c r="FQ67" s="232"/>
      <c r="FR67" s="232"/>
      <c r="FS67" s="232"/>
      <c r="FT67" s="232"/>
      <c r="FU67" s="232"/>
      <c r="FV67" s="232"/>
      <c r="FW67" s="232"/>
      <c r="FX67" s="232"/>
      <c r="FY67" s="232"/>
      <c r="FZ67" s="232"/>
      <c r="GA67" s="232"/>
      <c r="GB67" s="232"/>
      <c r="GC67" s="232"/>
      <c r="GD67" s="232"/>
      <c r="GE67" s="232"/>
      <c r="GF67" s="232"/>
      <c r="GG67" s="232"/>
      <c r="GH67" s="232"/>
      <c r="GI67" s="232"/>
      <c r="GJ67" s="232"/>
      <c r="GK67" s="232"/>
      <c r="GL67" s="232"/>
      <c r="GM67" s="232"/>
      <c r="GN67" s="232"/>
      <c r="GO67" s="232"/>
      <c r="GP67" s="232"/>
      <c r="GQ67" s="232"/>
      <c r="GR67" s="232"/>
      <c r="GS67" s="232"/>
      <c r="GT67" s="232"/>
      <c r="GU67" s="232"/>
      <c r="GV67" s="232"/>
      <c r="GW67" s="232"/>
      <c r="GX67" s="232"/>
      <c r="GY67" s="232"/>
      <c r="GZ67" s="232"/>
      <c r="HA67" s="232"/>
      <c r="HB67" s="232"/>
      <c r="HC67" s="232"/>
      <c r="HD67" s="232"/>
      <c r="HE67" s="232"/>
      <c r="HF67" s="232"/>
      <c r="HG67" s="232"/>
      <c r="HH67" s="232"/>
      <c r="HI67" s="232"/>
      <c r="HJ67" s="232"/>
      <c r="HK67" s="232"/>
      <c r="HL67" s="232"/>
      <c r="HM67" s="232"/>
      <c r="HN67" s="232"/>
      <c r="HO67" s="232"/>
      <c r="HP67" s="232"/>
      <c r="HQ67" s="232"/>
      <c r="HR67" s="232"/>
      <c r="HS67" s="232"/>
      <c r="HT67" s="232"/>
      <c r="HU67" s="232"/>
      <c r="HV67" s="232"/>
      <c r="HW67" s="232"/>
      <c r="HX67" s="232"/>
      <c r="HY67" s="232"/>
      <c r="HZ67" s="232"/>
      <c r="IA67" s="232"/>
      <c r="IB67" s="232"/>
      <c r="IC67" s="232"/>
    </row>
    <row r="68" spans="1:237" ht="14.1" customHeight="1">
      <c r="A68" s="232"/>
      <c r="B68" s="248"/>
      <c r="C68" s="248"/>
      <c r="D68" s="248"/>
      <c r="E68" s="248"/>
      <c r="F68" s="248"/>
      <c r="G68" s="248"/>
      <c r="H68" s="228"/>
      <c r="I68" s="228"/>
      <c r="K68" s="265"/>
      <c r="L68" s="899"/>
      <c r="M68" s="899"/>
      <c r="N68" s="899"/>
      <c r="O68" s="899"/>
      <c r="Q68" s="909"/>
      <c r="R68" s="899"/>
      <c r="S68" s="899"/>
      <c r="T68" s="899"/>
      <c r="U68" s="899"/>
      <c r="V68" s="899"/>
      <c r="W68" s="899"/>
      <c r="X68" s="899"/>
      <c r="Y68" s="899"/>
      <c r="Z68" s="899"/>
      <c r="AA68" s="899"/>
      <c r="AB68" s="899"/>
      <c r="AC68" s="899"/>
      <c r="AD68" s="899"/>
      <c r="AE68" s="899"/>
      <c r="AF68" s="899"/>
      <c r="AG68" s="899"/>
      <c r="AH68" s="899"/>
      <c r="AI68" s="899"/>
      <c r="AJ68" s="899"/>
      <c r="AK68" s="899"/>
      <c r="AL68" s="899"/>
      <c r="AM68" s="232"/>
      <c r="AN68" s="232"/>
      <c r="AO68" s="232"/>
      <c r="AP68" s="232"/>
      <c r="AQ68" s="232"/>
      <c r="AR68" s="232"/>
      <c r="AS68" s="232"/>
      <c r="AT68" s="232"/>
      <c r="AU68" s="232"/>
      <c r="AV68" s="232"/>
      <c r="AW68" s="232"/>
      <c r="AX68" s="232"/>
      <c r="AY68" s="232"/>
      <c r="AZ68" s="232"/>
      <c r="BA68" s="232"/>
      <c r="BB68" s="232"/>
      <c r="BC68" s="232"/>
      <c r="BD68" s="232"/>
      <c r="BE68" s="232"/>
      <c r="BF68" s="232"/>
      <c r="BG68" s="232"/>
      <c r="BH68" s="232"/>
      <c r="BI68" s="232"/>
      <c r="BJ68" s="232"/>
      <c r="BK68" s="232"/>
      <c r="BL68" s="232"/>
      <c r="BM68" s="232"/>
      <c r="BN68" s="232"/>
      <c r="BO68" s="232"/>
      <c r="BP68" s="232"/>
      <c r="BQ68" s="232"/>
      <c r="BR68" s="232"/>
      <c r="BS68" s="232"/>
      <c r="BT68" s="232"/>
      <c r="BU68" s="232"/>
      <c r="BV68" s="232"/>
      <c r="BW68" s="232"/>
      <c r="BX68" s="232"/>
      <c r="BY68" s="232"/>
      <c r="BZ68" s="232"/>
      <c r="CA68" s="232"/>
      <c r="CB68" s="232"/>
      <c r="CC68" s="232"/>
      <c r="CD68" s="232"/>
      <c r="CE68" s="232"/>
      <c r="CF68" s="232"/>
      <c r="CG68" s="232"/>
      <c r="CH68" s="232"/>
      <c r="CI68" s="232"/>
      <c r="CJ68" s="232"/>
      <c r="CK68" s="232"/>
      <c r="CL68" s="232"/>
      <c r="CM68" s="232"/>
      <c r="CN68" s="232"/>
      <c r="CO68" s="232"/>
      <c r="CP68" s="232"/>
      <c r="CQ68" s="232"/>
      <c r="CR68" s="232"/>
      <c r="CS68" s="232"/>
      <c r="CT68" s="232"/>
      <c r="CU68" s="232"/>
      <c r="CV68" s="232"/>
      <c r="CW68" s="232"/>
      <c r="CX68" s="232"/>
      <c r="CY68" s="232"/>
      <c r="CZ68" s="232"/>
      <c r="DA68" s="232"/>
      <c r="DB68" s="232"/>
      <c r="DC68" s="232"/>
      <c r="DD68" s="232"/>
      <c r="DE68" s="232"/>
      <c r="DF68" s="232"/>
      <c r="DG68" s="232"/>
      <c r="DH68" s="232"/>
      <c r="DI68" s="232"/>
      <c r="DJ68" s="232"/>
      <c r="DK68" s="232"/>
      <c r="DL68" s="232"/>
      <c r="DM68" s="232"/>
      <c r="DN68" s="232"/>
      <c r="DO68" s="232"/>
      <c r="DP68" s="232"/>
      <c r="DQ68" s="232"/>
      <c r="DR68" s="232"/>
      <c r="DS68" s="232"/>
      <c r="DT68" s="232"/>
      <c r="DU68" s="232"/>
      <c r="DV68" s="232"/>
      <c r="DW68" s="232"/>
      <c r="DX68" s="232"/>
      <c r="DY68" s="232"/>
      <c r="DZ68" s="232"/>
      <c r="EA68" s="232"/>
      <c r="EB68" s="232"/>
      <c r="EC68" s="232"/>
      <c r="ED68" s="232"/>
      <c r="EE68" s="232"/>
      <c r="EF68" s="232"/>
      <c r="EG68" s="232"/>
      <c r="EH68" s="232"/>
      <c r="EI68" s="232"/>
      <c r="EJ68" s="232"/>
      <c r="EK68" s="232"/>
      <c r="EL68" s="232"/>
      <c r="EM68" s="232"/>
      <c r="EN68" s="232"/>
      <c r="EO68" s="232"/>
      <c r="EP68" s="232"/>
      <c r="EQ68" s="232"/>
      <c r="ER68" s="232"/>
      <c r="ES68" s="232"/>
      <c r="ET68" s="232"/>
      <c r="EU68" s="232"/>
      <c r="EV68" s="232"/>
      <c r="EW68" s="232"/>
      <c r="EX68" s="232"/>
      <c r="EY68" s="232"/>
      <c r="EZ68" s="232"/>
      <c r="FA68" s="232"/>
      <c r="FB68" s="232"/>
      <c r="FC68" s="232"/>
      <c r="FD68" s="232"/>
      <c r="FE68" s="232"/>
      <c r="FF68" s="232"/>
      <c r="FG68" s="232"/>
      <c r="FH68" s="232"/>
      <c r="FI68" s="232"/>
      <c r="FJ68" s="232"/>
      <c r="FK68" s="232"/>
      <c r="FL68" s="232"/>
      <c r="FM68" s="232"/>
      <c r="FN68" s="232"/>
      <c r="FO68" s="232"/>
      <c r="FP68" s="232"/>
      <c r="FQ68" s="232"/>
      <c r="FR68" s="232"/>
      <c r="FS68" s="232"/>
      <c r="FT68" s="232"/>
      <c r="FU68" s="232"/>
      <c r="FV68" s="232"/>
      <c r="FW68" s="232"/>
      <c r="FX68" s="232"/>
      <c r="FY68" s="232"/>
      <c r="FZ68" s="232"/>
      <c r="GA68" s="232"/>
      <c r="GB68" s="232"/>
      <c r="GC68" s="232"/>
      <c r="GD68" s="232"/>
      <c r="GE68" s="232"/>
      <c r="GF68" s="232"/>
      <c r="GG68" s="232"/>
      <c r="GH68" s="232"/>
      <c r="GI68" s="232"/>
      <c r="GJ68" s="232"/>
      <c r="GK68" s="232"/>
      <c r="GL68" s="232"/>
      <c r="GM68" s="232"/>
      <c r="GN68" s="232"/>
      <c r="GO68" s="232"/>
      <c r="GP68" s="232"/>
      <c r="GQ68" s="232"/>
      <c r="GR68" s="232"/>
      <c r="GS68" s="232"/>
      <c r="GT68" s="232"/>
      <c r="GU68" s="232"/>
      <c r="GV68" s="232"/>
      <c r="GW68" s="232"/>
      <c r="GX68" s="232"/>
      <c r="GY68" s="232"/>
      <c r="GZ68" s="232"/>
      <c r="HA68" s="232"/>
      <c r="HB68" s="232"/>
      <c r="HC68" s="232"/>
      <c r="HD68" s="232"/>
      <c r="HE68" s="232"/>
      <c r="HF68" s="232"/>
      <c r="HG68" s="232"/>
      <c r="HH68" s="232"/>
      <c r="HI68" s="232"/>
      <c r="HJ68" s="232"/>
      <c r="HK68" s="232"/>
      <c r="HL68" s="232"/>
      <c r="HM68" s="232"/>
      <c r="HN68" s="232"/>
      <c r="HO68" s="232"/>
      <c r="HP68" s="232"/>
      <c r="HQ68" s="232"/>
      <c r="HR68" s="232"/>
      <c r="HS68" s="232"/>
      <c r="HT68" s="232"/>
      <c r="HU68" s="232"/>
      <c r="HV68" s="232"/>
      <c r="HW68" s="232"/>
      <c r="HX68" s="232"/>
      <c r="HY68" s="232"/>
      <c r="HZ68" s="232"/>
      <c r="IA68" s="232"/>
      <c r="IB68" s="232"/>
      <c r="IC68" s="232"/>
    </row>
    <row r="69" spans="1:237" ht="14.1" customHeight="1">
      <c r="A69" s="232"/>
      <c r="B69" s="248"/>
      <c r="C69" s="248"/>
      <c r="D69" s="248"/>
      <c r="E69" s="248"/>
      <c r="F69" s="248"/>
      <c r="G69" s="248"/>
      <c r="H69" s="228"/>
      <c r="I69" s="228"/>
      <c r="K69" s="265"/>
      <c r="L69" s="899"/>
      <c r="M69" s="899"/>
      <c r="N69" s="899"/>
      <c r="O69" s="899"/>
      <c r="Q69" s="909"/>
      <c r="R69" s="899"/>
      <c r="S69" s="899"/>
      <c r="T69" s="899"/>
      <c r="U69" s="899"/>
      <c r="V69" s="899"/>
      <c r="W69" s="899"/>
      <c r="X69" s="899"/>
      <c r="Y69" s="899"/>
      <c r="Z69" s="899"/>
      <c r="AA69" s="899"/>
      <c r="AB69" s="899"/>
      <c r="AC69" s="899"/>
      <c r="AD69" s="899"/>
      <c r="AE69" s="899"/>
      <c r="AF69" s="899"/>
      <c r="AG69" s="899"/>
      <c r="AH69" s="899"/>
      <c r="AI69" s="899"/>
      <c r="AJ69" s="899"/>
      <c r="AK69" s="899"/>
      <c r="AL69" s="899"/>
      <c r="AM69" s="232"/>
      <c r="AN69" s="232"/>
      <c r="AO69" s="232"/>
      <c r="AP69" s="232"/>
      <c r="AQ69" s="232"/>
      <c r="AR69" s="232"/>
      <c r="AS69" s="232"/>
      <c r="AT69" s="232"/>
      <c r="AU69" s="232"/>
      <c r="AV69" s="232"/>
      <c r="AW69" s="232"/>
      <c r="AX69" s="232"/>
      <c r="AY69" s="232"/>
      <c r="AZ69" s="232"/>
      <c r="BA69" s="232"/>
      <c r="BB69" s="232"/>
      <c r="BC69" s="232"/>
      <c r="BD69" s="232"/>
      <c r="BE69" s="232"/>
      <c r="BF69" s="232"/>
      <c r="BG69" s="232"/>
      <c r="BH69" s="232"/>
      <c r="BI69" s="232"/>
      <c r="BJ69" s="232"/>
      <c r="BK69" s="232"/>
      <c r="BL69" s="232"/>
      <c r="BM69" s="232"/>
      <c r="BN69" s="232"/>
      <c r="BO69" s="232"/>
      <c r="BP69" s="232"/>
      <c r="BQ69" s="232"/>
      <c r="BR69" s="232"/>
      <c r="BS69" s="232"/>
      <c r="BT69" s="232"/>
      <c r="BU69" s="232"/>
      <c r="BV69" s="232"/>
      <c r="BW69" s="232"/>
      <c r="BX69" s="232"/>
      <c r="BY69" s="232"/>
      <c r="BZ69" s="232"/>
      <c r="CA69" s="232"/>
      <c r="CB69" s="232"/>
      <c r="CC69" s="232"/>
      <c r="CD69" s="232"/>
      <c r="CE69" s="232"/>
      <c r="CF69" s="232"/>
      <c r="CG69" s="232"/>
      <c r="CH69" s="232"/>
      <c r="CI69" s="232"/>
      <c r="CJ69" s="232"/>
      <c r="CK69" s="232"/>
      <c r="CL69" s="232"/>
      <c r="CM69" s="232"/>
      <c r="CN69" s="232"/>
      <c r="CO69" s="232"/>
      <c r="CP69" s="232"/>
      <c r="CQ69" s="232"/>
      <c r="CR69" s="232"/>
      <c r="CS69" s="232"/>
      <c r="CT69" s="232"/>
      <c r="CU69" s="232"/>
      <c r="CV69" s="232"/>
      <c r="CW69" s="232"/>
      <c r="CX69" s="232"/>
      <c r="CY69" s="232"/>
      <c r="CZ69" s="232"/>
      <c r="DA69" s="232"/>
      <c r="DB69" s="232"/>
      <c r="DC69" s="232"/>
      <c r="DD69" s="232"/>
      <c r="DE69" s="232"/>
      <c r="DF69" s="232"/>
      <c r="DG69" s="232"/>
      <c r="DH69" s="232"/>
      <c r="DI69" s="232"/>
      <c r="DJ69" s="232"/>
      <c r="DK69" s="232"/>
      <c r="DL69" s="232"/>
      <c r="DM69" s="232"/>
      <c r="DN69" s="232"/>
      <c r="DO69" s="232"/>
      <c r="DP69" s="232"/>
      <c r="DQ69" s="232"/>
      <c r="DR69" s="232"/>
      <c r="DS69" s="232"/>
      <c r="DT69" s="232"/>
      <c r="DU69" s="232"/>
      <c r="DV69" s="232"/>
      <c r="DW69" s="232"/>
      <c r="DX69" s="232"/>
      <c r="DY69" s="232"/>
      <c r="DZ69" s="232"/>
      <c r="EA69" s="232"/>
      <c r="EB69" s="232"/>
      <c r="EC69" s="232"/>
      <c r="ED69" s="232"/>
      <c r="EE69" s="232"/>
      <c r="EF69" s="232"/>
      <c r="EG69" s="232"/>
      <c r="EH69" s="232"/>
      <c r="EI69" s="232"/>
      <c r="EJ69" s="232"/>
      <c r="EK69" s="232"/>
      <c r="EL69" s="232"/>
      <c r="EM69" s="232"/>
      <c r="EN69" s="232"/>
      <c r="EO69" s="232"/>
      <c r="EP69" s="232"/>
      <c r="EQ69" s="232"/>
      <c r="ER69" s="232"/>
      <c r="ES69" s="232"/>
      <c r="ET69" s="232"/>
      <c r="EU69" s="232"/>
      <c r="EV69" s="232"/>
      <c r="EW69" s="232"/>
      <c r="EX69" s="232"/>
      <c r="EY69" s="232"/>
      <c r="EZ69" s="232"/>
      <c r="FA69" s="232"/>
      <c r="FB69" s="232"/>
      <c r="FC69" s="232"/>
      <c r="FD69" s="232"/>
      <c r="FE69" s="232"/>
      <c r="FF69" s="232"/>
      <c r="FG69" s="232"/>
      <c r="FH69" s="232"/>
      <c r="FI69" s="232"/>
      <c r="FJ69" s="232"/>
      <c r="FK69" s="232"/>
      <c r="FL69" s="232"/>
      <c r="FM69" s="232"/>
      <c r="FN69" s="232"/>
      <c r="FO69" s="232"/>
      <c r="FP69" s="232"/>
      <c r="FQ69" s="232"/>
      <c r="FR69" s="232"/>
      <c r="FS69" s="232"/>
      <c r="FT69" s="232"/>
      <c r="FU69" s="232"/>
      <c r="FV69" s="232"/>
      <c r="FW69" s="232"/>
      <c r="FX69" s="232"/>
      <c r="FY69" s="232"/>
      <c r="FZ69" s="232"/>
      <c r="GA69" s="232"/>
      <c r="GB69" s="232"/>
      <c r="GC69" s="232"/>
      <c r="GD69" s="232"/>
      <c r="GE69" s="232"/>
      <c r="GF69" s="232"/>
      <c r="GG69" s="232"/>
      <c r="GH69" s="232"/>
      <c r="GI69" s="232"/>
      <c r="GJ69" s="232"/>
      <c r="GK69" s="232"/>
      <c r="GL69" s="232"/>
      <c r="GM69" s="232"/>
      <c r="GN69" s="232"/>
      <c r="GO69" s="232"/>
      <c r="GP69" s="232"/>
      <c r="GQ69" s="232"/>
      <c r="GR69" s="232"/>
      <c r="GS69" s="232"/>
      <c r="GT69" s="232"/>
      <c r="GU69" s="232"/>
      <c r="GV69" s="232"/>
      <c r="GW69" s="232"/>
      <c r="GX69" s="232"/>
      <c r="GY69" s="232"/>
      <c r="GZ69" s="232"/>
      <c r="HA69" s="232"/>
      <c r="HB69" s="232"/>
      <c r="HC69" s="232"/>
      <c r="HD69" s="232"/>
      <c r="HE69" s="232"/>
      <c r="HF69" s="232"/>
      <c r="HG69" s="232"/>
      <c r="HH69" s="232"/>
      <c r="HI69" s="232"/>
      <c r="HJ69" s="232"/>
      <c r="HK69" s="232"/>
      <c r="HL69" s="232"/>
      <c r="HM69" s="232"/>
      <c r="HN69" s="232"/>
      <c r="HO69" s="232"/>
      <c r="HP69" s="232"/>
      <c r="HQ69" s="232"/>
      <c r="HR69" s="232"/>
      <c r="HS69" s="232"/>
      <c r="HT69" s="232"/>
      <c r="HU69" s="232"/>
      <c r="HV69" s="232"/>
      <c r="HW69" s="232"/>
      <c r="HX69" s="232"/>
      <c r="HY69" s="232"/>
      <c r="HZ69" s="232"/>
      <c r="IA69" s="232"/>
      <c r="IB69" s="232"/>
      <c r="IC69" s="232"/>
    </row>
    <row r="70" spans="1:237" ht="14.1" customHeight="1">
      <c r="A70" s="232"/>
      <c r="B70" s="248"/>
      <c r="C70" s="248"/>
      <c r="D70" s="248"/>
      <c r="E70" s="248"/>
      <c r="F70" s="248"/>
      <c r="G70" s="248"/>
      <c r="H70" s="228"/>
      <c r="I70" s="228"/>
      <c r="K70" s="265"/>
      <c r="L70" s="899"/>
      <c r="M70" s="899"/>
      <c r="N70" s="899"/>
      <c r="O70" s="899"/>
      <c r="Q70" s="909"/>
      <c r="R70" s="899"/>
      <c r="S70" s="899"/>
      <c r="T70" s="899"/>
      <c r="U70" s="899"/>
      <c r="V70" s="899"/>
      <c r="W70" s="899"/>
      <c r="X70" s="899"/>
      <c r="Y70" s="899"/>
      <c r="Z70" s="899"/>
      <c r="AA70" s="899"/>
      <c r="AB70" s="899"/>
      <c r="AC70" s="899"/>
      <c r="AD70" s="899"/>
      <c r="AE70" s="899"/>
      <c r="AF70" s="899"/>
      <c r="AG70" s="899"/>
      <c r="AH70" s="899"/>
      <c r="AI70" s="899"/>
      <c r="AJ70" s="899"/>
      <c r="AK70" s="899"/>
      <c r="AL70" s="899"/>
      <c r="AM70" s="232"/>
      <c r="AN70" s="232"/>
      <c r="AO70" s="232"/>
      <c r="AP70" s="232"/>
      <c r="AQ70" s="232"/>
      <c r="AR70" s="232"/>
      <c r="AS70" s="232"/>
      <c r="AT70" s="232"/>
      <c r="AU70" s="232"/>
      <c r="AV70" s="232"/>
      <c r="AW70" s="232"/>
      <c r="AX70" s="232"/>
      <c r="AY70" s="232"/>
      <c r="AZ70" s="232"/>
      <c r="BA70" s="232"/>
      <c r="BB70" s="232"/>
      <c r="BC70" s="232"/>
      <c r="BD70" s="232"/>
      <c r="BE70" s="232"/>
      <c r="BF70" s="232"/>
      <c r="BG70" s="232"/>
      <c r="BH70" s="232"/>
      <c r="BI70" s="232"/>
      <c r="BJ70" s="232"/>
      <c r="BK70" s="232"/>
      <c r="BL70" s="232"/>
      <c r="BM70" s="232"/>
      <c r="BN70" s="232"/>
      <c r="BO70" s="232"/>
      <c r="BP70" s="232"/>
      <c r="BQ70" s="232"/>
      <c r="BR70" s="232"/>
      <c r="BS70" s="232"/>
      <c r="BT70" s="232"/>
      <c r="BU70" s="232"/>
      <c r="BV70" s="232"/>
      <c r="BW70" s="232"/>
      <c r="BX70" s="232"/>
      <c r="BY70" s="232"/>
      <c r="BZ70" s="232"/>
      <c r="CA70" s="232"/>
      <c r="CB70" s="232"/>
      <c r="CC70" s="232"/>
      <c r="CD70" s="232"/>
      <c r="CE70" s="232"/>
      <c r="CF70" s="232"/>
      <c r="CG70" s="232"/>
      <c r="CH70" s="232"/>
      <c r="CI70" s="232"/>
      <c r="CJ70" s="232"/>
      <c r="CK70" s="232"/>
      <c r="CL70" s="232"/>
      <c r="CM70" s="232"/>
      <c r="CN70" s="232"/>
      <c r="CO70" s="232"/>
      <c r="CP70" s="232"/>
      <c r="CQ70" s="232"/>
      <c r="CR70" s="232"/>
      <c r="CS70" s="232"/>
      <c r="CT70" s="232"/>
      <c r="CU70" s="232"/>
      <c r="CV70" s="232"/>
      <c r="CW70" s="232"/>
      <c r="CX70" s="232"/>
      <c r="CY70" s="232"/>
      <c r="CZ70" s="232"/>
      <c r="DA70" s="232"/>
      <c r="DB70" s="232"/>
      <c r="DC70" s="232"/>
      <c r="DD70" s="232"/>
      <c r="DE70" s="232"/>
      <c r="DF70" s="232"/>
      <c r="DG70" s="232"/>
      <c r="DH70" s="232"/>
      <c r="DI70" s="232"/>
      <c r="DJ70" s="232"/>
      <c r="DK70" s="232"/>
      <c r="DL70" s="232"/>
      <c r="DM70" s="232"/>
      <c r="DN70" s="232"/>
      <c r="DO70" s="232"/>
      <c r="DP70" s="232"/>
      <c r="DQ70" s="232"/>
      <c r="DR70" s="232"/>
      <c r="DS70" s="232"/>
      <c r="DT70" s="232"/>
      <c r="DU70" s="232"/>
      <c r="DV70" s="232"/>
      <c r="DW70" s="232"/>
      <c r="DX70" s="232"/>
      <c r="DY70" s="232"/>
      <c r="DZ70" s="232"/>
      <c r="EA70" s="232"/>
      <c r="EB70" s="232"/>
      <c r="EC70" s="232"/>
      <c r="ED70" s="232"/>
      <c r="EE70" s="232"/>
      <c r="EF70" s="232"/>
      <c r="EG70" s="232"/>
      <c r="EH70" s="232"/>
      <c r="EI70" s="232"/>
      <c r="EJ70" s="232"/>
      <c r="EK70" s="232"/>
      <c r="EL70" s="232"/>
      <c r="EM70" s="232"/>
      <c r="EN70" s="232"/>
      <c r="EO70" s="232"/>
      <c r="EP70" s="232"/>
      <c r="EQ70" s="232"/>
      <c r="ER70" s="232"/>
      <c r="ES70" s="232"/>
      <c r="ET70" s="232"/>
      <c r="EU70" s="232"/>
      <c r="EV70" s="232"/>
      <c r="EW70" s="232"/>
      <c r="EX70" s="232"/>
      <c r="EY70" s="232"/>
      <c r="EZ70" s="232"/>
      <c r="FA70" s="232"/>
      <c r="FB70" s="232"/>
      <c r="FC70" s="232"/>
      <c r="FD70" s="232"/>
      <c r="FE70" s="232"/>
      <c r="FF70" s="232"/>
      <c r="FG70" s="232"/>
      <c r="FH70" s="232"/>
      <c r="FI70" s="232"/>
      <c r="FJ70" s="232"/>
      <c r="FK70" s="232"/>
      <c r="FL70" s="232"/>
      <c r="FM70" s="232"/>
      <c r="FN70" s="232"/>
      <c r="FO70" s="232"/>
      <c r="FP70" s="232"/>
      <c r="FQ70" s="232"/>
      <c r="FR70" s="232"/>
      <c r="FS70" s="232"/>
      <c r="FT70" s="232"/>
      <c r="FU70" s="232"/>
      <c r="FV70" s="232"/>
      <c r="FW70" s="232"/>
      <c r="FX70" s="232"/>
      <c r="FY70" s="232"/>
      <c r="FZ70" s="232"/>
      <c r="GA70" s="232"/>
      <c r="GB70" s="232"/>
      <c r="GC70" s="232"/>
      <c r="GD70" s="232"/>
      <c r="GE70" s="232"/>
      <c r="GF70" s="232"/>
      <c r="GG70" s="232"/>
      <c r="GH70" s="232"/>
      <c r="GI70" s="232"/>
      <c r="GJ70" s="232"/>
      <c r="GK70" s="232"/>
      <c r="GL70" s="232"/>
      <c r="GM70" s="232"/>
      <c r="GN70" s="232"/>
      <c r="GO70" s="232"/>
      <c r="GP70" s="232"/>
      <c r="GQ70" s="232"/>
      <c r="GR70" s="232"/>
      <c r="GS70" s="232"/>
      <c r="GT70" s="232"/>
      <c r="GU70" s="232"/>
      <c r="GV70" s="232"/>
      <c r="GW70" s="232"/>
      <c r="GX70" s="232"/>
      <c r="GY70" s="232"/>
      <c r="GZ70" s="232"/>
      <c r="HA70" s="232"/>
      <c r="HB70" s="232"/>
      <c r="HC70" s="232"/>
      <c r="HD70" s="232"/>
      <c r="HE70" s="232"/>
      <c r="HF70" s="232"/>
      <c r="HG70" s="232"/>
      <c r="HH70" s="232"/>
      <c r="HI70" s="232"/>
      <c r="HJ70" s="232"/>
      <c r="HK70" s="232"/>
      <c r="HL70" s="232"/>
      <c r="HM70" s="232"/>
      <c r="HN70" s="232"/>
      <c r="HO70" s="232"/>
      <c r="HP70" s="232"/>
      <c r="HQ70" s="232"/>
      <c r="HR70" s="232"/>
      <c r="HS70" s="232"/>
      <c r="HT70" s="232"/>
      <c r="HU70" s="232"/>
      <c r="HV70" s="232"/>
      <c r="HW70" s="232"/>
      <c r="HX70" s="232"/>
      <c r="HY70" s="232"/>
      <c r="HZ70" s="232"/>
      <c r="IA70" s="232"/>
      <c r="IB70" s="232"/>
      <c r="IC70" s="232"/>
    </row>
    <row r="71" spans="1:237" ht="14.1" customHeight="1">
      <c r="A71" s="232"/>
      <c r="B71" s="248"/>
      <c r="C71" s="248"/>
      <c r="D71" s="248"/>
      <c r="E71" s="248"/>
      <c r="F71" s="248"/>
      <c r="G71" s="248"/>
      <c r="H71" s="228"/>
      <c r="I71" s="228"/>
      <c r="K71" s="265"/>
      <c r="L71" s="899"/>
      <c r="M71" s="899"/>
      <c r="N71" s="899"/>
      <c r="O71" s="899"/>
      <c r="Q71" s="909"/>
      <c r="R71" s="899"/>
      <c r="S71" s="899"/>
      <c r="T71" s="899"/>
      <c r="U71" s="899"/>
      <c r="V71" s="899"/>
      <c r="W71" s="899"/>
      <c r="X71" s="899"/>
      <c r="Y71" s="899"/>
      <c r="Z71" s="899"/>
      <c r="AA71" s="899"/>
      <c r="AB71" s="899"/>
      <c r="AC71" s="899"/>
      <c r="AD71" s="899"/>
      <c r="AE71" s="899"/>
      <c r="AF71" s="899"/>
      <c r="AG71" s="899"/>
      <c r="AH71" s="899"/>
      <c r="AI71" s="899"/>
      <c r="AJ71" s="899"/>
      <c r="AK71" s="899"/>
      <c r="AL71" s="899"/>
      <c r="AM71" s="232"/>
      <c r="AN71" s="232"/>
      <c r="AO71" s="232"/>
      <c r="AP71" s="232"/>
      <c r="AQ71" s="232"/>
      <c r="AR71" s="232"/>
      <c r="AS71" s="232"/>
      <c r="AT71" s="232"/>
      <c r="AU71" s="232"/>
      <c r="AV71" s="232"/>
      <c r="AW71" s="232"/>
      <c r="AX71" s="232"/>
      <c r="AY71" s="232"/>
      <c r="AZ71" s="232"/>
      <c r="BA71" s="232"/>
      <c r="BB71" s="232"/>
      <c r="BC71" s="232"/>
      <c r="BD71" s="232"/>
      <c r="BE71" s="232"/>
      <c r="BF71" s="232"/>
      <c r="BG71" s="232"/>
      <c r="BH71" s="232"/>
      <c r="BI71" s="232"/>
      <c r="BJ71" s="232"/>
      <c r="BK71" s="232"/>
      <c r="BL71" s="232"/>
      <c r="BM71" s="232"/>
      <c r="BN71" s="232"/>
      <c r="BO71" s="232"/>
      <c r="BP71" s="232"/>
      <c r="BQ71" s="232"/>
      <c r="BR71" s="232"/>
      <c r="BS71" s="232"/>
      <c r="BT71" s="232"/>
      <c r="BU71" s="232"/>
      <c r="BV71" s="232"/>
      <c r="BW71" s="232"/>
      <c r="BX71" s="232"/>
      <c r="BY71" s="232"/>
      <c r="BZ71" s="232"/>
      <c r="CA71" s="232"/>
      <c r="CB71" s="232"/>
      <c r="CC71" s="232"/>
      <c r="CD71" s="232"/>
      <c r="CE71" s="232"/>
      <c r="CF71" s="232"/>
      <c r="CG71" s="232"/>
      <c r="CH71" s="232"/>
      <c r="CI71" s="232"/>
      <c r="CJ71" s="232"/>
      <c r="CK71" s="232"/>
      <c r="CL71" s="232"/>
      <c r="CM71" s="232"/>
      <c r="CN71" s="232"/>
      <c r="CO71" s="232"/>
      <c r="CP71" s="232"/>
      <c r="CQ71" s="232"/>
      <c r="CR71" s="232"/>
      <c r="CS71" s="232"/>
      <c r="CT71" s="232"/>
      <c r="CU71" s="232"/>
      <c r="CV71" s="232"/>
      <c r="CW71" s="232"/>
      <c r="CX71" s="232"/>
      <c r="CY71" s="232"/>
      <c r="CZ71" s="232"/>
      <c r="DA71" s="232"/>
      <c r="DB71" s="232"/>
      <c r="DC71" s="232"/>
      <c r="DD71" s="232"/>
      <c r="DE71" s="232"/>
      <c r="DF71" s="232"/>
      <c r="DG71" s="232"/>
      <c r="DH71" s="232"/>
      <c r="DI71" s="232"/>
      <c r="DJ71" s="232"/>
      <c r="DK71" s="232"/>
      <c r="DL71" s="232"/>
      <c r="DM71" s="232"/>
      <c r="DN71" s="232"/>
      <c r="DO71" s="232"/>
      <c r="DP71" s="232"/>
      <c r="DQ71" s="232"/>
      <c r="DR71" s="232"/>
      <c r="DS71" s="232"/>
      <c r="DT71" s="232"/>
      <c r="DU71" s="232"/>
      <c r="DV71" s="232"/>
      <c r="DW71" s="232"/>
      <c r="DX71" s="232"/>
      <c r="DY71" s="232"/>
      <c r="DZ71" s="232"/>
      <c r="EA71" s="232"/>
      <c r="EB71" s="232"/>
      <c r="EC71" s="232"/>
      <c r="ED71" s="232"/>
      <c r="EE71" s="232"/>
      <c r="EF71" s="232"/>
      <c r="EG71" s="232"/>
      <c r="EH71" s="232"/>
      <c r="EI71" s="232"/>
      <c r="EJ71" s="232"/>
      <c r="EK71" s="232"/>
      <c r="EL71" s="232"/>
      <c r="EM71" s="232"/>
      <c r="EN71" s="232"/>
      <c r="EO71" s="232"/>
      <c r="EP71" s="232"/>
      <c r="EQ71" s="232"/>
      <c r="ER71" s="232"/>
      <c r="ES71" s="232"/>
      <c r="ET71" s="232"/>
      <c r="EU71" s="232"/>
      <c r="EV71" s="232"/>
      <c r="EW71" s="232"/>
      <c r="EX71" s="232"/>
      <c r="EY71" s="232"/>
      <c r="EZ71" s="232"/>
      <c r="FA71" s="232"/>
      <c r="FB71" s="232"/>
      <c r="FC71" s="232"/>
      <c r="FD71" s="232"/>
      <c r="FE71" s="232"/>
      <c r="FF71" s="232"/>
      <c r="FG71" s="232"/>
      <c r="FH71" s="232"/>
      <c r="FI71" s="232"/>
      <c r="FJ71" s="232"/>
      <c r="FK71" s="232"/>
      <c r="FL71" s="232"/>
      <c r="FM71" s="232"/>
      <c r="FN71" s="232"/>
      <c r="FO71" s="232"/>
      <c r="FP71" s="232"/>
      <c r="FQ71" s="232"/>
      <c r="FR71" s="232"/>
      <c r="FS71" s="232"/>
      <c r="FT71" s="232"/>
      <c r="FU71" s="232"/>
      <c r="FV71" s="232"/>
      <c r="FW71" s="232"/>
      <c r="FX71" s="232"/>
      <c r="FY71" s="232"/>
      <c r="FZ71" s="232"/>
      <c r="GA71" s="232"/>
      <c r="GB71" s="232"/>
      <c r="GC71" s="232"/>
      <c r="GD71" s="232"/>
      <c r="GE71" s="232"/>
      <c r="GF71" s="232"/>
      <c r="GG71" s="232"/>
      <c r="GH71" s="232"/>
      <c r="GI71" s="232"/>
      <c r="GJ71" s="232"/>
      <c r="GK71" s="232"/>
      <c r="GL71" s="232"/>
      <c r="GM71" s="232"/>
      <c r="GN71" s="232"/>
      <c r="GO71" s="232"/>
      <c r="GP71" s="232"/>
      <c r="GQ71" s="232"/>
      <c r="GR71" s="232"/>
      <c r="GS71" s="232"/>
      <c r="GT71" s="232"/>
      <c r="GU71" s="232"/>
      <c r="GV71" s="232"/>
      <c r="GW71" s="232"/>
      <c r="GX71" s="232"/>
      <c r="GY71" s="232"/>
      <c r="GZ71" s="232"/>
      <c r="HA71" s="232"/>
      <c r="HB71" s="232"/>
      <c r="HC71" s="232"/>
      <c r="HD71" s="232"/>
      <c r="HE71" s="232"/>
      <c r="HF71" s="232"/>
      <c r="HG71" s="232"/>
      <c r="HH71" s="232"/>
      <c r="HI71" s="232"/>
      <c r="HJ71" s="232"/>
      <c r="HK71" s="232"/>
      <c r="HL71" s="232"/>
      <c r="HM71" s="232"/>
      <c r="HN71" s="232"/>
      <c r="HO71" s="232"/>
      <c r="HP71" s="232"/>
      <c r="HQ71" s="232"/>
      <c r="HR71" s="232"/>
      <c r="HS71" s="232"/>
      <c r="HT71" s="232"/>
      <c r="HU71" s="232"/>
      <c r="HV71" s="232"/>
      <c r="HW71" s="232"/>
      <c r="HX71" s="232"/>
      <c r="HY71" s="232"/>
      <c r="HZ71" s="232"/>
      <c r="IA71" s="232"/>
      <c r="IB71" s="232"/>
      <c r="IC71" s="232"/>
    </row>
    <row r="72" spans="1:237" ht="14.1" customHeight="1">
      <c r="A72" s="232"/>
      <c r="B72" s="248"/>
      <c r="C72" s="248"/>
      <c r="D72" s="248"/>
      <c r="E72" s="248"/>
      <c r="F72" s="248"/>
      <c r="G72" s="248"/>
      <c r="H72" s="228"/>
      <c r="I72" s="228"/>
      <c r="K72" s="265"/>
      <c r="L72" s="899"/>
      <c r="M72" s="899"/>
      <c r="N72" s="899"/>
      <c r="O72" s="899"/>
      <c r="Q72" s="909"/>
      <c r="R72" s="899"/>
      <c r="S72" s="899"/>
      <c r="T72" s="899"/>
      <c r="U72" s="899"/>
      <c r="V72" s="899"/>
      <c r="W72" s="899"/>
      <c r="X72" s="899"/>
      <c r="Y72" s="899"/>
      <c r="Z72" s="899"/>
      <c r="AA72" s="899"/>
      <c r="AB72" s="899"/>
      <c r="AC72" s="899"/>
      <c r="AD72" s="899"/>
      <c r="AE72" s="899"/>
      <c r="AF72" s="899"/>
      <c r="AG72" s="899"/>
      <c r="AH72" s="899"/>
      <c r="AI72" s="899"/>
      <c r="AJ72" s="899"/>
      <c r="AK72" s="899"/>
      <c r="AL72" s="899"/>
      <c r="AM72" s="232"/>
      <c r="AN72" s="232"/>
      <c r="AO72" s="232"/>
      <c r="AP72" s="232"/>
      <c r="AQ72" s="232"/>
      <c r="AR72" s="232"/>
      <c r="AS72" s="232"/>
      <c r="AT72" s="232"/>
      <c r="AU72" s="232"/>
      <c r="AV72" s="232"/>
      <c r="AW72" s="232"/>
      <c r="AX72" s="232"/>
      <c r="AY72" s="232"/>
      <c r="AZ72" s="232"/>
      <c r="BA72" s="232"/>
      <c r="BB72" s="232"/>
      <c r="BC72" s="232"/>
      <c r="BD72" s="232"/>
      <c r="BE72" s="232"/>
      <c r="BF72" s="232"/>
      <c r="BG72" s="232"/>
      <c r="BH72" s="232"/>
      <c r="BI72" s="232"/>
      <c r="BJ72" s="232"/>
      <c r="BK72" s="232"/>
      <c r="BL72" s="232"/>
      <c r="BM72" s="232"/>
      <c r="BN72" s="232"/>
      <c r="BO72" s="232"/>
      <c r="BP72" s="232"/>
      <c r="BQ72" s="232"/>
      <c r="BR72" s="232"/>
      <c r="BS72" s="232"/>
      <c r="BT72" s="232"/>
      <c r="BU72" s="232"/>
      <c r="BV72" s="232"/>
      <c r="BW72" s="232"/>
      <c r="BX72" s="232"/>
      <c r="BY72" s="232"/>
      <c r="BZ72" s="232"/>
      <c r="CA72" s="232"/>
      <c r="CB72" s="232"/>
      <c r="CC72" s="232"/>
      <c r="CD72" s="232"/>
      <c r="CE72" s="232"/>
      <c r="CF72" s="232"/>
      <c r="CG72" s="232"/>
      <c r="CH72" s="232"/>
      <c r="CI72" s="232"/>
      <c r="CJ72" s="232"/>
      <c r="CK72" s="232"/>
      <c r="CL72" s="232"/>
      <c r="CM72" s="232"/>
      <c r="CN72" s="232"/>
      <c r="CO72" s="232"/>
      <c r="CP72" s="232"/>
      <c r="CQ72" s="232"/>
      <c r="CR72" s="232"/>
      <c r="CS72" s="232"/>
      <c r="CT72" s="232"/>
      <c r="CU72" s="232"/>
      <c r="CV72" s="232"/>
      <c r="CW72" s="232"/>
      <c r="CX72" s="232"/>
      <c r="CY72" s="232"/>
      <c r="CZ72" s="232"/>
      <c r="DA72" s="232"/>
      <c r="DB72" s="232"/>
      <c r="DC72" s="232"/>
      <c r="DD72" s="232"/>
      <c r="DE72" s="232"/>
      <c r="DF72" s="232"/>
      <c r="DG72" s="232"/>
      <c r="DH72" s="232"/>
      <c r="DI72" s="232"/>
      <c r="DJ72" s="232"/>
      <c r="DK72" s="232"/>
      <c r="DL72" s="232"/>
      <c r="DM72" s="232"/>
      <c r="DN72" s="232"/>
      <c r="DO72" s="232"/>
      <c r="DP72" s="232"/>
      <c r="DQ72" s="232"/>
      <c r="DR72" s="232"/>
      <c r="DS72" s="232"/>
      <c r="DT72" s="232"/>
      <c r="DU72" s="232"/>
      <c r="DV72" s="232"/>
      <c r="DW72" s="232"/>
      <c r="DX72" s="232"/>
      <c r="DY72" s="232"/>
      <c r="DZ72" s="232"/>
      <c r="EA72" s="232"/>
      <c r="EB72" s="232"/>
      <c r="EC72" s="232"/>
      <c r="ED72" s="232"/>
      <c r="EE72" s="232"/>
      <c r="EF72" s="232"/>
      <c r="EG72" s="232"/>
      <c r="EH72" s="232"/>
      <c r="EI72" s="232"/>
      <c r="EJ72" s="232"/>
      <c r="EK72" s="232"/>
      <c r="EL72" s="232"/>
      <c r="EM72" s="232"/>
      <c r="EN72" s="232"/>
      <c r="EO72" s="232"/>
      <c r="EP72" s="232"/>
      <c r="EQ72" s="232"/>
      <c r="ER72" s="232"/>
      <c r="ES72" s="232"/>
      <c r="ET72" s="232"/>
      <c r="EU72" s="232"/>
      <c r="EV72" s="232"/>
      <c r="EW72" s="232"/>
      <c r="EX72" s="232"/>
      <c r="EY72" s="232"/>
      <c r="EZ72" s="232"/>
      <c r="FA72" s="232"/>
      <c r="FB72" s="232"/>
      <c r="FC72" s="232"/>
      <c r="FD72" s="232"/>
      <c r="FE72" s="232"/>
      <c r="FF72" s="232"/>
      <c r="FG72" s="232"/>
      <c r="FH72" s="232"/>
      <c r="FI72" s="232"/>
      <c r="FJ72" s="232"/>
      <c r="FK72" s="232"/>
      <c r="FL72" s="232"/>
      <c r="FM72" s="232"/>
      <c r="FN72" s="232"/>
      <c r="FO72" s="232"/>
      <c r="FP72" s="232"/>
      <c r="FQ72" s="232"/>
      <c r="FR72" s="232"/>
      <c r="FS72" s="232"/>
      <c r="FT72" s="232"/>
      <c r="FU72" s="232"/>
      <c r="FV72" s="232"/>
      <c r="FW72" s="232"/>
      <c r="FX72" s="232"/>
      <c r="FY72" s="232"/>
      <c r="FZ72" s="232"/>
      <c r="GA72" s="232"/>
      <c r="GB72" s="232"/>
      <c r="GC72" s="232"/>
      <c r="GD72" s="232"/>
      <c r="GE72" s="232"/>
      <c r="GF72" s="232"/>
      <c r="GG72" s="232"/>
      <c r="GH72" s="232"/>
      <c r="GI72" s="232"/>
      <c r="GJ72" s="232"/>
      <c r="GK72" s="232"/>
      <c r="GL72" s="232"/>
      <c r="GM72" s="232"/>
      <c r="GN72" s="232"/>
      <c r="GO72" s="232"/>
      <c r="GP72" s="232"/>
      <c r="GQ72" s="232"/>
      <c r="GR72" s="232"/>
      <c r="GS72" s="232"/>
      <c r="GT72" s="232"/>
      <c r="GU72" s="232"/>
      <c r="GV72" s="232"/>
      <c r="GW72" s="232"/>
      <c r="GX72" s="232"/>
      <c r="GY72" s="232"/>
      <c r="GZ72" s="232"/>
      <c r="HA72" s="232"/>
      <c r="HB72" s="232"/>
      <c r="HC72" s="232"/>
      <c r="HD72" s="232"/>
      <c r="HE72" s="232"/>
      <c r="HF72" s="232"/>
      <c r="HG72" s="232"/>
      <c r="HH72" s="232"/>
      <c r="HI72" s="232"/>
      <c r="HJ72" s="232"/>
      <c r="HK72" s="232"/>
      <c r="HL72" s="232"/>
      <c r="HM72" s="232"/>
      <c r="HN72" s="232"/>
      <c r="HO72" s="232"/>
      <c r="HP72" s="232"/>
      <c r="HQ72" s="232"/>
      <c r="HR72" s="232"/>
      <c r="HS72" s="232"/>
      <c r="HT72" s="232"/>
      <c r="HU72" s="232"/>
      <c r="HV72" s="232"/>
      <c r="HW72" s="232"/>
      <c r="HX72" s="232"/>
      <c r="HY72" s="232"/>
      <c r="HZ72" s="232"/>
      <c r="IA72" s="232"/>
      <c r="IB72" s="232"/>
      <c r="IC72" s="232"/>
    </row>
    <row r="73" spans="1:237" ht="14.1" customHeight="1">
      <c r="A73" s="232"/>
      <c r="B73" s="248"/>
      <c r="C73" s="248"/>
      <c r="D73" s="248"/>
      <c r="E73" s="248"/>
      <c r="F73" s="248"/>
      <c r="G73" s="248"/>
      <c r="H73" s="228"/>
      <c r="I73" s="228"/>
      <c r="K73" s="265"/>
      <c r="L73" s="899"/>
      <c r="M73" s="899"/>
      <c r="N73" s="899"/>
      <c r="O73" s="899"/>
      <c r="Q73" s="909"/>
      <c r="R73" s="899"/>
      <c r="S73" s="899"/>
      <c r="T73" s="899"/>
      <c r="U73" s="899"/>
      <c r="V73" s="899"/>
      <c r="W73" s="899"/>
      <c r="X73" s="899"/>
      <c r="Y73" s="899"/>
      <c r="Z73" s="899"/>
      <c r="AA73" s="899"/>
      <c r="AB73" s="899"/>
      <c r="AC73" s="899"/>
      <c r="AD73" s="899"/>
      <c r="AE73" s="899"/>
      <c r="AF73" s="899"/>
      <c r="AG73" s="899"/>
      <c r="AH73" s="899"/>
      <c r="AI73" s="899"/>
      <c r="AJ73" s="899"/>
      <c r="AK73" s="899"/>
      <c r="AL73" s="899"/>
      <c r="AM73" s="232"/>
      <c r="AN73" s="232"/>
      <c r="AO73" s="232"/>
      <c r="AP73" s="232"/>
      <c r="AQ73" s="232"/>
      <c r="AR73" s="232"/>
      <c r="AS73" s="232"/>
      <c r="AT73" s="232"/>
      <c r="AU73" s="232"/>
      <c r="AV73" s="232"/>
      <c r="AW73" s="232"/>
      <c r="AX73" s="232"/>
      <c r="AY73" s="232"/>
      <c r="AZ73" s="232"/>
      <c r="BA73" s="232"/>
      <c r="BB73" s="232"/>
      <c r="BC73" s="232"/>
      <c r="BD73" s="232"/>
      <c r="BE73" s="232"/>
      <c r="BF73" s="232"/>
      <c r="BG73" s="232"/>
      <c r="BH73" s="232"/>
      <c r="BI73" s="232"/>
      <c r="BJ73" s="232"/>
      <c r="BK73" s="232"/>
      <c r="BL73" s="232"/>
      <c r="BM73" s="232"/>
      <c r="BN73" s="232"/>
      <c r="BO73" s="232"/>
      <c r="BP73" s="232"/>
      <c r="BQ73" s="232"/>
      <c r="BR73" s="232"/>
      <c r="BS73" s="232"/>
      <c r="BT73" s="232"/>
      <c r="BU73" s="232"/>
      <c r="BV73" s="232"/>
      <c r="BW73" s="232"/>
      <c r="BX73" s="232"/>
      <c r="BY73" s="232"/>
      <c r="BZ73" s="232"/>
      <c r="CA73" s="232"/>
      <c r="CB73" s="232"/>
      <c r="CC73" s="232"/>
      <c r="CD73" s="232"/>
      <c r="CE73" s="232"/>
      <c r="CF73" s="232"/>
      <c r="CG73" s="232"/>
      <c r="CH73" s="232"/>
      <c r="CI73" s="232"/>
      <c r="CJ73" s="232"/>
      <c r="CK73" s="232"/>
      <c r="CL73" s="232"/>
      <c r="CM73" s="232"/>
      <c r="CN73" s="232"/>
      <c r="CO73" s="232"/>
      <c r="CP73" s="232"/>
      <c r="CQ73" s="232"/>
      <c r="CR73" s="232"/>
      <c r="CS73" s="232"/>
      <c r="CT73" s="232"/>
      <c r="CU73" s="232"/>
      <c r="CV73" s="232"/>
      <c r="CW73" s="232"/>
      <c r="CX73" s="232"/>
      <c r="CY73" s="232"/>
      <c r="CZ73" s="232"/>
      <c r="DA73" s="232"/>
      <c r="DB73" s="232"/>
      <c r="DC73" s="232"/>
      <c r="DD73" s="232"/>
      <c r="DE73" s="232"/>
      <c r="DF73" s="232"/>
      <c r="DG73" s="232"/>
      <c r="DH73" s="232"/>
      <c r="DI73" s="232"/>
      <c r="DJ73" s="232"/>
      <c r="DK73" s="232"/>
      <c r="DL73" s="232"/>
      <c r="DM73" s="232"/>
      <c r="DN73" s="232"/>
      <c r="DO73" s="232"/>
      <c r="DP73" s="232"/>
      <c r="DQ73" s="232"/>
      <c r="DR73" s="232"/>
      <c r="DS73" s="232"/>
      <c r="DT73" s="232"/>
      <c r="DU73" s="232"/>
      <c r="DV73" s="232"/>
      <c r="DW73" s="232"/>
      <c r="DX73" s="232"/>
      <c r="DY73" s="232"/>
      <c r="DZ73" s="232"/>
      <c r="EA73" s="232"/>
      <c r="EB73" s="232"/>
      <c r="EC73" s="232"/>
      <c r="ED73" s="232"/>
      <c r="EE73" s="232"/>
      <c r="EF73" s="232"/>
      <c r="EG73" s="232"/>
      <c r="EH73" s="232"/>
      <c r="EI73" s="232"/>
      <c r="EJ73" s="232"/>
      <c r="EK73" s="232"/>
      <c r="EL73" s="232"/>
      <c r="EM73" s="232"/>
      <c r="EN73" s="232"/>
      <c r="EO73" s="232"/>
      <c r="EP73" s="232"/>
      <c r="EQ73" s="232"/>
      <c r="ER73" s="232"/>
      <c r="ES73" s="232"/>
      <c r="ET73" s="232"/>
      <c r="EU73" s="232"/>
      <c r="EV73" s="232"/>
      <c r="EW73" s="232"/>
      <c r="EX73" s="232"/>
      <c r="EY73" s="232"/>
      <c r="EZ73" s="232"/>
      <c r="FA73" s="232"/>
      <c r="FB73" s="232"/>
      <c r="FC73" s="232"/>
      <c r="FD73" s="232"/>
      <c r="FE73" s="232"/>
      <c r="FF73" s="232"/>
      <c r="FG73" s="232"/>
      <c r="FH73" s="232"/>
      <c r="FI73" s="232"/>
      <c r="FJ73" s="232"/>
      <c r="FK73" s="232"/>
      <c r="FL73" s="232"/>
      <c r="FM73" s="232"/>
      <c r="FN73" s="232"/>
      <c r="FO73" s="232"/>
      <c r="FP73" s="232"/>
      <c r="FQ73" s="232"/>
      <c r="FR73" s="232"/>
      <c r="FS73" s="232"/>
      <c r="FT73" s="232"/>
      <c r="FU73" s="232"/>
      <c r="FV73" s="232"/>
      <c r="FW73" s="232"/>
      <c r="FX73" s="232"/>
      <c r="FY73" s="232"/>
      <c r="FZ73" s="232"/>
      <c r="GA73" s="232"/>
      <c r="GB73" s="232"/>
      <c r="GC73" s="232"/>
      <c r="GD73" s="232"/>
      <c r="GE73" s="232"/>
      <c r="GF73" s="232"/>
      <c r="GG73" s="232"/>
      <c r="GH73" s="232"/>
      <c r="GI73" s="232"/>
      <c r="GJ73" s="232"/>
      <c r="GK73" s="232"/>
      <c r="GL73" s="232"/>
      <c r="GM73" s="232"/>
      <c r="GN73" s="232"/>
      <c r="GO73" s="232"/>
      <c r="GP73" s="232"/>
      <c r="GQ73" s="232"/>
      <c r="GR73" s="232"/>
      <c r="GS73" s="232"/>
      <c r="GT73" s="232"/>
      <c r="GU73" s="232"/>
      <c r="GV73" s="232"/>
      <c r="GW73" s="232"/>
      <c r="GX73" s="232"/>
      <c r="GY73" s="232"/>
      <c r="GZ73" s="232"/>
      <c r="HA73" s="232"/>
      <c r="HB73" s="232"/>
      <c r="HC73" s="232"/>
      <c r="HD73" s="232"/>
      <c r="HE73" s="232"/>
      <c r="HF73" s="232"/>
      <c r="HG73" s="232"/>
      <c r="HH73" s="232"/>
      <c r="HI73" s="232"/>
      <c r="HJ73" s="232"/>
      <c r="HK73" s="232"/>
      <c r="HL73" s="232"/>
      <c r="HM73" s="232"/>
      <c r="HN73" s="232"/>
      <c r="HO73" s="232"/>
      <c r="HP73" s="232"/>
      <c r="HQ73" s="232"/>
      <c r="HR73" s="232"/>
      <c r="HS73" s="232"/>
      <c r="HT73" s="232"/>
      <c r="HU73" s="232"/>
      <c r="HV73" s="232"/>
      <c r="HW73" s="232"/>
      <c r="HX73" s="232"/>
      <c r="HY73" s="232"/>
      <c r="HZ73" s="232"/>
      <c r="IA73" s="232"/>
      <c r="IB73" s="232"/>
      <c r="IC73" s="232"/>
    </row>
    <row r="74" spans="1:237" ht="14.1" customHeight="1">
      <c r="A74" s="232"/>
      <c r="B74" s="248"/>
      <c r="C74" s="248"/>
      <c r="D74" s="248"/>
      <c r="E74" s="248"/>
      <c r="F74" s="248"/>
      <c r="G74" s="248"/>
      <c r="H74" s="228"/>
      <c r="I74" s="228"/>
      <c r="K74" s="265"/>
      <c r="L74" s="899"/>
      <c r="M74" s="899"/>
      <c r="N74" s="899"/>
      <c r="O74" s="899"/>
      <c r="Q74" s="909"/>
      <c r="R74" s="899"/>
      <c r="S74" s="899"/>
      <c r="T74" s="899"/>
      <c r="U74" s="899"/>
      <c r="V74" s="899"/>
      <c r="W74" s="899"/>
      <c r="X74" s="899"/>
      <c r="Y74" s="899"/>
      <c r="Z74" s="899"/>
      <c r="AA74" s="899"/>
      <c r="AB74" s="899"/>
      <c r="AC74" s="899"/>
      <c r="AD74" s="899"/>
      <c r="AE74" s="899"/>
      <c r="AF74" s="899"/>
      <c r="AG74" s="899"/>
      <c r="AH74" s="899"/>
      <c r="AI74" s="899"/>
      <c r="AJ74" s="899"/>
      <c r="AK74" s="899"/>
      <c r="AL74" s="899"/>
      <c r="AM74" s="232"/>
      <c r="AN74" s="232"/>
      <c r="AO74" s="232"/>
      <c r="AP74" s="232"/>
      <c r="AQ74" s="232"/>
      <c r="AR74" s="232"/>
      <c r="AS74" s="232"/>
      <c r="AT74" s="232"/>
      <c r="AU74" s="232"/>
      <c r="AV74" s="232"/>
      <c r="AW74" s="232"/>
      <c r="AX74" s="232"/>
      <c r="AY74" s="232"/>
      <c r="AZ74" s="232"/>
      <c r="BA74" s="232"/>
      <c r="BB74" s="232"/>
      <c r="BC74" s="232"/>
      <c r="BD74" s="232"/>
      <c r="BE74" s="232"/>
      <c r="BF74" s="232"/>
      <c r="BG74" s="232"/>
      <c r="BH74" s="232"/>
      <c r="BI74" s="232"/>
      <c r="BJ74" s="232"/>
      <c r="BK74" s="232"/>
      <c r="BL74" s="232"/>
      <c r="BM74" s="232"/>
      <c r="BN74" s="232"/>
      <c r="BO74" s="232"/>
      <c r="BP74" s="232"/>
      <c r="BQ74" s="232"/>
      <c r="BR74" s="232"/>
      <c r="BS74" s="232"/>
      <c r="BT74" s="232"/>
      <c r="BU74" s="232"/>
      <c r="BV74" s="232"/>
      <c r="BW74" s="232"/>
      <c r="BX74" s="232"/>
      <c r="BY74" s="232"/>
      <c r="BZ74" s="232"/>
      <c r="CA74" s="232"/>
      <c r="CB74" s="232"/>
      <c r="CC74" s="232"/>
      <c r="CD74" s="232"/>
      <c r="CE74" s="232"/>
      <c r="CF74" s="232"/>
      <c r="CG74" s="232"/>
      <c r="CH74" s="232"/>
      <c r="CI74" s="232"/>
      <c r="CJ74" s="232"/>
      <c r="CK74" s="232"/>
      <c r="CL74" s="232"/>
      <c r="CM74" s="232"/>
      <c r="CN74" s="232"/>
      <c r="CO74" s="232"/>
      <c r="CP74" s="232"/>
      <c r="CQ74" s="232"/>
      <c r="CR74" s="232"/>
      <c r="CS74" s="232"/>
      <c r="CT74" s="232"/>
      <c r="CU74" s="232"/>
      <c r="CV74" s="232"/>
      <c r="CW74" s="232"/>
      <c r="CX74" s="232"/>
      <c r="CY74" s="232"/>
      <c r="CZ74" s="232"/>
      <c r="DA74" s="232"/>
      <c r="DB74" s="232"/>
      <c r="DC74" s="232"/>
      <c r="DD74" s="232"/>
      <c r="DE74" s="232"/>
      <c r="DF74" s="232"/>
      <c r="DG74" s="232"/>
      <c r="DH74" s="232"/>
      <c r="DI74" s="232"/>
      <c r="DJ74" s="232"/>
      <c r="DK74" s="232"/>
      <c r="DL74" s="232"/>
      <c r="DM74" s="232"/>
      <c r="DN74" s="232"/>
      <c r="DO74" s="232"/>
      <c r="DP74" s="232"/>
      <c r="DQ74" s="232"/>
      <c r="DR74" s="232"/>
      <c r="DS74" s="232"/>
      <c r="DT74" s="232"/>
      <c r="DU74" s="232"/>
      <c r="DV74" s="232"/>
      <c r="DW74" s="232"/>
      <c r="DX74" s="232"/>
      <c r="DY74" s="232"/>
      <c r="DZ74" s="232"/>
      <c r="EA74" s="232"/>
      <c r="EB74" s="232"/>
      <c r="EC74" s="232"/>
      <c r="ED74" s="232"/>
      <c r="EE74" s="232"/>
      <c r="EF74" s="232"/>
      <c r="EG74" s="232"/>
      <c r="EH74" s="232"/>
      <c r="EI74" s="232"/>
      <c r="EJ74" s="232"/>
      <c r="EK74" s="232"/>
      <c r="EL74" s="232"/>
      <c r="EM74" s="232"/>
      <c r="EN74" s="232"/>
      <c r="EO74" s="232"/>
      <c r="EP74" s="232"/>
      <c r="EQ74" s="232"/>
      <c r="ER74" s="232"/>
      <c r="ES74" s="232"/>
      <c r="ET74" s="232"/>
      <c r="EU74" s="232"/>
      <c r="EV74" s="232"/>
      <c r="EW74" s="232"/>
      <c r="EX74" s="232"/>
      <c r="EY74" s="232"/>
      <c r="EZ74" s="232"/>
      <c r="FA74" s="232"/>
      <c r="FB74" s="232"/>
      <c r="FC74" s="232"/>
      <c r="FD74" s="232"/>
      <c r="FE74" s="232"/>
      <c r="FF74" s="232"/>
      <c r="FG74" s="232"/>
      <c r="FH74" s="232"/>
      <c r="FI74" s="232"/>
      <c r="FJ74" s="232"/>
      <c r="FK74" s="232"/>
      <c r="FL74" s="232"/>
      <c r="FM74" s="232"/>
      <c r="FN74" s="232"/>
      <c r="FO74" s="232"/>
      <c r="FP74" s="232"/>
      <c r="FQ74" s="232"/>
      <c r="FR74" s="232"/>
      <c r="FS74" s="232"/>
      <c r="FT74" s="232"/>
      <c r="FU74" s="232"/>
      <c r="FV74" s="232"/>
      <c r="FW74" s="232"/>
      <c r="FX74" s="232"/>
      <c r="FY74" s="232"/>
      <c r="FZ74" s="232"/>
      <c r="GA74" s="232"/>
      <c r="GB74" s="232"/>
      <c r="GC74" s="232"/>
      <c r="GD74" s="232"/>
      <c r="GE74" s="232"/>
      <c r="GF74" s="232"/>
      <c r="GG74" s="232"/>
      <c r="GH74" s="232"/>
      <c r="GI74" s="232"/>
      <c r="GJ74" s="232"/>
      <c r="GK74" s="232"/>
      <c r="GL74" s="232"/>
      <c r="GM74" s="232"/>
      <c r="GN74" s="232"/>
      <c r="GO74" s="232"/>
      <c r="GP74" s="232"/>
      <c r="GQ74" s="232"/>
      <c r="GR74" s="232"/>
      <c r="GS74" s="232"/>
      <c r="GT74" s="232"/>
      <c r="GU74" s="232"/>
      <c r="GV74" s="232"/>
      <c r="GW74" s="232"/>
      <c r="GX74" s="232"/>
      <c r="GY74" s="232"/>
      <c r="GZ74" s="232"/>
      <c r="HA74" s="232"/>
      <c r="HB74" s="232"/>
      <c r="HC74" s="232"/>
      <c r="HD74" s="232"/>
      <c r="HE74" s="232"/>
      <c r="HF74" s="232"/>
      <c r="HG74" s="232"/>
      <c r="HH74" s="232"/>
      <c r="HI74" s="232"/>
      <c r="HJ74" s="232"/>
      <c r="HK74" s="232"/>
      <c r="HL74" s="232"/>
      <c r="HM74" s="232"/>
      <c r="HN74" s="232"/>
      <c r="HO74" s="232"/>
      <c r="HP74" s="232"/>
      <c r="HQ74" s="232"/>
      <c r="HR74" s="232"/>
      <c r="HS74" s="232"/>
      <c r="HT74" s="232"/>
      <c r="HU74" s="232"/>
      <c r="HV74" s="232"/>
      <c r="HW74" s="232"/>
      <c r="HX74" s="232"/>
      <c r="HY74" s="232"/>
      <c r="HZ74" s="232"/>
      <c r="IA74" s="232"/>
      <c r="IB74" s="232"/>
      <c r="IC74" s="232"/>
    </row>
    <row r="75" spans="1:237" ht="14.1" customHeight="1">
      <c r="A75" s="232"/>
      <c r="B75" s="248"/>
      <c r="C75" s="248"/>
      <c r="D75" s="248"/>
      <c r="E75" s="248"/>
      <c r="F75" s="248"/>
      <c r="G75" s="248"/>
      <c r="H75" s="228"/>
      <c r="I75" s="228"/>
      <c r="K75" s="265"/>
      <c r="L75" s="899"/>
      <c r="M75" s="899"/>
      <c r="N75" s="899"/>
      <c r="O75" s="899"/>
      <c r="Q75" s="909"/>
      <c r="R75" s="899"/>
      <c r="S75" s="899"/>
      <c r="T75" s="899"/>
      <c r="U75" s="899"/>
      <c r="V75" s="899"/>
      <c r="W75" s="899"/>
      <c r="X75" s="899"/>
      <c r="Y75" s="899"/>
      <c r="Z75" s="899"/>
      <c r="AA75" s="899"/>
      <c r="AB75" s="899"/>
      <c r="AC75" s="899"/>
      <c r="AD75" s="899"/>
      <c r="AE75" s="899"/>
      <c r="AF75" s="899"/>
      <c r="AG75" s="899"/>
      <c r="AH75" s="899"/>
      <c r="AI75" s="899"/>
      <c r="AJ75" s="899"/>
      <c r="AK75" s="899"/>
      <c r="AL75" s="899"/>
      <c r="AM75" s="232"/>
      <c r="AN75" s="232"/>
      <c r="AO75" s="232"/>
      <c r="AP75" s="232"/>
      <c r="AQ75" s="232"/>
      <c r="AR75" s="232"/>
      <c r="AS75" s="232"/>
      <c r="AT75" s="232"/>
      <c r="AU75" s="232"/>
      <c r="AV75" s="232"/>
      <c r="AW75" s="232"/>
      <c r="AX75" s="232"/>
      <c r="AY75" s="232"/>
      <c r="AZ75" s="232"/>
      <c r="BA75" s="232"/>
      <c r="BB75" s="232"/>
      <c r="BC75" s="232"/>
      <c r="BD75" s="232"/>
      <c r="BE75" s="232"/>
      <c r="BF75" s="232"/>
      <c r="BG75" s="232"/>
      <c r="BH75" s="232"/>
      <c r="BI75" s="232"/>
      <c r="BJ75" s="232"/>
      <c r="BK75" s="232"/>
      <c r="BL75" s="232"/>
      <c r="BM75" s="232"/>
      <c r="BN75" s="232"/>
      <c r="BO75" s="232"/>
      <c r="BP75" s="232"/>
      <c r="BQ75" s="232"/>
      <c r="BR75" s="232"/>
      <c r="BS75" s="232"/>
      <c r="BT75" s="232"/>
      <c r="BU75" s="232"/>
      <c r="BV75" s="232"/>
      <c r="BW75" s="232"/>
      <c r="BX75" s="232"/>
      <c r="BY75" s="232"/>
      <c r="BZ75" s="232"/>
      <c r="CA75" s="232"/>
      <c r="CB75" s="232"/>
      <c r="CC75" s="232"/>
      <c r="CD75" s="232"/>
      <c r="CE75" s="232"/>
      <c r="CF75" s="232"/>
      <c r="CG75" s="232"/>
      <c r="CH75" s="232"/>
      <c r="CI75" s="232"/>
      <c r="CJ75" s="232"/>
      <c r="CK75" s="232"/>
      <c r="CL75" s="232"/>
      <c r="CM75" s="232"/>
      <c r="CN75" s="232"/>
      <c r="CO75" s="232"/>
      <c r="CP75" s="232"/>
      <c r="CQ75" s="232"/>
      <c r="CR75" s="232"/>
      <c r="CS75" s="232"/>
      <c r="CT75" s="232"/>
      <c r="CU75" s="232"/>
      <c r="CV75" s="232"/>
      <c r="CW75" s="232"/>
      <c r="CX75" s="232"/>
      <c r="CY75" s="232"/>
      <c r="CZ75" s="232"/>
      <c r="DA75" s="232"/>
      <c r="DB75" s="232"/>
      <c r="DC75" s="232"/>
      <c r="DD75" s="232"/>
      <c r="DE75" s="232"/>
      <c r="DF75" s="232"/>
      <c r="DG75" s="232"/>
      <c r="DH75" s="232"/>
      <c r="DI75" s="232"/>
      <c r="DJ75" s="232"/>
      <c r="DK75" s="232"/>
      <c r="DL75" s="232"/>
      <c r="DM75" s="232"/>
      <c r="DN75" s="232"/>
      <c r="DO75" s="232"/>
      <c r="DP75" s="232"/>
      <c r="DQ75" s="232"/>
      <c r="DR75" s="232"/>
      <c r="DS75" s="232"/>
      <c r="DT75" s="232"/>
      <c r="DU75" s="232"/>
      <c r="DV75" s="232"/>
      <c r="DW75" s="232"/>
      <c r="DX75" s="232"/>
      <c r="DY75" s="232"/>
      <c r="DZ75" s="232"/>
      <c r="EA75" s="232"/>
      <c r="EB75" s="232"/>
      <c r="EC75" s="232"/>
      <c r="ED75" s="232"/>
      <c r="EE75" s="232"/>
      <c r="EF75" s="232"/>
      <c r="EG75" s="232"/>
      <c r="EH75" s="232"/>
      <c r="EI75" s="232"/>
      <c r="EJ75" s="232"/>
      <c r="EK75" s="232"/>
      <c r="EL75" s="232"/>
      <c r="EM75" s="232"/>
      <c r="EN75" s="232"/>
      <c r="EO75" s="232"/>
      <c r="EP75" s="232"/>
      <c r="EQ75" s="232"/>
      <c r="ER75" s="232"/>
      <c r="ES75" s="232"/>
      <c r="ET75" s="232"/>
      <c r="EU75" s="232"/>
      <c r="EV75" s="232"/>
      <c r="EW75" s="232"/>
      <c r="EX75" s="232"/>
      <c r="EY75" s="232"/>
      <c r="EZ75" s="232"/>
      <c r="FA75" s="232"/>
      <c r="FB75" s="232"/>
      <c r="FC75" s="232"/>
      <c r="FD75" s="232"/>
      <c r="FE75" s="232"/>
      <c r="FF75" s="232"/>
      <c r="FG75" s="232"/>
      <c r="FH75" s="232"/>
      <c r="FI75" s="232"/>
      <c r="FJ75" s="232"/>
      <c r="FK75" s="232"/>
      <c r="FL75" s="232"/>
      <c r="FM75" s="232"/>
      <c r="FN75" s="232"/>
      <c r="FO75" s="232"/>
      <c r="FP75" s="232"/>
      <c r="FQ75" s="232"/>
      <c r="FR75" s="232"/>
      <c r="FS75" s="232"/>
      <c r="FT75" s="232"/>
      <c r="FU75" s="232"/>
      <c r="FV75" s="232"/>
      <c r="FW75" s="232"/>
      <c r="FX75" s="232"/>
      <c r="FY75" s="232"/>
      <c r="FZ75" s="232"/>
      <c r="GA75" s="232"/>
      <c r="GB75" s="232"/>
      <c r="GC75" s="232"/>
      <c r="GD75" s="232"/>
      <c r="GE75" s="232"/>
      <c r="GF75" s="232"/>
      <c r="GG75" s="232"/>
      <c r="GH75" s="232"/>
      <c r="GI75" s="232"/>
      <c r="GJ75" s="232"/>
      <c r="GK75" s="232"/>
      <c r="GL75" s="232"/>
      <c r="GM75" s="232"/>
      <c r="GN75" s="232"/>
      <c r="GO75" s="232"/>
      <c r="GP75" s="232"/>
      <c r="GQ75" s="232"/>
      <c r="GR75" s="232"/>
      <c r="GS75" s="232"/>
      <c r="GT75" s="232"/>
      <c r="GU75" s="232"/>
      <c r="GV75" s="232"/>
      <c r="GW75" s="232"/>
      <c r="GX75" s="232"/>
      <c r="GY75" s="232"/>
      <c r="GZ75" s="232"/>
      <c r="HA75" s="232"/>
      <c r="HB75" s="232"/>
      <c r="HC75" s="232"/>
      <c r="HD75" s="232"/>
      <c r="HE75" s="232"/>
      <c r="HF75" s="232"/>
      <c r="HG75" s="232"/>
      <c r="HH75" s="232"/>
      <c r="HI75" s="232"/>
      <c r="HJ75" s="232"/>
      <c r="HK75" s="232"/>
      <c r="HL75" s="232"/>
      <c r="HM75" s="232"/>
      <c r="HN75" s="232"/>
      <c r="HO75" s="232"/>
      <c r="HP75" s="232"/>
      <c r="HQ75" s="232"/>
      <c r="HR75" s="232"/>
      <c r="HS75" s="232"/>
      <c r="HT75" s="232"/>
      <c r="HU75" s="232"/>
      <c r="HV75" s="232"/>
      <c r="HW75" s="232"/>
      <c r="HX75" s="232"/>
      <c r="HY75" s="232"/>
      <c r="HZ75" s="232"/>
      <c r="IA75" s="232"/>
      <c r="IB75" s="232"/>
      <c r="IC75" s="232"/>
    </row>
    <row r="76" spans="1:237" ht="14.1" customHeight="1">
      <c r="A76" s="232"/>
      <c r="B76" s="248"/>
      <c r="C76" s="248"/>
      <c r="D76" s="248"/>
      <c r="E76" s="248"/>
      <c r="F76" s="248"/>
      <c r="G76" s="248"/>
      <c r="H76" s="228"/>
      <c r="I76" s="228"/>
      <c r="K76" s="265"/>
      <c r="L76" s="899"/>
      <c r="M76" s="899"/>
      <c r="N76" s="899"/>
      <c r="O76" s="899"/>
      <c r="Q76" s="909"/>
      <c r="R76" s="899"/>
      <c r="S76" s="899"/>
      <c r="T76" s="899"/>
      <c r="U76" s="899"/>
      <c r="V76" s="899"/>
      <c r="W76" s="899"/>
      <c r="X76" s="899"/>
      <c r="Y76" s="899"/>
      <c r="Z76" s="899"/>
      <c r="AA76" s="899"/>
      <c r="AB76" s="899"/>
      <c r="AC76" s="899"/>
      <c r="AD76" s="899"/>
      <c r="AE76" s="899"/>
      <c r="AF76" s="899"/>
      <c r="AG76" s="899"/>
      <c r="AH76" s="899"/>
      <c r="AI76" s="899"/>
      <c r="AJ76" s="899"/>
      <c r="AK76" s="899"/>
      <c r="AL76" s="899"/>
      <c r="AM76" s="232"/>
      <c r="AN76" s="232"/>
      <c r="AO76" s="232"/>
      <c r="AP76" s="232"/>
      <c r="AQ76" s="232"/>
      <c r="AR76" s="232"/>
      <c r="AS76" s="232"/>
      <c r="AT76" s="232"/>
      <c r="AU76" s="232"/>
      <c r="AV76" s="232"/>
      <c r="AW76" s="232"/>
      <c r="AX76" s="232"/>
      <c r="AY76" s="232"/>
      <c r="AZ76" s="232"/>
      <c r="BA76" s="232"/>
      <c r="BB76" s="232"/>
      <c r="BC76" s="232"/>
      <c r="BD76" s="232"/>
      <c r="BE76" s="232"/>
      <c r="BF76" s="232"/>
      <c r="BG76" s="232"/>
      <c r="BH76" s="232"/>
      <c r="BI76" s="232"/>
      <c r="BJ76" s="232"/>
      <c r="BK76" s="232"/>
      <c r="BL76" s="232"/>
      <c r="BM76" s="232"/>
      <c r="BN76" s="232"/>
      <c r="BO76" s="232"/>
      <c r="BP76" s="232"/>
      <c r="BQ76" s="232"/>
      <c r="BR76" s="232"/>
      <c r="BS76" s="232"/>
      <c r="BT76" s="232"/>
      <c r="BU76" s="232"/>
      <c r="BV76" s="232"/>
      <c r="BW76" s="232"/>
      <c r="BX76" s="232"/>
      <c r="BY76" s="232"/>
      <c r="BZ76" s="232"/>
      <c r="CA76" s="232"/>
      <c r="CB76" s="232"/>
      <c r="CC76" s="232"/>
      <c r="CD76" s="232"/>
      <c r="CE76" s="232"/>
      <c r="CF76" s="232"/>
      <c r="CG76" s="232"/>
      <c r="CH76" s="232"/>
      <c r="CI76" s="232"/>
      <c r="CJ76" s="232"/>
      <c r="CK76" s="232"/>
      <c r="CL76" s="232"/>
      <c r="CM76" s="232"/>
      <c r="CN76" s="232"/>
      <c r="CO76" s="232"/>
      <c r="CP76" s="232"/>
      <c r="CQ76" s="232"/>
      <c r="CR76" s="232"/>
      <c r="CS76" s="232"/>
      <c r="CT76" s="232"/>
      <c r="CU76" s="232"/>
      <c r="CV76" s="232"/>
      <c r="CW76" s="232"/>
      <c r="CX76" s="232"/>
      <c r="CY76" s="232"/>
      <c r="CZ76" s="232"/>
      <c r="DA76" s="232"/>
      <c r="DB76" s="232"/>
      <c r="DC76" s="232"/>
      <c r="DD76" s="232"/>
      <c r="DE76" s="232"/>
      <c r="DF76" s="232"/>
      <c r="DG76" s="232"/>
      <c r="DH76" s="232"/>
      <c r="DI76" s="232"/>
      <c r="DJ76" s="232"/>
      <c r="DK76" s="232"/>
      <c r="DL76" s="232"/>
      <c r="DM76" s="232"/>
      <c r="DN76" s="232"/>
      <c r="DO76" s="232"/>
      <c r="DP76" s="232"/>
      <c r="DQ76" s="232"/>
      <c r="DR76" s="232"/>
      <c r="DS76" s="232"/>
      <c r="DT76" s="232"/>
      <c r="DU76" s="232"/>
      <c r="DV76" s="232"/>
      <c r="DW76" s="232"/>
      <c r="DX76" s="232"/>
      <c r="DY76" s="232"/>
      <c r="DZ76" s="232"/>
      <c r="EA76" s="232"/>
      <c r="EB76" s="232"/>
      <c r="EC76" s="232"/>
      <c r="ED76" s="232"/>
      <c r="EE76" s="232"/>
      <c r="EF76" s="232"/>
      <c r="EG76" s="232"/>
      <c r="EH76" s="232"/>
      <c r="EI76" s="232"/>
      <c r="EJ76" s="232"/>
      <c r="EK76" s="232"/>
      <c r="EL76" s="232"/>
      <c r="EM76" s="232"/>
      <c r="EN76" s="232"/>
      <c r="EO76" s="232"/>
      <c r="EP76" s="232"/>
      <c r="EQ76" s="232"/>
      <c r="ER76" s="232"/>
      <c r="ES76" s="232"/>
      <c r="ET76" s="232"/>
      <c r="EU76" s="232"/>
      <c r="EV76" s="232"/>
      <c r="EW76" s="232"/>
      <c r="EX76" s="232"/>
      <c r="EY76" s="232"/>
      <c r="EZ76" s="232"/>
      <c r="FA76" s="232"/>
      <c r="FB76" s="232"/>
      <c r="FC76" s="232"/>
      <c r="FD76" s="232"/>
      <c r="FE76" s="232"/>
      <c r="FF76" s="232"/>
      <c r="FG76" s="232"/>
      <c r="FH76" s="232"/>
      <c r="FI76" s="232"/>
      <c r="FJ76" s="232"/>
      <c r="FK76" s="232"/>
      <c r="FL76" s="232"/>
      <c r="FM76" s="232"/>
      <c r="FN76" s="232"/>
      <c r="FO76" s="232"/>
      <c r="FP76" s="232"/>
      <c r="FQ76" s="232"/>
      <c r="FR76" s="232"/>
      <c r="FS76" s="232"/>
      <c r="FT76" s="232"/>
      <c r="FU76" s="232"/>
      <c r="FV76" s="232"/>
      <c r="FW76" s="232"/>
      <c r="FX76" s="232"/>
      <c r="FY76" s="232"/>
      <c r="FZ76" s="232"/>
      <c r="GA76" s="232"/>
      <c r="GB76" s="232"/>
      <c r="GC76" s="232"/>
      <c r="GD76" s="232"/>
      <c r="GE76" s="232"/>
      <c r="GF76" s="232"/>
      <c r="GG76" s="232"/>
      <c r="GH76" s="232"/>
      <c r="GI76" s="232"/>
      <c r="GJ76" s="232"/>
      <c r="GK76" s="232"/>
      <c r="GL76" s="232"/>
      <c r="GM76" s="232"/>
      <c r="GN76" s="232"/>
      <c r="GO76" s="232"/>
      <c r="GP76" s="232"/>
      <c r="GQ76" s="232"/>
      <c r="GR76" s="232"/>
      <c r="GS76" s="232"/>
      <c r="GT76" s="232"/>
      <c r="GU76" s="232"/>
      <c r="GV76" s="232"/>
      <c r="GW76" s="232"/>
      <c r="GX76" s="232"/>
      <c r="GY76" s="232"/>
      <c r="GZ76" s="232"/>
      <c r="HA76" s="232"/>
      <c r="HB76" s="232"/>
      <c r="HC76" s="232"/>
      <c r="HD76" s="232"/>
      <c r="HE76" s="232"/>
      <c r="HF76" s="232"/>
      <c r="HG76" s="232"/>
      <c r="HH76" s="232"/>
      <c r="HI76" s="232"/>
      <c r="HJ76" s="232"/>
      <c r="HK76" s="232"/>
      <c r="HL76" s="232"/>
      <c r="HM76" s="232"/>
      <c r="HN76" s="232"/>
      <c r="HO76" s="232"/>
      <c r="HP76" s="232"/>
      <c r="HQ76" s="232"/>
      <c r="HR76" s="232"/>
      <c r="HS76" s="232"/>
      <c r="HT76" s="232"/>
      <c r="HU76" s="232"/>
      <c r="HV76" s="232"/>
      <c r="HW76" s="232"/>
      <c r="HX76" s="232"/>
      <c r="HY76" s="232"/>
      <c r="HZ76" s="232"/>
      <c r="IA76" s="232"/>
      <c r="IB76" s="232"/>
      <c r="IC76" s="232"/>
    </row>
    <row r="77" spans="1:237" ht="14.1" customHeight="1">
      <c r="A77" s="232"/>
      <c r="B77" s="248"/>
      <c r="C77" s="248"/>
      <c r="D77" s="248"/>
      <c r="E77" s="248"/>
      <c r="F77" s="248"/>
      <c r="G77" s="248"/>
      <c r="H77" s="228"/>
      <c r="I77" s="228"/>
      <c r="K77" s="265"/>
      <c r="L77" s="899"/>
      <c r="M77" s="899"/>
      <c r="N77" s="899"/>
      <c r="O77" s="899"/>
      <c r="Q77" s="909"/>
      <c r="R77" s="899"/>
      <c r="S77" s="899"/>
      <c r="T77" s="899"/>
      <c r="U77" s="899"/>
      <c r="V77" s="899"/>
      <c r="W77" s="899"/>
      <c r="X77" s="899"/>
      <c r="Y77" s="899"/>
      <c r="Z77" s="899"/>
      <c r="AA77" s="899"/>
      <c r="AB77" s="899"/>
      <c r="AC77" s="899"/>
      <c r="AD77" s="899"/>
      <c r="AE77" s="899"/>
      <c r="AF77" s="899"/>
      <c r="AG77" s="899"/>
      <c r="AH77" s="899"/>
      <c r="AI77" s="899"/>
      <c r="AJ77" s="899"/>
      <c r="AK77" s="899"/>
      <c r="AL77" s="899"/>
      <c r="AM77" s="232"/>
      <c r="AN77" s="232"/>
      <c r="AO77" s="232"/>
      <c r="AP77" s="232"/>
      <c r="AQ77" s="232"/>
      <c r="AR77" s="232"/>
      <c r="AS77" s="232"/>
      <c r="AT77" s="232"/>
      <c r="AU77" s="232"/>
      <c r="AV77" s="232"/>
      <c r="AW77" s="232"/>
      <c r="AX77" s="232"/>
      <c r="AY77" s="232"/>
      <c r="AZ77" s="232"/>
      <c r="BA77" s="232"/>
      <c r="BB77" s="232"/>
      <c r="BC77" s="232"/>
      <c r="BD77" s="232"/>
      <c r="BE77" s="232"/>
      <c r="BF77" s="232"/>
      <c r="BG77" s="232"/>
      <c r="BH77" s="232"/>
      <c r="BI77" s="232"/>
      <c r="BJ77" s="232"/>
      <c r="BK77" s="232"/>
      <c r="BL77" s="232"/>
      <c r="BM77" s="232"/>
      <c r="BN77" s="232"/>
      <c r="BO77" s="232"/>
      <c r="BP77" s="232"/>
      <c r="BQ77" s="232"/>
      <c r="BR77" s="232"/>
      <c r="BS77" s="232"/>
      <c r="BT77" s="232"/>
      <c r="BU77" s="232"/>
      <c r="BV77" s="232"/>
      <c r="BW77" s="232"/>
      <c r="BX77" s="232"/>
      <c r="BY77" s="232"/>
      <c r="BZ77" s="232"/>
      <c r="CA77" s="232"/>
      <c r="CB77" s="232"/>
      <c r="CC77" s="232"/>
      <c r="CD77" s="232"/>
      <c r="CE77" s="232"/>
      <c r="CF77" s="232"/>
      <c r="CG77" s="232"/>
      <c r="CH77" s="232"/>
      <c r="CI77" s="232"/>
      <c r="CJ77" s="232"/>
      <c r="CK77" s="232"/>
      <c r="CL77" s="232"/>
      <c r="CM77" s="232"/>
      <c r="CN77" s="232"/>
      <c r="CO77" s="232"/>
      <c r="CP77" s="232"/>
      <c r="CQ77" s="232"/>
      <c r="CR77" s="232"/>
      <c r="CS77" s="232"/>
      <c r="CT77" s="232"/>
      <c r="CU77" s="232"/>
      <c r="CV77" s="232"/>
      <c r="CW77" s="232"/>
      <c r="CX77" s="232"/>
      <c r="CY77" s="232"/>
      <c r="CZ77" s="232"/>
      <c r="DA77" s="232"/>
      <c r="DB77" s="232"/>
      <c r="DC77" s="232"/>
      <c r="DD77" s="232"/>
      <c r="DE77" s="232"/>
      <c r="DF77" s="232"/>
      <c r="DG77" s="232"/>
      <c r="DH77" s="232"/>
      <c r="DI77" s="232"/>
      <c r="DJ77" s="232"/>
      <c r="DK77" s="232"/>
      <c r="DL77" s="232"/>
      <c r="DM77" s="232"/>
      <c r="DN77" s="232"/>
      <c r="DO77" s="232"/>
      <c r="DP77" s="232"/>
      <c r="DQ77" s="232"/>
      <c r="DR77" s="232"/>
      <c r="DS77" s="232"/>
      <c r="DT77" s="232"/>
      <c r="DU77" s="232"/>
      <c r="DV77" s="232"/>
      <c r="DW77" s="232"/>
      <c r="DX77" s="232"/>
      <c r="DY77" s="232"/>
      <c r="DZ77" s="232"/>
      <c r="EA77" s="232"/>
      <c r="EB77" s="232"/>
      <c r="EC77" s="232"/>
      <c r="ED77" s="232"/>
      <c r="EE77" s="232"/>
      <c r="EF77" s="232"/>
      <c r="EG77" s="232"/>
      <c r="EH77" s="232"/>
      <c r="EI77" s="232"/>
      <c r="EJ77" s="232"/>
      <c r="EK77" s="232"/>
      <c r="EL77" s="232"/>
      <c r="EM77" s="232"/>
      <c r="EN77" s="232"/>
      <c r="EO77" s="232"/>
      <c r="EP77" s="232"/>
      <c r="EQ77" s="232"/>
      <c r="ER77" s="232"/>
      <c r="ES77" s="232"/>
      <c r="ET77" s="232"/>
      <c r="EU77" s="232"/>
      <c r="EV77" s="232"/>
      <c r="EW77" s="232"/>
      <c r="EX77" s="232"/>
      <c r="EY77" s="232"/>
      <c r="EZ77" s="232"/>
      <c r="FA77" s="232"/>
      <c r="FB77" s="232"/>
      <c r="FC77" s="232"/>
      <c r="FD77" s="232"/>
      <c r="FE77" s="232"/>
      <c r="FF77" s="232"/>
      <c r="FG77" s="232"/>
      <c r="FH77" s="232"/>
      <c r="FI77" s="232"/>
      <c r="FJ77" s="232"/>
      <c r="FK77" s="232"/>
      <c r="FL77" s="232"/>
      <c r="FM77" s="232"/>
      <c r="FN77" s="232"/>
      <c r="FO77" s="232"/>
      <c r="FP77" s="232"/>
      <c r="FQ77" s="232"/>
      <c r="FR77" s="232"/>
      <c r="FS77" s="232"/>
      <c r="FT77" s="232"/>
      <c r="FU77" s="232"/>
      <c r="FV77" s="232"/>
      <c r="FW77" s="232"/>
      <c r="FX77" s="232"/>
      <c r="FY77" s="232"/>
      <c r="FZ77" s="232"/>
      <c r="GA77" s="232"/>
      <c r="GB77" s="232"/>
      <c r="GC77" s="232"/>
      <c r="GD77" s="232"/>
      <c r="GE77" s="232"/>
      <c r="GF77" s="232"/>
      <c r="GG77" s="232"/>
      <c r="GH77" s="232"/>
      <c r="GI77" s="232"/>
      <c r="GJ77" s="232"/>
      <c r="GK77" s="232"/>
      <c r="GL77" s="232"/>
      <c r="GM77" s="232"/>
      <c r="GN77" s="232"/>
      <c r="GO77" s="232"/>
      <c r="GP77" s="232"/>
      <c r="GQ77" s="232"/>
      <c r="GR77" s="232"/>
      <c r="GS77" s="232"/>
      <c r="GT77" s="232"/>
      <c r="GU77" s="232"/>
      <c r="GV77" s="232"/>
      <c r="GW77" s="232"/>
      <c r="GX77" s="232"/>
      <c r="GY77" s="232"/>
      <c r="GZ77" s="232"/>
      <c r="HA77" s="232"/>
      <c r="HB77" s="232"/>
      <c r="HC77" s="232"/>
      <c r="HD77" s="232"/>
      <c r="HE77" s="232"/>
      <c r="HF77" s="232"/>
      <c r="HG77" s="232"/>
      <c r="HH77" s="232"/>
      <c r="HI77" s="232"/>
      <c r="HJ77" s="232"/>
      <c r="HK77" s="232"/>
      <c r="HL77" s="232"/>
      <c r="HM77" s="232"/>
      <c r="HN77" s="232"/>
      <c r="HO77" s="232"/>
      <c r="HP77" s="232"/>
      <c r="HQ77" s="232"/>
      <c r="HR77" s="232"/>
      <c r="HS77" s="232"/>
      <c r="HT77" s="232"/>
      <c r="HU77" s="232"/>
      <c r="HV77" s="232"/>
      <c r="HW77" s="232"/>
      <c r="HX77" s="232"/>
      <c r="HY77" s="232"/>
      <c r="HZ77" s="232"/>
      <c r="IA77" s="232"/>
      <c r="IB77" s="232"/>
      <c r="IC77" s="232"/>
    </row>
    <row r="78" spans="1:237" ht="14.1" customHeight="1">
      <c r="A78" s="232"/>
      <c r="B78" s="248"/>
      <c r="C78" s="248"/>
      <c r="D78" s="248"/>
      <c r="E78" s="248"/>
      <c r="F78" s="248"/>
      <c r="G78" s="248"/>
      <c r="H78" s="228"/>
      <c r="I78" s="228"/>
      <c r="K78" s="265"/>
      <c r="L78" s="899"/>
      <c r="M78" s="899"/>
      <c r="N78" s="899"/>
      <c r="O78" s="899"/>
      <c r="Q78" s="909"/>
      <c r="R78" s="899"/>
      <c r="S78" s="899"/>
      <c r="T78" s="899"/>
      <c r="U78" s="899"/>
      <c r="V78" s="899"/>
      <c r="W78" s="899"/>
      <c r="X78" s="899"/>
      <c r="Y78" s="899"/>
      <c r="Z78" s="899"/>
      <c r="AA78" s="899"/>
      <c r="AB78" s="899"/>
      <c r="AC78" s="899"/>
      <c r="AD78" s="899"/>
      <c r="AE78" s="899"/>
      <c r="AF78" s="899"/>
      <c r="AG78" s="899"/>
      <c r="AH78" s="899"/>
      <c r="AI78" s="899"/>
      <c r="AJ78" s="899"/>
      <c r="AK78" s="899"/>
      <c r="AL78" s="899"/>
      <c r="AM78" s="232"/>
      <c r="AN78" s="232"/>
      <c r="AO78" s="232"/>
      <c r="AP78" s="232"/>
      <c r="AQ78" s="232"/>
      <c r="AR78" s="232"/>
      <c r="AS78" s="232"/>
      <c r="AT78" s="232"/>
      <c r="AU78" s="232"/>
      <c r="AV78" s="232"/>
      <c r="AW78" s="232"/>
      <c r="AX78" s="232"/>
      <c r="AY78" s="232"/>
      <c r="AZ78" s="232"/>
      <c r="BA78" s="232"/>
      <c r="BB78" s="232"/>
      <c r="BC78" s="232"/>
      <c r="BD78" s="232"/>
      <c r="BE78" s="232"/>
      <c r="BF78" s="232"/>
      <c r="BG78" s="232"/>
      <c r="BH78" s="232"/>
      <c r="BI78" s="232"/>
      <c r="BJ78" s="232"/>
      <c r="BK78" s="232"/>
      <c r="BL78" s="232"/>
      <c r="BM78" s="232"/>
      <c r="BN78" s="232"/>
      <c r="BO78" s="232"/>
      <c r="BP78" s="232"/>
      <c r="BQ78" s="232"/>
      <c r="BR78" s="232"/>
      <c r="BS78" s="232"/>
      <c r="BT78" s="232"/>
      <c r="BU78" s="232"/>
      <c r="BV78" s="232"/>
      <c r="BW78" s="232"/>
      <c r="BX78" s="232"/>
      <c r="BY78" s="232"/>
      <c r="BZ78" s="232"/>
      <c r="CA78" s="232"/>
      <c r="CB78" s="232"/>
      <c r="CC78" s="232"/>
      <c r="CD78" s="232"/>
      <c r="CE78" s="232"/>
      <c r="CF78" s="232"/>
      <c r="CG78" s="232"/>
      <c r="CH78" s="232"/>
      <c r="CI78" s="232"/>
      <c r="CJ78" s="232"/>
      <c r="CK78" s="232"/>
      <c r="CL78" s="232"/>
      <c r="CM78" s="232"/>
      <c r="CN78" s="232"/>
      <c r="CO78" s="232"/>
      <c r="CP78" s="232"/>
      <c r="CQ78" s="232"/>
      <c r="CR78" s="232"/>
      <c r="CS78" s="232"/>
      <c r="CT78" s="232"/>
      <c r="CU78" s="232"/>
      <c r="CV78" s="232"/>
      <c r="CW78" s="232"/>
      <c r="CX78" s="232"/>
      <c r="CY78" s="232"/>
      <c r="CZ78" s="232"/>
      <c r="DA78" s="232"/>
      <c r="DB78" s="232"/>
      <c r="DC78" s="232"/>
      <c r="DD78" s="232"/>
      <c r="DE78" s="232"/>
      <c r="DF78" s="232"/>
      <c r="DG78" s="232"/>
      <c r="DH78" s="232"/>
      <c r="DI78" s="232"/>
      <c r="DJ78" s="232"/>
      <c r="DK78" s="232"/>
      <c r="DL78" s="232"/>
      <c r="DM78" s="232"/>
      <c r="DN78" s="232"/>
      <c r="DO78" s="232"/>
      <c r="DP78" s="232"/>
      <c r="DQ78" s="232"/>
      <c r="DR78" s="232"/>
      <c r="DS78" s="232"/>
      <c r="DT78" s="232"/>
      <c r="DU78" s="232"/>
      <c r="DV78" s="232"/>
      <c r="DW78" s="232"/>
      <c r="DX78" s="232"/>
      <c r="DY78" s="232"/>
      <c r="DZ78" s="232"/>
      <c r="EA78" s="232"/>
      <c r="EB78" s="232"/>
      <c r="EC78" s="232"/>
      <c r="ED78" s="232"/>
      <c r="EE78" s="232"/>
      <c r="EF78" s="232"/>
      <c r="EG78" s="232"/>
      <c r="EH78" s="232"/>
      <c r="EI78" s="232"/>
      <c r="EJ78" s="232"/>
      <c r="EK78" s="232"/>
      <c r="EL78" s="232"/>
      <c r="EM78" s="232"/>
      <c r="EN78" s="232"/>
      <c r="EO78" s="232"/>
      <c r="EP78" s="232"/>
      <c r="EQ78" s="232"/>
      <c r="ER78" s="232"/>
      <c r="ES78" s="232"/>
      <c r="ET78" s="232"/>
      <c r="EU78" s="232"/>
      <c r="EV78" s="232"/>
      <c r="EW78" s="232"/>
      <c r="EX78" s="232"/>
      <c r="EY78" s="232"/>
      <c r="EZ78" s="232"/>
      <c r="FA78" s="232"/>
      <c r="FB78" s="232"/>
      <c r="FC78" s="232"/>
      <c r="FD78" s="232"/>
      <c r="FE78" s="232"/>
      <c r="FF78" s="232"/>
      <c r="FG78" s="232"/>
      <c r="FH78" s="232"/>
      <c r="FI78" s="232"/>
      <c r="FJ78" s="232"/>
      <c r="FK78" s="232"/>
      <c r="FL78" s="232"/>
      <c r="FM78" s="232"/>
      <c r="FN78" s="232"/>
      <c r="FO78" s="232"/>
      <c r="FP78" s="232"/>
      <c r="FQ78" s="232"/>
      <c r="FR78" s="232"/>
      <c r="FS78" s="232"/>
      <c r="FT78" s="232"/>
      <c r="FU78" s="232"/>
      <c r="FV78" s="232"/>
      <c r="FW78" s="232"/>
      <c r="FX78" s="232"/>
      <c r="FY78" s="232"/>
      <c r="FZ78" s="232"/>
      <c r="GA78" s="232"/>
      <c r="GB78" s="232"/>
      <c r="GC78" s="232"/>
      <c r="GD78" s="232"/>
      <c r="GE78" s="232"/>
      <c r="GF78" s="232"/>
      <c r="GG78" s="232"/>
      <c r="GH78" s="232"/>
      <c r="GI78" s="232"/>
      <c r="GJ78" s="232"/>
      <c r="GK78" s="232"/>
      <c r="GL78" s="232"/>
      <c r="GM78" s="232"/>
      <c r="GN78" s="232"/>
      <c r="GO78" s="232"/>
      <c r="GP78" s="232"/>
      <c r="GQ78" s="232"/>
      <c r="GR78" s="232"/>
      <c r="GS78" s="232"/>
      <c r="GT78" s="232"/>
      <c r="GU78" s="232"/>
      <c r="GV78" s="232"/>
      <c r="GW78" s="232"/>
      <c r="GX78" s="232"/>
      <c r="GY78" s="232"/>
      <c r="GZ78" s="232"/>
      <c r="HA78" s="232"/>
      <c r="HB78" s="232"/>
      <c r="HC78" s="232"/>
      <c r="HD78" s="232"/>
      <c r="HE78" s="232"/>
      <c r="HF78" s="232"/>
      <c r="HG78" s="232"/>
      <c r="HH78" s="232"/>
      <c r="HI78" s="232"/>
      <c r="HJ78" s="232"/>
      <c r="HK78" s="232"/>
      <c r="HL78" s="232"/>
      <c r="HM78" s="232"/>
      <c r="HN78" s="232"/>
      <c r="HO78" s="232"/>
      <c r="HP78" s="232"/>
      <c r="HQ78" s="232"/>
      <c r="HR78" s="232"/>
      <c r="HS78" s="232"/>
      <c r="HT78" s="232"/>
      <c r="HU78" s="232"/>
      <c r="HV78" s="232"/>
      <c r="HW78" s="232"/>
      <c r="HX78" s="232"/>
      <c r="HY78" s="232"/>
      <c r="HZ78" s="232"/>
      <c r="IA78" s="232"/>
      <c r="IB78" s="232"/>
      <c r="IC78" s="232"/>
    </row>
    <row r="79" spans="1:237" ht="14.1" customHeight="1">
      <c r="A79" s="232"/>
      <c r="B79" s="248"/>
      <c r="C79" s="248"/>
      <c r="D79" s="248"/>
      <c r="E79" s="248"/>
      <c r="F79" s="248"/>
      <c r="G79" s="248"/>
      <c r="H79" s="228"/>
      <c r="I79" s="228"/>
      <c r="K79" s="265"/>
      <c r="L79" s="899"/>
      <c r="M79" s="899"/>
      <c r="N79" s="899"/>
      <c r="O79" s="899"/>
      <c r="Q79" s="909"/>
      <c r="R79" s="899"/>
      <c r="S79" s="899"/>
      <c r="T79" s="899"/>
      <c r="U79" s="899"/>
      <c r="V79" s="899"/>
      <c r="W79" s="899"/>
      <c r="X79" s="899"/>
      <c r="Y79" s="899"/>
      <c r="Z79" s="899"/>
      <c r="AA79" s="899"/>
      <c r="AB79" s="899"/>
      <c r="AC79" s="899"/>
      <c r="AD79" s="899"/>
      <c r="AE79" s="899"/>
      <c r="AF79" s="899"/>
      <c r="AG79" s="899"/>
      <c r="AH79" s="899"/>
      <c r="AI79" s="899"/>
      <c r="AJ79" s="899"/>
      <c r="AK79" s="899"/>
      <c r="AL79" s="899"/>
      <c r="AM79" s="232"/>
      <c r="AN79" s="232"/>
      <c r="AO79" s="232"/>
      <c r="AP79" s="232"/>
      <c r="AQ79" s="232"/>
      <c r="AR79" s="232"/>
      <c r="AS79" s="232"/>
      <c r="AT79" s="232"/>
      <c r="AU79" s="232"/>
      <c r="AV79" s="232"/>
      <c r="AW79" s="232"/>
      <c r="AX79" s="232"/>
      <c r="AY79" s="232"/>
      <c r="AZ79" s="232"/>
      <c r="BA79" s="232"/>
      <c r="BB79" s="232"/>
      <c r="BC79" s="232"/>
      <c r="BD79" s="232"/>
      <c r="BE79" s="232"/>
      <c r="BF79" s="232"/>
      <c r="BG79" s="232"/>
      <c r="BH79" s="232"/>
      <c r="BI79" s="232"/>
      <c r="BJ79" s="232"/>
      <c r="BK79" s="232"/>
      <c r="BL79" s="232"/>
      <c r="BM79" s="232"/>
      <c r="BN79" s="232"/>
      <c r="BO79" s="232"/>
      <c r="BP79" s="232"/>
      <c r="BQ79" s="232"/>
      <c r="BR79" s="232"/>
      <c r="BS79" s="232"/>
      <c r="BT79" s="232"/>
      <c r="BU79" s="232"/>
      <c r="BV79" s="232"/>
      <c r="BW79" s="232"/>
      <c r="BX79" s="232"/>
      <c r="BY79" s="232"/>
      <c r="BZ79" s="232"/>
      <c r="CA79" s="232"/>
      <c r="CB79" s="232"/>
      <c r="CC79" s="232"/>
      <c r="CD79" s="232"/>
      <c r="CE79" s="232"/>
      <c r="CF79" s="232"/>
      <c r="CG79" s="232"/>
      <c r="CH79" s="232"/>
      <c r="CI79" s="232"/>
      <c r="CJ79" s="232"/>
      <c r="CK79" s="232"/>
      <c r="CL79" s="232"/>
      <c r="CM79" s="232"/>
      <c r="CN79" s="232"/>
      <c r="CO79" s="232"/>
      <c r="CP79" s="232"/>
      <c r="CQ79" s="232"/>
      <c r="CR79" s="232"/>
      <c r="CS79" s="232"/>
      <c r="CT79" s="232"/>
      <c r="CU79" s="232"/>
      <c r="CV79" s="232"/>
      <c r="CW79" s="232"/>
      <c r="CX79" s="232"/>
      <c r="CY79" s="232"/>
      <c r="CZ79" s="232"/>
      <c r="DA79" s="232"/>
      <c r="DB79" s="232"/>
      <c r="DC79" s="232"/>
      <c r="DD79" s="232"/>
      <c r="DE79" s="232"/>
      <c r="DF79" s="232"/>
      <c r="DG79" s="232"/>
      <c r="DH79" s="232"/>
      <c r="DI79" s="232"/>
      <c r="DJ79" s="232"/>
      <c r="DK79" s="232"/>
      <c r="DL79" s="232"/>
      <c r="DM79" s="232"/>
      <c r="DN79" s="232"/>
      <c r="DO79" s="232"/>
      <c r="DP79" s="232"/>
      <c r="DQ79" s="232"/>
      <c r="DR79" s="232"/>
      <c r="DS79" s="232"/>
      <c r="DT79" s="232"/>
      <c r="DU79" s="232"/>
      <c r="DV79" s="232"/>
      <c r="DW79" s="232"/>
      <c r="DX79" s="232"/>
      <c r="DY79" s="232"/>
      <c r="DZ79" s="232"/>
      <c r="EA79" s="232"/>
      <c r="EB79" s="232"/>
      <c r="EC79" s="232"/>
      <c r="ED79" s="232"/>
      <c r="EE79" s="232"/>
      <c r="EF79" s="232"/>
      <c r="EG79" s="232"/>
      <c r="EH79" s="232"/>
      <c r="EI79" s="232"/>
      <c r="EJ79" s="232"/>
      <c r="EK79" s="232"/>
      <c r="EL79" s="232"/>
      <c r="EM79" s="232"/>
      <c r="EN79" s="232"/>
      <c r="EO79" s="232"/>
      <c r="EP79" s="232"/>
      <c r="EQ79" s="232"/>
      <c r="ER79" s="232"/>
      <c r="ES79" s="232"/>
      <c r="ET79" s="232"/>
      <c r="EU79" s="232"/>
      <c r="EV79" s="232"/>
      <c r="EW79" s="232"/>
      <c r="EX79" s="232"/>
      <c r="EY79" s="232"/>
      <c r="EZ79" s="232"/>
      <c r="FA79" s="232"/>
      <c r="FB79" s="232"/>
      <c r="FC79" s="232"/>
      <c r="FD79" s="232"/>
      <c r="FE79" s="232"/>
      <c r="FF79" s="232"/>
      <c r="FG79" s="232"/>
      <c r="FH79" s="232"/>
      <c r="FI79" s="232"/>
      <c r="FJ79" s="232"/>
      <c r="FK79" s="232"/>
      <c r="FL79" s="232"/>
      <c r="FM79" s="232"/>
      <c r="FN79" s="232"/>
      <c r="FO79" s="232"/>
      <c r="FP79" s="232"/>
      <c r="FQ79" s="232"/>
      <c r="FR79" s="232"/>
      <c r="FS79" s="232"/>
      <c r="FT79" s="232"/>
      <c r="FU79" s="232"/>
      <c r="FV79" s="232"/>
      <c r="FW79" s="232"/>
      <c r="FX79" s="232"/>
      <c r="FY79" s="232"/>
      <c r="FZ79" s="232"/>
      <c r="GA79" s="232"/>
      <c r="GB79" s="232"/>
      <c r="GC79" s="232"/>
      <c r="GD79" s="232"/>
      <c r="GE79" s="232"/>
      <c r="GF79" s="232"/>
      <c r="GG79" s="232"/>
      <c r="GH79" s="232"/>
      <c r="GI79" s="232"/>
      <c r="GJ79" s="232"/>
      <c r="GK79" s="232"/>
      <c r="GL79" s="232"/>
      <c r="GM79" s="232"/>
      <c r="GN79" s="232"/>
      <c r="GO79" s="232"/>
      <c r="GP79" s="232"/>
      <c r="GQ79" s="232"/>
      <c r="GR79" s="232"/>
      <c r="GS79" s="232"/>
      <c r="GT79" s="232"/>
      <c r="GU79" s="232"/>
      <c r="GV79" s="232"/>
      <c r="GW79" s="232"/>
      <c r="GX79" s="232"/>
      <c r="GY79" s="232"/>
      <c r="GZ79" s="232"/>
      <c r="HA79" s="232"/>
      <c r="HB79" s="232"/>
      <c r="HC79" s="232"/>
      <c r="HD79" s="232"/>
      <c r="HE79" s="232"/>
      <c r="HF79" s="232"/>
      <c r="HG79" s="232"/>
      <c r="HH79" s="232"/>
      <c r="HI79" s="232"/>
      <c r="HJ79" s="232"/>
      <c r="HK79" s="232"/>
      <c r="HL79" s="232"/>
      <c r="HM79" s="232"/>
      <c r="HN79" s="232"/>
      <c r="HO79" s="232"/>
      <c r="HP79" s="232"/>
      <c r="HQ79" s="232"/>
      <c r="HR79" s="232"/>
      <c r="HS79" s="232"/>
      <c r="HT79" s="232"/>
      <c r="HU79" s="232"/>
      <c r="HV79" s="232"/>
      <c r="HW79" s="232"/>
      <c r="HX79" s="232"/>
      <c r="HY79" s="232"/>
      <c r="HZ79" s="232"/>
      <c r="IA79" s="232"/>
      <c r="IB79" s="232"/>
      <c r="IC79" s="232"/>
    </row>
    <row r="80" spans="1:237" ht="14.1" customHeight="1">
      <c r="A80" s="232"/>
      <c r="B80" s="248"/>
      <c r="C80" s="248"/>
      <c r="D80" s="248"/>
      <c r="E80" s="248"/>
      <c r="F80" s="248"/>
      <c r="G80" s="248"/>
      <c r="H80" s="228"/>
      <c r="I80" s="228"/>
      <c r="K80" s="265"/>
      <c r="L80" s="899"/>
      <c r="M80" s="899"/>
      <c r="N80" s="899"/>
      <c r="O80" s="899"/>
      <c r="Q80" s="909"/>
      <c r="R80" s="899"/>
      <c r="S80" s="899"/>
      <c r="T80" s="899"/>
      <c r="U80" s="899"/>
      <c r="V80" s="899"/>
      <c r="W80" s="899"/>
      <c r="X80" s="899"/>
      <c r="Y80" s="899"/>
      <c r="Z80" s="899"/>
      <c r="AA80" s="899"/>
      <c r="AB80" s="899"/>
      <c r="AC80" s="899"/>
      <c r="AD80" s="899"/>
      <c r="AE80" s="899"/>
      <c r="AF80" s="899"/>
      <c r="AG80" s="899"/>
      <c r="AH80" s="899"/>
      <c r="AI80" s="899"/>
      <c r="AJ80" s="899"/>
      <c r="AK80" s="899"/>
      <c r="AL80" s="899"/>
      <c r="AM80" s="232"/>
      <c r="AN80" s="232"/>
      <c r="AO80" s="232"/>
      <c r="AP80" s="232"/>
      <c r="AQ80" s="232"/>
      <c r="AR80" s="232"/>
      <c r="AS80" s="232"/>
      <c r="AT80" s="232"/>
      <c r="AU80" s="232"/>
      <c r="AV80" s="232"/>
      <c r="AW80" s="232"/>
      <c r="AX80" s="232"/>
      <c r="AY80" s="232"/>
      <c r="AZ80" s="232"/>
      <c r="BA80" s="232"/>
      <c r="BB80" s="232"/>
      <c r="BC80" s="232"/>
      <c r="BD80" s="232"/>
      <c r="BE80" s="232"/>
      <c r="BF80" s="232"/>
      <c r="BG80" s="232"/>
      <c r="BH80" s="232"/>
      <c r="BI80" s="232"/>
      <c r="BJ80" s="232"/>
      <c r="BK80" s="232"/>
      <c r="BL80" s="232"/>
      <c r="BM80" s="232"/>
      <c r="BN80" s="232"/>
      <c r="BO80" s="232"/>
      <c r="BP80" s="232"/>
      <c r="BQ80" s="232"/>
      <c r="BR80" s="232"/>
      <c r="BS80" s="232"/>
      <c r="BT80" s="232"/>
      <c r="BU80" s="232"/>
      <c r="BV80" s="232"/>
      <c r="BW80" s="232"/>
      <c r="BX80" s="232"/>
      <c r="BY80" s="232"/>
      <c r="BZ80" s="232"/>
      <c r="CA80" s="232"/>
      <c r="CB80" s="232"/>
      <c r="CC80" s="232"/>
      <c r="CD80" s="232"/>
      <c r="CE80" s="232"/>
      <c r="CF80" s="232"/>
      <c r="CG80" s="232"/>
      <c r="CH80" s="232"/>
      <c r="CI80" s="232"/>
      <c r="CJ80" s="232"/>
      <c r="CK80" s="232"/>
      <c r="CL80" s="232"/>
      <c r="CM80" s="232"/>
      <c r="CN80" s="232"/>
      <c r="CO80" s="232"/>
      <c r="CP80" s="232"/>
      <c r="CQ80" s="232"/>
      <c r="CR80" s="232"/>
      <c r="CS80" s="232"/>
      <c r="CT80" s="232"/>
      <c r="CU80" s="232"/>
      <c r="CV80" s="232"/>
      <c r="CW80" s="232"/>
      <c r="CX80" s="232"/>
      <c r="CY80" s="232"/>
      <c r="CZ80" s="232"/>
      <c r="DA80" s="232"/>
      <c r="DB80" s="232"/>
      <c r="DC80" s="232"/>
      <c r="DD80" s="232"/>
      <c r="DE80" s="232"/>
      <c r="DF80" s="232"/>
      <c r="DG80" s="232"/>
      <c r="DH80" s="232"/>
      <c r="DI80" s="232"/>
      <c r="DJ80" s="232"/>
      <c r="DK80" s="232"/>
      <c r="DL80" s="232"/>
      <c r="DM80" s="232"/>
      <c r="DN80" s="232"/>
      <c r="DO80" s="232"/>
      <c r="DP80" s="232"/>
      <c r="DQ80" s="232"/>
      <c r="DR80" s="232"/>
      <c r="DS80" s="232"/>
      <c r="DT80" s="232"/>
      <c r="DU80" s="232"/>
      <c r="DV80" s="232"/>
      <c r="DW80" s="232"/>
      <c r="DX80" s="232"/>
      <c r="DY80" s="232"/>
      <c r="DZ80" s="232"/>
      <c r="EA80" s="232"/>
      <c r="EB80" s="232"/>
      <c r="EC80" s="232"/>
      <c r="ED80" s="232"/>
      <c r="EE80" s="232"/>
      <c r="EF80" s="232"/>
      <c r="EG80" s="232"/>
      <c r="EH80" s="232"/>
      <c r="EI80" s="232"/>
      <c r="EJ80" s="232"/>
      <c r="EK80" s="232"/>
      <c r="EL80" s="232"/>
      <c r="EM80" s="232"/>
      <c r="EN80" s="232"/>
      <c r="EO80" s="232"/>
      <c r="EP80" s="232"/>
      <c r="EQ80" s="232"/>
      <c r="ER80" s="232"/>
      <c r="ES80" s="232"/>
      <c r="ET80" s="232"/>
      <c r="EU80" s="232"/>
      <c r="EV80" s="232"/>
      <c r="EW80" s="232"/>
      <c r="EX80" s="232"/>
      <c r="EY80" s="232"/>
      <c r="EZ80" s="232"/>
      <c r="FA80" s="232"/>
      <c r="FB80" s="232"/>
      <c r="FC80" s="232"/>
      <c r="FD80" s="232"/>
      <c r="FE80" s="232"/>
      <c r="FF80" s="232"/>
      <c r="FG80" s="232"/>
      <c r="FH80" s="232"/>
      <c r="FI80" s="232"/>
      <c r="FJ80" s="232"/>
      <c r="FK80" s="232"/>
      <c r="FL80" s="232"/>
      <c r="FM80" s="232"/>
      <c r="FN80" s="232"/>
      <c r="FO80" s="232"/>
      <c r="FP80" s="232"/>
      <c r="FQ80" s="232"/>
      <c r="FR80" s="232"/>
      <c r="FS80" s="232"/>
      <c r="FT80" s="232"/>
      <c r="FU80" s="232"/>
      <c r="FV80" s="232"/>
      <c r="FW80" s="232"/>
      <c r="FX80" s="232"/>
      <c r="FY80" s="232"/>
      <c r="FZ80" s="232"/>
      <c r="GA80" s="232"/>
      <c r="GB80" s="232"/>
      <c r="GC80" s="232"/>
      <c r="GD80" s="232"/>
      <c r="GE80" s="232"/>
      <c r="GF80" s="232"/>
      <c r="GG80" s="232"/>
      <c r="GH80" s="232"/>
      <c r="GI80" s="232"/>
      <c r="GJ80" s="232"/>
      <c r="GK80" s="232"/>
      <c r="GL80" s="232"/>
      <c r="GM80" s="232"/>
      <c r="GN80" s="232"/>
      <c r="GO80" s="232"/>
      <c r="GP80" s="232"/>
      <c r="GQ80" s="232"/>
      <c r="GR80" s="232"/>
      <c r="GS80" s="232"/>
      <c r="GT80" s="232"/>
      <c r="GU80" s="232"/>
      <c r="GV80" s="232"/>
      <c r="GW80" s="232"/>
      <c r="GX80" s="232"/>
      <c r="GY80" s="232"/>
      <c r="GZ80" s="232"/>
      <c r="HA80" s="232"/>
      <c r="HB80" s="232"/>
      <c r="HC80" s="232"/>
      <c r="HD80" s="232"/>
      <c r="HE80" s="232"/>
      <c r="HF80" s="232"/>
      <c r="HG80" s="232"/>
      <c r="HH80" s="232"/>
      <c r="HI80" s="232"/>
      <c r="HJ80" s="232"/>
      <c r="HK80" s="232"/>
      <c r="HL80" s="232"/>
      <c r="HM80" s="232"/>
      <c r="HN80" s="232"/>
      <c r="HO80" s="232"/>
      <c r="HP80" s="232"/>
      <c r="HQ80" s="232"/>
      <c r="HR80" s="232"/>
      <c r="HS80" s="232"/>
      <c r="HT80" s="232"/>
      <c r="HU80" s="232"/>
      <c r="HV80" s="232"/>
      <c r="HW80" s="232"/>
      <c r="HX80" s="232"/>
      <c r="HY80" s="232"/>
      <c r="HZ80" s="232"/>
      <c r="IA80" s="232"/>
      <c r="IB80" s="232"/>
      <c r="IC80" s="232"/>
    </row>
    <row r="81" spans="1:237" ht="14.1" customHeight="1">
      <c r="A81" s="232"/>
      <c r="B81" s="248"/>
      <c r="C81" s="248"/>
      <c r="D81" s="248"/>
      <c r="E81" s="248"/>
      <c r="F81" s="248"/>
      <c r="G81" s="248"/>
      <c r="H81" s="228"/>
      <c r="I81" s="228"/>
      <c r="K81" s="265"/>
      <c r="L81" s="899"/>
      <c r="M81" s="899"/>
      <c r="N81" s="899"/>
      <c r="O81" s="899"/>
      <c r="Q81" s="909"/>
      <c r="R81" s="899"/>
      <c r="S81" s="899"/>
      <c r="T81" s="899"/>
      <c r="U81" s="899"/>
      <c r="V81" s="899"/>
      <c r="W81" s="899"/>
      <c r="X81" s="899"/>
      <c r="Y81" s="899"/>
      <c r="Z81" s="899"/>
      <c r="AA81" s="899"/>
      <c r="AB81" s="899"/>
      <c r="AC81" s="899"/>
      <c r="AD81" s="899"/>
      <c r="AE81" s="899"/>
      <c r="AF81" s="899"/>
      <c r="AG81" s="899"/>
      <c r="AH81" s="899"/>
      <c r="AI81" s="899"/>
      <c r="AJ81" s="899"/>
      <c r="AK81" s="899"/>
      <c r="AL81" s="899"/>
      <c r="AM81" s="232"/>
      <c r="AN81" s="232"/>
      <c r="AO81" s="232"/>
      <c r="AP81" s="232"/>
      <c r="AQ81" s="232"/>
      <c r="AR81" s="232"/>
      <c r="AS81" s="232"/>
      <c r="AT81" s="232"/>
      <c r="AU81" s="232"/>
      <c r="AV81" s="232"/>
      <c r="AW81" s="232"/>
      <c r="AX81" s="232"/>
      <c r="AY81" s="232"/>
      <c r="AZ81" s="232"/>
      <c r="BA81" s="232"/>
      <c r="BB81" s="232"/>
      <c r="BC81" s="232"/>
      <c r="BD81" s="232"/>
      <c r="BE81" s="232"/>
      <c r="BF81" s="232"/>
      <c r="BG81" s="232"/>
      <c r="BH81" s="232"/>
      <c r="BI81" s="232"/>
      <c r="BJ81" s="232"/>
      <c r="BK81" s="232"/>
      <c r="BL81" s="232"/>
      <c r="BM81" s="232"/>
      <c r="BN81" s="232"/>
      <c r="BO81" s="232"/>
      <c r="BP81" s="232"/>
      <c r="BQ81" s="232"/>
      <c r="BR81" s="232"/>
      <c r="BS81" s="232"/>
      <c r="BT81" s="232"/>
      <c r="BU81" s="232"/>
      <c r="BV81" s="232"/>
      <c r="BW81" s="232"/>
      <c r="BX81" s="232"/>
      <c r="BY81" s="232"/>
      <c r="BZ81" s="232"/>
      <c r="CA81" s="232"/>
      <c r="CB81" s="232"/>
      <c r="CC81" s="232"/>
      <c r="CD81" s="232"/>
      <c r="CE81" s="232"/>
      <c r="CF81" s="232"/>
      <c r="CG81" s="232"/>
      <c r="CH81" s="232"/>
      <c r="CI81" s="232"/>
      <c r="CJ81" s="232"/>
      <c r="CK81" s="232"/>
      <c r="CL81" s="232"/>
      <c r="CM81" s="232"/>
      <c r="CN81" s="232"/>
      <c r="CO81" s="232"/>
      <c r="CP81" s="232"/>
      <c r="CQ81" s="232"/>
      <c r="CR81" s="232"/>
      <c r="CS81" s="232"/>
      <c r="CT81" s="232"/>
      <c r="CU81" s="232"/>
      <c r="CV81" s="232"/>
      <c r="CW81" s="232"/>
      <c r="CX81" s="232"/>
      <c r="CY81" s="232"/>
      <c r="CZ81" s="232"/>
      <c r="DA81" s="232"/>
      <c r="DB81" s="232"/>
      <c r="DC81" s="232"/>
      <c r="DD81" s="232"/>
      <c r="DE81" s="232"/>
      <c r="DF81" s="232"/>
      <c r="DG81" s="232"/>
      <c r="DH81" s="232"/>
      <c r="DI81" s="232"/>
      <c r="DJ81" s="232"/>
      <c r="DK81" s="232"/>
      <c r="DL81" s="232"/>
      <c r="DM81" s="232"/>
      <c r="DN81" s="232"/>
      <c r="DO81" s="232"/>
      <c r="DP81" s="232"/>
      <c r="DQ81" s="232"/>
      <c r="DR81" s="232"/>
      <c r="DS81" s="232"/>
      <c r="DT81" s="232"/>
      <c r="DU81" s="232"/>
      <c r="DV81" s="232"/>
      <c r="DW81" s="232"/>
      <c r="DX81" s="232"/>
      <c r="DY81" s="232"/>
      <c r="DZ81" s="232"/>
      <c r="EA81" s="232"/>
      <c r="EB81" s="232"/>
      <c r="EC81" s="232"/>
      <c r="ED81" s="232"/>
      <c r="EE81" s="232"/>
      <c r="EF81" s="232"/>
      <c r="EG81" s="232"/>
      <c r="EH81" s="232"/>
      <c r="EI81" s="232"/>
      <c r="EJ81" s="232"/>
      <c r="EK81" s="232"/>
      <c r="EL81" s="232"/>
      <c r="EM81" s="232"/>
      <c r="EN81" s="232"/>
      <c r="EO81" s="232"/>
      <c r="EP81" s="232"/>
      <c r="EQ81" s="232"/>
      <c r="ER81" s="232"/>
      <c r="ES81" s="232"/>
      <c r="ET81" s="232"/>
      <c r="EU81" s="232"/>
      <c r="EV81" s="232"/>
      <c r="EW81" s="232"/>
      <c r="EX81" s="232"/>
      <c r="EY81" s="232"/>
      <c r="EZ81" s="232"/>
      <c r="FA81" s="232"/>
      <c r="FB81" s="232"/>
      <c r="FC81" s="232"/>
      <c r="FD81" s="232"/>
      <c r="FE81" s="232"/>
      <c r="FF81" s="232"/>
      <c r="FG81" s="232"/>
      <c r="FH81" s="232"/>
      <c r="FI81" s="232"/>
      <c r="FJ81" s="232"/>
      <c r="FK81" s="232"/>
      <c r="FL81" s="232"/>
      <c r="FM81" s="232"/>
      <c r="FN81" s="232"/>
      <c r="FO81" s="232"/>
      <c r="FP81" s="232"/>
      <c r="FQ81" s="232"/>
      <c r="FR81" s="232"/>
      <c r="FS81" s="232"/>
      <c r="FT81" s="232"/>
      <c r="FU81" s="232"/>
      <c r="FV81" s="232"/>
      <c r="FW81" s="232"/>
      <c r="FX81" s="232"/>
      <c r="FY81" s="232"/>
      <c r="FZ81" s="232"/>
      <c r="GA81" s="232"/>
      <c r="GB81" s="232"/>
      <c r="GC81" s="232"/>
      <c r="GD81" s="232"/>
      <c r="GE81" s="232"/>
      <c r="GF81" s="232"/>
      <c r="GG81" s="232"/>
      <c r="GH81" s="232"/>
      <c r="GI81" s="232"/>
      <c r="GJ81" s="232"/>
      <c r="GK81" s="232"/>
      <c r="GL81" s="232"/>
      <c r="GM81" s="232"/>
      <c r="GN81" s="232"/>
      <c r="GO81" s="232"/>
      <c r="GP81" s="232"/>
      <c r="GQ81" s="232"/>
      <c r="GR81" s="232"/>
      <c r="GS81" s="232"/>
      <c r="GT81" s="232"/>
      <c r="GU81" s="232"/>
      <c r="GV81" s="232"/>
      <c r="GW81" s="232"/>
      <c r="GX81" s="232"/>
      <c r="GY81" s="232"/>
      <c r="GZ81" s="232"/>
      <c r="HA81" s="232"/>
      <c r="HB81" s="232"/>
      <c r="HC81" s="232"/>
      <c r="HD81" s="232"/>
      <c r="HE81" s="232"/>
      <c r="HF81" s="232"/>
      <c r="HG81" s="232"/>
      <c r="HH81" s="232"/>
      <c r="HI81" s="232"/>
      <c r="HJ81" s="232"/>
      <c r="HK81" s="232"/>
      <c r="HL81" s="232"/>
      <c r="HM81" s="232"/>
      <c r="HN81" s="232"/>
      <c r="HO81" s="232"/>
      <c r="HP81" s="232"/>
      <c r="HQ81" s="232"/>
      <c r="HR81" s="232"/>
      <c r="HS81" s="232"/>
      <c r="HT81" s="232"/>
      <c r="HU81" s="232"/>
      <c r="HV81" s="232"/>
      <c r="HW81" s="232"/>
      <c r="HX81" s="232"/>
      <c r="HY81" s="232"/>
      <c r="HZ81" s="232"/>
      <c r="IA81" s="232"/>
      <c r="IB81" s="232"/>
      <c r="IC81" s="232"/>
    </row>
    <row r="82" spans="1:237" ht="14.1" customHeight="1">
      <c r="A82" s="232"/>
      <c r="B82" s="248"/>
      <c r="C82" s="248"/>
      <c r="D82" s="248"/>
      <c r="E82" s="248"/>
      <c r="F82" s="248"/>
      <c r="G82" s="248"/>
      <c r="H82" s="228"/>
      <c r="I82" s="228"/>
      <c r="K82" s="265"/>
      <c r="L82" s="899"/>
      <c r="M82" s="899"/>
      <c r="N82" s="899"/>
      <c r="O82" s="899"/>
      <c r="Q82" s="909"/>
      <c r="R82" s="899"/>
      <c r="S82" s="899"/>
      <c r="T82" s="899"/>
      <c r="U82" s="899"/>
      <c r="V82" s="899"/>
      <c r="W82" s="899"/>
      <c r="X82" s="899"/>
      <c r="Y82" s="899"/>
      <c r="Z82" s="899"/>
      <c r="AA82" s="899"/>
      <c r="AB82" s="899"/>
      <c r="AC82" s="899"/>
      <c r="AD82" s="899"/>
      <c r="AE82" s="899"/>
      <c r="AF82" s="899"/>
      <c r="AG82" s="899"/>
      <c r="AH82" s="899"/>
      <c r="AI82" s="899"/>
      <c r="AJ82" s="899"/>
      <c r="AK82" s="899"/>
      <c r="AL82" s="899"/>
      <c r="AM82" s="232"/>
      <c r="AN82" s="232"/>
      <c r="AO82" s="232"/>
      <c r="AP82" s="232"/>
      <c r="AQ82" s="232"/>
      <c r="AR82" s="232"/>
      <c r="AS82" s="232"/>
      <c r="AT82" s="232"/>
      <c r="AU82" s="232"/>
      <c r="AV82" s="232"/>
      <c r="AW82" s="232"/>
      <c r="AX82" s="232"/>
      <c r="AY82" s="232"/>
      <c r="AZ82" s="232"/>
      <c r="BA82" s="232"/>
      <c r="BB82" s="232"/>
      <c r="BC82" s="232"/>
      <c r="BD82" s="232"/>
      <c r="BE82" s="232"/>
      <c r="BF82" s="232"/>
      <c r="BG82" s="232"/>
      <c r="BH82" s="232"/>
      <c r="BI82" s="232"/>
      <c r="BJ82" s="232"/>
      <c r="BK82" s="232"/>
      <c r="BL82" s="232"/>
      <c r="BM82" s="232"/>
      <c r="BN82" s="232"/>
      <c r="BO82" s="232"/>
      <c r="BP82" s="232"/>
      <c r="BQ82" s="232"/>
      <c r="BR82" s="232"/>
      <c r="BS82" s="232"/>
      <c r="BT82" s="232"/>
      <c r="BU82" s="232"/>
      <c r="BV82" s="232"/>
      <c r="BW82" s="232"/>
      <c r="BX82" s="232"/>
      <c r="BY82" s="232"/>
      <c r="BZ82" s="232"/>
      <c r="CA82" s="232"/>
      <c r="CB82" s="232"/>
      <c r="CC82" s="232"/>
      <c r="CD82" s="232"/>
      <c r="CE82" s="232"/>
      <c r="CF82" s="232"/>
      <c r="CG82" s="232"/>
      <c r="CH82" s="232"/>
      <c r="CI82" s="232"/>
      <c r="CJ82" s="232"/>
      <c r="CK82" s="232"/>
      <c r="CL82" s="232"/>
      <c r="CM82" s="232"/>
      <c r="CN82" s="232"/>
      <c r="CO82" s="232"/>
      <c r="CP82" s="232"/>
      <c r="CQ82" s="232"/>
      <c r="CR82" s="232"/>
      <c r="CS82" s="232"/>
      <c r="CT82" s="232"/>
      <c r="CU82" s="232"/>
      <c r="CV82" s="232"/>
      <c r="CW82" s="232"/>
      <c r="CX82" s="232"/>
      <c r="CY82" s="232"/>
      <c r="CZ82" s="232"/>
      <c r="DA82" s="232"/>
      <c r="DB82" s="232"/>
      <c r="DC82" s="232"/>
      <c r="DD82" s="232"/>
      <c r="DE82" s="232"/>
      <c r="DF82" s="232"/>
      <c r="DG82" s="232"/>
      <c r="DH82" s="232"/>
      <c r="DI82" s="232"/>
      <c r="DJ82" s="232"/>
      <c r="DK82" s="232"/>
      <c r="DL82" s="232"/>
      <c r="DM82" s="232"/>
      <c r="DN82" s="232"/>
      <c r="DO82" s="232"/>
      <c r="DP82" s="232"/>
      <c r="DQ82" s="232"/>
      <c r="DR82" s="232"/>
      <c r="DS82" s="232"/>
      <c r="DT82" s="232"/>
      <c r="DU82" s="232"/>
      <c r="DV82" s="232"/>
      <c r="DW82" s="232"/>
      <c r="DX82" s="232"/>
      <c r="DY82" s="232"/>
      <c r="DZ82" s="232"/>
      <c r="EA82" s="232"/>
      <c r="EB82" s="232"/>
      <c r="EC82" s="232"/>
      <c r="ED82" s="232"/>
      <c r="EE82" s="232"/>
      <c r="EF82" s="232"/>
      <c r="EG82" s="232"/>
      <c r="EH82" s="232"/>
      <c r="EI82" s="232"/>
      <c r="EJ82" s="232"/>
      <c r="EK82" s="232"/>
      <c r="EL82" s="232"/>
      <c r="EM82" s="232"/>
      <c r="EN82" s="232"/>
      <c r="EO82" s="232"/>
      <c r="EP82" s="232"/>
      <c r="EQ82" s="232"/>
      <c r="ER82" s="232"/>
      <c r="ES82" s="232"/>
      <c r="ET82" s="232"/>
      <c r="EU82" s="232"/>
      <c r="EV82" s="232"/>
      <c r="EW82" s="232"/>
      <c r="EX82" s="232"/>
      <c r="EY82" s="232"/>
      <c r="EZ82" s="232"/>
      <c r="FA82" s="232"/>
      <c r="FB82" s="232"/>
      <c r="FC82" s="232"/>
      <c r="FD82" s="232"/>
      <c r="FE82" s="232"/>
      <c r="FF82" s="232"/>
      <c r="FG82" s="232"/>
      <c r="FH82" s="232"/>
      <c r="FI82" s="232"/>
      <c r="FJ82" s="232"/>
      <c r="FK82" s="232"/>
      <c r="FL82" s="232"/>
      <c r="FM82" s="232"/>
      <c r="FN82" s="232"/>
      <c r="FO82" s="232"/>
      <c r="FP82" s="232"/>
      <c r="FQ82" s="232"/>
      <c r="FR82" s="232"/>
      <c r="FS82" s="232"/>
      <c r="FT82" s="232"/>
      <c r="FU82" s="232"/>
      <c r="FV82" s="232"/>
      <c r="FW82" s="232"/>
      <c r="FX82" s="232"/>
      <c r="FY82" s="232"/>
      <c r="FZ82" s="232"/>
      <c r="GA82" s="232"/>
      <c r="GB82" s="232"/>
      <c r="GC82" s="232"/>
      <c r="GD82" s="232"/>
      <c r="GE82" s="232"/>
      <c r="GF82" s="232"/>
      <c r="GG82" s="232"/>
      <c r="GH82" s="232"/>
      <c r="GI82" s="232"/>
      <c r="GJ82" s="232"/>
      <c r="GK82" s="232"/>
      <c r="GL82" s="232"/>
      <c r="GM82" s="232"/>
      <c r="GN82" s="232"/>
      <c r="GO82" s="232"/>
      <c r="GP82" s="232"/>
      <c r="GQ82" s="232"/>
      <c r="GR82" s="232"/>
      <c r="GS82" s="232"/>
      <c r="GT82" s="232"/>
      <c r="GU82" s="232"/>
      <c r="GV82" s="232"/>
      <c r="GW82" s="232"/>
      <c r="GX82" s="232"/>
      <c r="GY82" s="232"/>
      <c r="GZ82" s="232"/>
      <c r="HA82" s="232"/>
      <c r="HB82" s="232"/>
      <c r="HC82" s="232"/>
      <c r="HD82" s="232"/>
      <c r="HE82" s="232"/>
      <c r="HF82" s="232"/>
      <c r="HG82" s="232"/>
      <c r="HH82" s="232"/>
      <c r="HI82" s="232"/>
      <c r="HJ82" s="232"/>
      <c r="HK82" s="232"/>
      <c r="HL82" s="232"/>
      <c r="HM82" s="232"/>
      <c r="HN82" s="232"/>
      <c r="HO82" s="232"/>
      <c r="HP82" s="232"/>
      <c r="HQ82" s="232"/>
      <c r="HR82" s="232"/>
      <c r="HS82" s="232"/>
      <c r="HT82" s="232"/>
      <c r="HU82" s="232"/>
      <c r="HV82" s="232"/>
      <c r="HW82" s="232"/>
      <c r="HX82" s="232"/>
      <c r="HY82" s="232"/>
      <c r="HZ82" s="232"/>
      <c r="IA82" s="232"/>
      <c r="IB82" s="232"/>
      <c r="IC82" s="232"/>
    </row>
    <row r="83" spans="1:237" ht="14.1" customHeight="1">
      <c r="A83" s="232"/>
      <c r="B83" s="248"/>
      <c r="C83" s="248"/>
      <c r="D83" s="248"/>
      <c r="E83" s="248"/>
      <c r="F83" s="248"/>
      <c r="G83" s="248"/>
      <c r="H83" s="228"/>
      <c r="I83" s="228"/>
      <c r="K83" s="265"/>
      <c r="L83" s="899"/>
      <c r="M83" s="899"/>
      <c r="N83" s="899"/>
      <c r="O83" s="899"/>
      <c r="Q83" s="909"/>
      <c r="R83" s="899"/>
      <c r="S83" s="899"/>
      <c r="T83" s="899"/>
      <c r="U83" s="899"/>
      <c r="V83" s="899"/>
      <c r="W83" s="899"/>
      <c r="X83" s="899"/>
      <c r="Y83" s="899"/>
      <c r="Z83" s="899"/>
      <c r="AA83" s="899"/>
      <c r="AB83" s="899"/>
      <c r="AC83" s="899"/>
      <c r="AD83" s="899"/>
      <c r="AE83" s="899"/>
      <c r="AF83" s="899"/>
      <c r="AG83" s="899"/>
      <c r="AH83" s="899"/>
      <c r="AI83" s="899"/>
      <c r="AJ83" s="899"/>
      <c r="AK83" s="899"/>
      <c r="AL83" s="899"/>
      <c r="AM83" s="232"/>
      <c r="AN83" s="232"/>
      <c r="AO83" s="232"/>
      <c r="AP83" s="232"/>
      <c r="AQ83" s="232"/>
      <c r="AR83" s="232"/>
      <c r="AS83" s="232"/>
      <c r="AT83" s="232"/>
      <c r="AU83" s="232"/>
      <c r="AV83" s="232"/>
      <c r="AW83" s="232"/>
      <c r="AX83" s="232"/>
      <c r="AY83" s="232"/>
      <c r="AZ83" s="232"/>
      <c r="BA83" s="232"/>
      <c r="BB83" s="232"/>
      <c r="BC83" s="232"/>
      <c r="BD83" s="232"/>
      <c r="BE83" s="232"/>
      <c r="BF83" s="232"/>
      <c r="BG83" s="232"/>
      <c r="BH83" s="232"/>
      <c r="BI83" s="232"/>
      <c r="BJ83" s="232"/>
      <c r="BK83" s="232"/>
      <c r="BL83" s="232"/>
      <c r="BM83" s="232"/>
      <c r="BN83" s="232"/>
      <c r="BO83" s="232"/>
      <c r="BP83" s="232"/>
      <c r="BQ83" s="232"/>
      <c r="BR83" s="232"/>
      <c r="BS83" s="232"/>
      <c r="BT83" s="232"/>
      <c r="BU83" s="232"/>
      <c r="BV83" s="232"/>
      <c r="BW83" s="232"/>
      <c r="BX83" s="232"/>
      <c r="BY83" s="232"/>
      <c r="BZ83" s="232"/>
      <c r="CA83" s="232"/>
      <c r="CB83" s="232"/>
      <c r="CC83" s="232"/>
      <c r="CD83" s="232"/>
      <c r="CE83" s="232"/>
      <c r="CF83" s="232"/>
      <c r="CG83" s="232"/>
      <c r="CH83" s="232"/>
      <c r="CI83" s="232"/>
      <c r="CJ83" s="232"/>
      <c r="CK83" s="232"/>
      <c r="CL83" s="232"/>
      <c r="CM83" s="232"/>
      <c r="CN83" s="232"/>
      <c r="CO83" s="232"/>
      <c r="CP83" s="232"/>
      <c r="CQ83" s="232"/>
      <c r="CR83" s="232"/>
      <c r="CS83" s="232"/>
      <c r="CT83" s="232"/>
      <c r="CU83" s="232"/>
      <c r="CV83" s="232"/>
      <c r="CW83" s="232"/>
      <c r="CX83" s="232"/>
      <c r="CY83" s="232"/>
      <c r="CZ83" s="232"/>
      <c r="DA83" s="232"/>
      <c r="DB83" s="232"/>
      <c r="DC83" s="232"/>
      <c r="DD83" s="232"/>
      <c r="DE83" s="232"/>
      <c r="DF83" s="232"/>
      <c r="DG83" s="232"/>
      <c r="DH83" s="232"/>
      <c r="DI83" s="232"/>
      <c r="DJ83" s="232"/>
      <c r="DK83" s="232"/>
      <c r="DL83" s="232"/>
      <c r="DM83" s="232"/>
      <c r="DN83" s="232"/>
      <c r="DO83" s="232"/>
      <c r="DP83" s="232"/>
      <c r="DQ83" s="232"/>
      <c r="DR83" s="232"/>
      <c r="DS83" s="232"/>
      <c r="DT83" s="232"/>
      <c r="DU83" s="232"/>
      <c r="DV83" s="232"/>
      <c r="DW83" s="232"/>
      <c r="DX83" s="232"/>
      <c r="DY83" s="232"/>
      <c r="DZ83" s="232"/>
      <c r="EA83" s="232"/>
      <c r="EB83" s="232"/>
      <c r="EC83" s="232"/>
      <c r="ED83" s="232"/>
      <c r="EE83" s="232"/>
      <c r="EF83" s="232"/>
      <c r="EG83" s="232"/>
      <c r="EH83" s="232"/>
      <c r="EI83" s="232"/>
      <c r="EJ83" s="232"/>
      <c r="EK83" s="232"/>
      <c r="EL83" s="232"/>
      <c r="EM83" s="232"/>
      <c r="EN83" s="232"/>
      <c r="EO83" s="232"/>
      <c r="EP83" s="232"/>
      <c r="EQ83" s="232"/>
      <c r="ER83" s="232"/>
      <c r="ES83" s="232"/>
      <c r="ET83" s="232"/>
      <c r="EU83" s="232"/>
      <c r="EV83" s="232"/>
      <c r="EW83" s="232"/>
      <c r="EX83" s="232"/>
      <c r="EY83" s="232"/>
      <c r="EZ83" s="232"/>
      <c r="FA83" s="232"/>
      <c r="FB83" s="232"/>
      <c r="FC83" s="232"/>
      <c r="FD83" s="232"/>
      <c r="FE83" s="232"/>
      <c r="FF83" s="232"/>
      <c r="FG83" s="232"/>
      <c r="FH83" s="232"/>
      <c r="FI83" s="232"/>
      <c r="FJ83" s="232"/>
      <c r="FK83" s="232"/>
      <c r="FL83" s="232"/>
      <c r="FM83" s="232"/>
      <c r="FN83" s="232"/>
      <c r="FO83" s="232"/>
      <c r="FP83" s="232"/>
      <c r="FQ83" s="232"/>
      <c r="FR83" s="232"/>
      <c r="FS83" s="232"/>
      <c r="FT83" s="232"/>
      <c r="FU83" s="232"/>
      <c r="FV83" s="232"/>
      <c r="FW83" s="232"/>
      <c r="FX83" s="232"/>
      <c r="FY83" s="232"/>
      <c r="FZ83" s="232"/>
      <c r="GA83" s="232"/>
      <c r="GB83" s="232"/>
      <c r="GC83" s="232"/>
      <c r="GD83" s="232"/>
      <c r="GE83" s="232"/>
      <c r="GF83" s="232"/>
      <c r="GG83" s="232"/>
      <c r="GH83" s="232"/>
      <c r="GI83" s="232"/>
      <c r="GJ83" s="232"/>
      <c r="GK83" s="232"/>
      <c r="GL83" s="232"/>
      <c r="GM83" s="232"/>
      <c r="GN83" s="232"/>
      <c r="GO83" s="232"/>
      <c r="GP83" s="232"/>
      <c r="GQ83" s="232"/>
      <c r="GR83" s="232"/>
      <c r="GS83" s="232"/>
      <c r="GT83" s="232"/>
      <c r="GU83" s="232"/>
      <c r="GV83" s="232"/>
      <c r="GW83" s="232"/>
      <c r="GX83" s="232"/>
      <c r="GY83" s="232"/>
      <c r="GZ83" s="232"/>
      <c r="HA83" s="232"/>
      <c r="HB83" s="232"/>
      <c r="HC83" s="232"/>
      <c r="HD83" s="232"/>
      <c r="HE83" s="232"/>
      <c r="HF83" s="232"/>
      <c r="HG83" s="232"/>
      <c r="HH83" s="232"/>
      <c r="HI83" s="232"/>
      <c r="HJ83" s="232"/>
      <c r="HK83" s="232"/>
      <c r="HL83" s="232"/>
      <c r="HM83" s="232"/>
      <c r="HN83" s="232"/>
      <c r="HO83" s="232"/>
      <c r="HP83" s="232"/>
      <c r="HQ83" s="232"/>
      <c r="HR83" s="232"/>
      <c r="HS83" s="232"/>
      <c r="HT83" s="232"/>
      <c r="HU83" s="232"/>
      <c r="HV83" s="232"/>
      <c r="HW83" s="232"/>
      <c r="HX83" s="232"/>
      <c r="HY83" s="232"/>
      <c r="HZ83" s="232"/>
      <c r="IA83" s="232"/>
      <c r="IB83" s="232"/>
      <c r="IC83" s="232"/>
    </row>
    <row r="84" spans="1:237" ht="14.1" customHeight="1">
      <c r="A84" s="232"/>
      <c r="B84" s="248"/>
      <c r="C84" s="248"/>
      <c r="D84" s="248"/>
      <c r="E84" s="248"/>
      <c r="F84" s="248"/>
      <c r="G84" s="248"/>
      <c r="H84" s="228"/>
      <c r="I84" s="228"/>
      <c r="K84" s="265"/>
      <c r="L84" s="899"/>
      <c r="M84" s="899"/>
      <c r="N84" s="899"/>
      <c r="O84" s="899"/>
      <c r="Q84" s="909"/>
      <c r="R84" s="899"/>
      <c r="S84" s="899"/>
      <c r="T84" s="899"/>
      <c r="U84" s="899"/>
      <c r="V84" s="899"/>
      <c r="W84" s="899"/>
      <c r="X84" s="899"/>
      <c r="Y84" s="899"/>
      <c r="Z84" s="899"/>
      <c r="AA84" s="899"/>
      <c r="AB84" s="899"/>
      <c r="AC84" s="899"/>
      <c r="AD84" s="899"/>
      <c r="AE84" s="899"/>
      <c r="AF84" s="899"/>
      <c r="AG84" s="899"/>
      <c r="AH84" s="899"/>
      <c r="AI84" s="899"/>
      <c r="AJ84" s="899"/>
      <c r="AK84" s="899"/>
      <c r="AL84" s="899"/>
      <c r="AM84" s="232"/>
      <c r="AN84" s="232"/>
      <c r="AO84" s="232"/>
      <c r="AP84" s="232"/>
      <c r="AQ84" s="232"/>
      <c r="AR84" s="232"/>
      <c r="AS84" s="232"/>
      <c r="AT84" s="232"/>
      <c r="AU84" s="232"/>
      <c r="AV84" s="232"/>
      <c r="AW84" s="232"/>
      <c r="AX84" s="232"/>
      <c r="AY84" s="232"/>
      <c r="AZ84" s="232"/>
      <c r="BA84" s="232"/>
      <c r="BB84" s="232"/>
      <c r="BC84" s="232"/>
      <c r="BD84" s="232"/>
      <c r="BE84" s="232"/>
      <c r="BF84" s="232"/>
      <c r="BG84" s="232"/>
      <c r="BH84" s="232"/>
      <c r="BI84" s="232"/>
      <c r="BJ84" s="232"/>
      <c r="BK84" s="232"/>
      <c r="BL84" s="232"/>
      <c r="BM84" s="232"/>
      <c r="BN84" s="232"/>
      <c r="BO84" s="232"/>
      <c r="BP84" s="232"/>
      <c r="BQ84" s="232"/>
      <c r="BR84" s="232"/>
      <c r="BS84" s="232"/>
      <c r="BT84" s="232"/>
      <c r="BU84" s="232"/>
      <c r="BV84" s="232"/>
      <c r="BW84" s="232"/>
      <c r="BX84" s="232"/>
      <c r="BY84" s="232"/>
      <c r="BZ84" s="232"/>
      <c r="CA84" s="232"/>
      <c r="CB84" s="232"/>
      <c r="CC84" s="232"/>
      <c r="CD84" s="232"/>
      <c r="CE84" s="232"/>
      <c r="CF84" s="232"/>
      <c r="CG84" s="232"/>
      <c r="CH84" s="232"/>
      <c r="CI84" s="232"/>
      <c r="CJ84" s="232"/>
      <c r="CK84" s="232"/>
      <c r="CL84" s="232"/>
      <c r="CM84" s="232"/>
      <c r="CN84" s="232"/>
      <c r="CO84" s="232"/>
      <c r="CP84" s="232"/>
      <c r="CQ84" s="232"/>
      <c r="CR84" s="232"/>
      <c r="CS84" s="232"/>
      <c r="CT84" s="232"/>
      <c r="CU84" s="232"/>
      <c r="CV84" s="232"/>
      <c r="CW84" s="232"/>
      <c r="CX84" s="232"/>
      <c r="CY84" s="232"/>
      <c r="CZ84" s="232"/>
      <c r="DA84" s="232"/>
      <c r="DB84" s="232"/>
      <c r="DC84" s="232"/>
      <c r="DD84" s="232"/>
      <c r="DE84" s="232"/>
      <c r="DF84" s="232"/>
      <c r="DG84" s="232"/>
      <c r="DH84" s="232"/>
      <c r="DI84" s="232"/>
      <c r="DJ84" s="232"/>
      <c r="DK84" s="232"/>
      <c r="DL84" s="232"/>
      <c r="DM84" s="232"/>
      <c r="DN84" s="232"/>
      <c r="DO84" s="232"/>
      <c r="DP84" s="232"/>
      <c r="DQ84" s="232"/>
      <c r="DR84" s="232"/>
      <c r="DS84" s="232"/>
      <c r="DT84" s="232"/>
      <c r="DU84" s="232"/>
      <c r="DV84" s="232"/>
      <c r="DW84" s="232"/>
      <c r="DX84" s="232"/>
      <c r="DY84" s="232"/>
      <c r="DZ84" s="232"/>
      <c r="EA84" s="232"/>
      <c r="EB84" s="232"/>
      <c r="EC84" s="232"/>
      <c r="ED84" s="232"/>
      <c r="EE84" s="232"/>
      <c r="EF84" s="232"/>
      <c r="EG84" s="232"/>
      <c r="EH84" s="232"/>
      <c r="EI84" s="232"/>
      <c r="EJ84" s="232"/>
      <c r="EK84" s="232"/>
      <c r="EL84" s="232"/>
      <c r="EM84" s="232"/>
      <c r="EN84" s="232"/>
      <c r="EO84" s="232"/>
      <c r="EP84" s="232"/>
      <c r="EQ84" s="232"/>
      <c r="ER84" s="232"/>
      <c r="ES84" s="232"/>
      <c r="ET84" s="232"/>
      <c r="EU84" s="232"/>
      <c r="EV84" s="232"/>
      <c r="EW84" s="232"/>
      <c r="EX84" s="232"/>
      <c r="EY84" s="232"/>
      <c r="EZ84" s="232"/>
      <c r="FA84" s="232"/>
      <c r="FB84" s="232"/>
      <c r="FC84" s="232"/>
      <c r="FD84" s="232"/>
      <c r="FE84" s="232"/>
      <c r="FF84" s="232"/>
      <c r="FG84" s="232"/>
      <c r="FH84" s="232"/>
      <c r="FI84" s="232"/>
      <c r="FJ84" s="232"/>
      <c r="FK84" s="232"/>
      <c r="FL84" s="232"/>
      <c r="FM84" s="232"/>
      <c r="FN84" s="232"/>
      <c r="FO84" s="232"/>
      <c r="FP84" s="232"/>
      <c r="FQ84" s="232"/>
      <c r="FR84" s="232"/>
      <c r="FS84" s="232"/>
      <c r="FT84" s="232"/>
      <c r="FU84" s="232"/>
      <c r="FV84" s="232"/>
      <c r="FW84" s="232"/>
      <c r="FX84" s="232"/>
      <c r="FY84" s="232"/>
      <c r="FZ84" s="232"/>
      <c r="GA84" s="232"/>
      <c r="GB84" s="232"/>
      <c r="GC84" s="232"/>
      <c r="GD84" s="232"/>
      <c r="GE84" s="232"/>
      <c r="GF84" s="232"/>
      <c r="GG84" s="232"/>
      <c r="GH84" s="232"/>
      <c r="GI84" s="232"/>
      <c r="GJ84" s="232"/>
      <c r="GK84" s="232"/>
      <c r="GL84" s="232"/>
      <c r="GM84" s="232"/>
      <c r="GN84" s="232"/>
      <c r="GO84" s="232"/>
      <c r="GP84" s="232"/>
      <c r="GQ84" s="232"/>
      <c r="GR84" s="232"/>
      <c r="GS84" s="232"/>
      <c r="GT84" s="232"/>
      <c r="GU84" s="232"/>
      <c r="GV84" s="232"/>
      <c r="GW84" s="232"/>
      <c r="GX84" s="232"/>
      <c r="GY84" s="232"/>
      <c r="GZ84" s="232"/>
      <c r="HA84" s="232"/>
      <c r="HB84" s="232"/>
      <c r="HC84" s="232"/>
      <c r="HD84" s="232"/>
      <c r="HE84" s="232"/>
      <c r="HF84" s="232"/>
      <c r="HG84" s="232"/>
      <c r="HH84" s="232"/>
      <c r="HI84" s="232"/>
      <c r="HJ84" s="232"/>
      <c r="HK84" s="232"/>
      <c r="HL84" s="232"/>
      <c r="HM84" s="232"/>
      <c r="HN84" s="232"/>
      <c r="HO84" s="232"/>
      <c r="HP84" s="232"/>
      <c r="HQ84" s="232"/>
      <c r="HR84" s="232"/>
      <c r="HS84" s="232"/>
      <c r="HT84" s="232"/>
      <c r="HU84" s="232"/>
      <c r="HV84" s="232"/>
      <c r="HW84" s="232"/>
      <c r="HX84" s="232"/>
      <c r="HY84" s="232"/>
      <c r="HZ84" s="232"/>
      <c r="IA84" s="232"/>
      <c r="IB84" s="232"/>
      <c r="IC84" s="232"/>
    </row>
    <row r="85" spans="1:237" ht="14.1" customHeight="1">
      <c r="A85" s="232"/>
      <c r="B85" s="248"/>
      <c r="C85" s="248"/>
      <c r="D85" s="248"/>
      <c r="E85" s="248"/>
      <c r="F85" s="248"/>
      <c r="G85" s="248"/>
      <c r="H85" s="228"/>
      <c r="I85" s="228"/>
      <c r="K85" s="265"/>
      <c r="L85" s="899"/>
      <c r="M85" s="899"/>
      <c r="N85" s="899"/>
      <c r="O85" s="899"/>
      <c r="Q85" s="909"/>
      <c r="R85" s="899"/>
      <c r="S85" s="899"/>
      <c r="T85" s="899"/>
      <c r="U85" s="899"/>
      <c r="V85" s="899"/>
      <c r="W85" s="899"/>
      <c r="X85" s="899"/>
      <c r="Y85" s="899"/>
      <c r="Z85" s="899"/>
      <c r="AA85" s="899"/>
      <c r="AB85" s="899"/>
      <c r="AC85" s="899"/>
      <c r="AD85" s="899"/>
      <c r="AE85" s="899"/>
      <c r="AF85" s="899"/>
      <c r="AG85" s="899"/>
      <c r="AH85" s="899"/>
      <c r="AI85" s="899"/>
      <c r="AJ85" s="899"/>
      <c r="AK85" s="899"/>
      <c r="AL85" s="899"/>
      <c r="AM85" s="232"/>
      <c r="AN85" s="232"/>
      <c r="AO85" s="232"/>
      <c r="AP85" s="232"/>
      <c r="AQ85" s="232"/>
      <c r="AR85" s="232"/>
      <c r="AS85" s="232"/>
      <c r="AT85" s="232"/>
      <c r="AU85" s="232"/>
      <c r="AV85" s="232"/>
      <c r="AW85" s="232"/>
      <c r="AX85" s="232"/>
      <c r="AY85" s="232"/>
      <c r="AZ85" s="232"/>
      <c r="BA85" s="232"/>
      <c r="BB85" s="232"/>
      <c r="BC85" s="232"/>
      <c r="BD85" s="232"/>
      <c r="BE85" s="232"/>
      <c r="BF85" s="232"/>
      <c r="BG85" s="232"/>
      <c r="BH85" s="232"/>
      <c r="BI85" s="232"/>
      <c r="BJ85" s="232"/>
      <c r="BK85" s="232"/>
      <c r="BL85" s="232"/>
      <c r="BM85" s="232"/>
      <c r="BN85" s="232"/>
      <c r="BO85" s="232"/>
      <c r="BP85" s="232"/>
      <c r="BQ85" s="232"/>
      <c r="BR85" s="232"/>
      <c r="BS85" s="232"/>
      <c r="BT85" s="232"/>
      <c r="BU85" s="232"/>
      <c r="BV85" s="232"/>
      <c r="BW85" s="232"/>
      <c r="BX85" s="232"/>
      <c r="BY85" s="232"/>
      <c r="BZ85" s="232"/>
      <c r="CA85" s="232"/>
      <c r="CB85" s="232"/>
      <c r="CC85" s="232"/>
      <c r="CD85" s="232"/>
      <c r="CE85" s="232"/>
      <c r="CF85" s="232"/>
      <c r="CG85" s="232"/>
      <c r="CH85" s="232"/>
      <c r="CI85" s="232"/>
      <c r="CJ85" s="232"/>
      <c r="CK85" s="232"/>
      <c r="CL85" s="232"/>
      <c r="CM85" s="232"/>
      <c r="CN85" s="232"/>
      <c r="CO85" s="232"/>
      <c r="CP85" s="232"/>
      <c r="CQ85" s="232"/>
      <c r="CR85" s="232"/>
      <c r="CS85" s="232"/>
      <c r="CT85" s="232"/>
      <c r="CU85" s="232"/>
      <c r="CV85" s="232"/>
      <c r="CW85" s="232"/>
      <c r="CX85" s="232"/>
      <c r="CY85" s="232"/>
      <c r="CZ85" s="232"/>
      <c r="DA85" s="232"/>
      <c r="DB85" s="232"/>
      <c r="DC85" s="232"/>
      <c r="DD85" s="232"/>
      <c r="DE85" s="232"/>
      <c r="DF85" s="232"/>
      <c r="DG85" s="232"/>
      <c r="DH85" s="232"/>
      <c r="DI85" s="232"/>
      <c r="DJ85" s="232"/>
      <c r="DK85" s="232"/>
      <c r="DL85" s="232"/>
      <c r="DM85" s="232"/>
      <c r="DN85" s="232"/>
      <c r="DO85" s="232"/>
      <c r="DP85" s="232"/>
      <c r="DQ85" s="232"/>
      <c r="DR85" s="232"/>
      <c r="DS85" s="232"/>
      <c r="DT85" s="232"/>
      <c r="DU85" s="232"/>
      <c r="DV85" s="232"/>
      <c r="DW85" s="232"/>
      <c r="DX85" s="232"/>
      <c r="DY85" s="232"/>
      <c r="DZ85" s="232"/>
      <c r="EA85" s="232"/>
      <c r="EB85" s="232"/>
      <c r="EC85" s="232"/>
      <c r="ED85" s="232"/>
      <c r="EE85" s="232"/>
      <c r="EF85" s="232"/>
      <c r="EG85" s="232"/>
      <c r="EH85" s="232"/>
      <c r="EI85" s="232"/>
      <c r="EJ85" s="232"/>
      <c r="EK85" s="232"/>
      <c r="EL85" s="232"/>
      <c r="EM85" s="232"/>
      <c r="EN85" s="232"/>
      <c r="EO85" s="232"/>
      <c r="EP85" s="232"/>
      <c r="EQ85" s="232"/>
      <c r="ER85" s="232"/>
      <c r="ES85" s="232"/>
      <c r="ET85" s="232"/>
      <c r="EU85" s="232"/>
      <c r="EV85" s="232"/>
      <c r="EW85" s="232"/>
      <c r="EX85" s="232"/>
      <c r="EY85" s="232"/>
      <c r="EZ85" s="232"/>
      <c r="FA85" s="232"/>
      <c r="FB85" s="232"/>
      <c r="FC85" s="232"/>
      <c r="FD85" s="232"/>
      <c r="FE85" s="232"/>
      <c r="FF85" s="232"/>
      <c r="FG85" s="232"/>
      <c r="FH85" s="232"/>
      <c r="FI85" s="232"/>
      <c r="FJ85" s="232"/>
      <c r="FK85" s="232"/>
      <c r="FL85" s="232"/>
      <c r="FM85" s="232"/>
      <c r="FN85" s="232"/>
      <c r="FO85" s="232"/>
      <c r="FP85" s="232"/>
      <c r="FQ85" s="232"/>
      <c r="FR85" s="232"/>
      <c r="FS85" s="232"/>
      <c r="FT85" s="232"/>
      <c r="FU85" s="232"/>
      <c r="FV85" s="232"/>
      <c r="FW85" s="232"/>
      <c r="FX85" s="232"/>
      <c r="FY85" s="232"/>
      <c r="FZ85" s="232"/>
      <c r="GA85" s="232"/>
      <c r="GB85" s="232"/>
      <c r="GC85" s="232"/>
      <c r="GD85" s="232"/>
      <c r="GE85" s="232"/>
      <c r="GF85" s="232"/>
      <c r="GG85" s="232"/>
      <c r="GH85" s="232"/>
      <c r="GI85" s="232"/>
      <c r="GJ85" s="232"/>
      <c r="GK85" s="232"/>
      <c r="GL85" s="232"/>
      <c r="GM85" s="232"/>
      <c r="GN85" s="232"/>
      <c r="GO85" s="232"/>
      <c r="GP85" s="232"/>
      <c r="GQ85" s="232"/>
      <c r="GR85" s="232"/>
      <c r="GS85" s="232"/>
      <c r="GT85" s="232"/>
      <c r="GU85" s="232"/>
      <c r="GV85" s="232"/>
      <c r="GW85" s="232"/>
      <c r="GX85" s="232"/>
      <c r="GY85" s="232"/>
      <c r="GZ85" s="232"/>
      <c r="HA85" s="232"/>
      <c r="HB85" s="232"/>
      <c r="HC85" s="232"/>
      <c r="HD85" s="232"/>
      <c r="HE85" s="232"/>
      <c r="HF85" s="232"/>
      <c r="HG85" s="232"/>
      <c r="HH85" s="232"/>
      <c r="HI85" s="232"/>
      <c r="HJ85" s="232"/>
      <c r="HK85" s="232"/>
      <c r="HL85" s="232"/>
      <c r="HM85" s="232"/>
      <c r="HN85" s="232"/>
      <c r="HO85" s="232"/>
      <c r="HP85" s="232"/>
      <c r="HQ85" s="232"/>
      <c r="HR85" s="232"/>
      <c r="HS85" s="232"/>
      <c r="HT85" s="232"/>
      <c r="HU85" s="232"/>
      <c r="HV85" s="232"/>
      <c r="HW85" s="232"/>
      <c r="HX85" s="232"/>
      <c r="HY85" s="232"/>
      <c r="HZ85" s="232"/>
      <c r="IA85" s="232"/>
      <c r="IB85" s="232"/>
      <c r="IC85" s="232"/>
    </row>
    <row r="86" spans="1:237" ht="14.1" customHeight="1">
      <c r="A86" s="232"/>
      <c r="B86" s="248"/>
      <c r="C86" s="248"/>
      <c r="D86" s="248"/>
      <c r="E86" s="248"/>
      <c r="F86" s="248"/>
      <c r="G86" s="248"/>
      <c r="H86" s="228"/>
      <c r="I86" s="228"/>
      <c r="K86" s="265"/>
      <c r="L86" s="899"/>
      <c r="M86" s="899"/>
      <c r="N86" s="899"/>
      <c r="O86" s="899"/>
      <c r="Q86" s="909"/>
      <c r="R86" s="899"/>
      <c r="S86" s="899"/>
      <c r="T86" s="899"/>
      <c r="U86" s="899"/>
      <c r="V86" s="899"/>
      <c r="W86" s="899"/>
      <c r="X86" s="899"/>
      <c r="Y86" s="899"/>
      <c r="Z86" s="899"/>
      <c r="AA86" s="899"/>
      <c r="AB86" s="899"/>
      <c r="AC86" s="899"/>
      <c r="AD86" s="899"/>
      <c r="AE86" s="899"/>
      <c r="AF86" s="899"/>
      <c r="AG86" s="899"/>
      <c r="AH86" s="899"/>
      <c r="AI86" s="899"/>
      <c r="AJ86" s="899"/>
      <c r="AK86" s="899"/>
      <c r="AL86" s="899"/>
      <c r="AM86" s="232"/>
      <c r="AN86" s="232"/>
      <c r="AO86" s="232"/>
      <c r="AP86" s="232"/>
      <c r="AQ86" s="232"/>
      <c r="AR86" s="232"/>
      <c r="AS86" s="232"/>
      <c r="AT86" s="232"/>
      <c r="AU86" s="232"/>
      <c r="AV86" s="232"/>
      <c r="AW86" s="232"/>
      <c r="AX86" s="232"/>
      <c r="AY86" s="232"/>
      <c r="AZ86" s="232"/>
      <c r="BA86" s="232"/>
      <c r="BB86" s="232"/>
      <c r="BC86" s="232"/>
      <c r="BD86" s="232"/>
      <c r="BE86" s="232"/>
      <c r="BF86" s="232"/>
      <c r="BG86" s="232"/>
      <c r="BH86" s="232"/>
      <c r="BI86" s="232"/>
      <c r="BJ86" s="232"/>
      <c r="BK86" s="232"/>
      <c r="BL86" s="232"/>
      <c r="BM86" s="232"/>
      <c r="BN86" s="232"/>
      <c r="BO86" s="232"/>
      <c r="BP86" s="232"/>
      <c r="BQ86" s="232"/>
      <c r="BR86" s="232"/>
      <c r="BS86" s="232"/>
      <c r="BT86" s="232"/>
      <c r="BU86" s="232"/>
      <c r="BV86" s="232"/>
      <c r="BW86" s="232"/>
      <c r="BX86" s="232"/>
      <c r="BY86" s="232"/>
      <c r="BZ86" s="232"/>
      <c r="CA86" s="232"/>
      <c r="CB86" s="232"/>
      <c r="CC86" s="232"/>
      <c r="CD86" s="232"/>
      <c r="CE86" s="232"/>
      <c r="CF86" s="232"/>
      <c r="CG86" s="232"/>
      <c r="CH86" s="232"/>
      <c r="CI86" s="232"/>
      <c r="CJ86" s="232"/>
      <c r="CK86" s="232"/>
      <c r="CL86" s="232"/>
      <c r="CM86" s="232"/>
      <c r="CN86" s="232"/>
      <c r="CO86" s="232"/>
      <c r="CP86" s="232"/>
      <c r="CQ86" s="232"/>
      <c r="CR86" s="232"/>
      <c r="CS86" s="232"/>
      <c r="CT86" s="232"/>
      <c r="CU86" s="232"/>
      <c r="CV86" s="232"/>
      <c r="CW86" s="232"/>
      <c r="CX86" s="232"/>
      <c r="CY86" s="232"/>
      <c r="CZ86" s="232"/>
      <c r="DA86" s="232"/>
      <c r="DB86" s="232"/>
      <c r="DC86" s="232"/>
      <c r="DD86" s="232"/>
      <c r="DE86" s="232"/>
      <c r="DF86" s="232"/>
      <c r="DG86" s="232"/>
      <c r="DH86" s="232"/>
      <c r="DI86" s="232"/>
      <c r="DJ86" s="232"/>
      <c r="DK86" s="232"/>
      <c r="DL86" s="232"/>
      <c r="DM86" s="232"/>
      <c r="DN86" s="232"/>
      <c r="DO86" s="232"/>
      <c r="DP86" s="232"/>
      <c r="DQ86" s="232"/>
      <c r="DR86" s="232"/>
      <c r="DS86" s="232"/>
      <c r="DT86" s="232"/>
      <c r="DU86" s="232"/>
      <c r="DV86" s="232"/>
      <c r="DW86" s="232"/>
      <c r="DX86" s="232"/>
      <c r="DY86" s="232"/>
      <c r="DZ86" s="232"/>
      <c r="EA86" s="232"/>
      <c r="EB86" s="232"/>
      <c r="EC86" s="232"/>
      <c r="ED86" s="232"/>
      <c r="EE86" s="232"/>
      <c r="EF86" s="232"/>
      <c r="EG86" s="232"/>
      <c r="EH86" s="232"/>
      <c r="EI86" s="232"/>
      <c r="EJ86" s="232"/>
      <c r="EK86" s="232"/>
      <c r="EL86" s="232"/>
      <c r="EM86" s="232"/>
      <c r="EN86" s="232"/>
      <c r="EO86" s="232"/>
      <c r="EP86" s="232"/>
      <c r="EQ86" s="232"/>
      <c r="ER86" s="232"/>
      <c r="ES86" s="232"/>
      <c r="ET86" s="232"/>
      <c r="EU86" s="232"/>
      <c r="EV86" s="232"/>
      <c r="EW86" s="232"/>
      <c r="EX86" s="232"/>
      <c r="EY86" s="232"/>
      <c r="EZ86" s="232"/>
      <c r="FA86" s="232"/>
      <c r="FB86" s="232"/>
      <c r="FC86" s="232"/>
      <c r="FD86" s="232"/>
      <c r="FE86" s="232"/>
      <c r="FF86" s="232"/>
      <c r="FG86" s="232"/>
      <c r="FH86" s="232"/>
      <c r="FI86" s="232"/>
      <c r="FJ86" s="232"/>
      <c r="FK86" s="232"/>
      <c r="FL86" s="232"/>
      <c r="FM86" s="232"/>
      <c r="FN86" s="232"/>
      <c r="FO86" s="232"/>
      <c r="FP86" s="232"/>
      <c r="FQ86" s="232"/>
      <c r="FR86" s="232"/>
      <c r="FS86" s="232"/>
      <c r="FT86" s="232"/>
      <c r="FU86" s="232"/>
      <c r="FV86" s="232"/>
      <c r="FW86" s="232"/>
      <c r="FX86" s="232"/>
      <c r="FY86" s="232"/>
      <c r="FZ86" s="232"/>
      <c r="GA86" s="232"/>
      <c r="GB86" s="232"/>
      <c r="GC86" s="232"/>
      <c r="GD86" s="232"/>
      <c r="GE86" s="232"/>
      <c r="GF86" s="232"/>
      <c r="GG86" s="232"/>
      <c r="GH86" s="232"/>
      <c r="GI86" s="232"/>
      <c r="GJ86" s="232"/>
      <c r="GK86" s="232"/>
      <c r="GL86" s="232"/>
      <c r="GM86" s="232"/>
      <c r="GN86" s="232"/>
      <c r="GO86" s="232"/>
      <c r="GP86" s="232"/>
      <c r="GQ86" s="232"/>
      <c r="GR86" s="232"/>
      <c r="GS86" s="232"/>
      <c r="GT86" s="232"/>
      <c r="GU86" s="232"/>
      <c r="GV86" s="232"/>
      <c r="GW86" s="232"/>
      <c r="GX86" s="232"/>
      <c r="GY86" s="232"/>
      <c r="GZ86" s="232"/>
      <c r="HA86" s="232"/>
      <c r="HB86" s="232"/>
      <c r="HC86" s="232"/>
      <c r="HD86" s="232"/>
      <c r="HE86" s="232"/>
      <c r="HF86" s="232"/>
      <c r="HG86" s="232"/>
      <c r="HH86" s="232"/>
      <c r="HI86" s="232"/>
      <c r="HJ86" s="232"/>
      <c r="HK86" s="232"/>
      <c r="HL86" s="232"/>
      <c r="HM86" s="232"/>
      <c r="HN86" s="232"/>
      <c r="HO86" s="232"/>
      <c r="HP86" s="232"/>
      <c r="HQ86" s="232"/>
      <c r="HR86" s="232"/>
      <c r="HS86" s="232"/>
      <c r="HT86" s="232"/>
      <c r="HU86" s="232"/>
      <c r="HV86" s="232"/>
      <c r="HW86" s="232"/>
      <c r="HX86" s="232"/>
      <c r="HY86" s="232"/>
      <c r="HZ86" s="232"/>
      <c r="IA86" s="232"/>
      <c r="IB86" s="232"/>
      <c r="IC86" s="232"/>
    </row>
    <row r="87" spans="1:237" ht="14.1" customHeight="1">
      <c r="A87" s="232"/>
      <c r="B87" s="248"/>
      <c r="C87" s="248"/>
      <c r="D87" s="248"/>
      <c r="E87" s="248"/>
      <c r="F87" s="248"/>
      <c r="G87" s="248"/>
      <c r="H87" s="228"/>
      <c r="I87" s="228"/>
      <c r="K87" s="265"/>
      <c r="L87" s="899"/>
      <c r="M87" s="899"/>
      <c r="N87" s="899"/>
      <c r="O87" s="899"/>
      <c r="Q87" s="909"/>
      <c r="R87" s="899"/>
      <c r="S87" s="899"/>
      <c r="T87" s="899"/>
      <c r="U87" s="899"/>
      <c r="V87" s="899"/>
      <c r="W87" s="899"/>
      <c r="X87" s="899"/>
      <c r="Y87" s="899"/>
      <c r="Z87" s="899"/>
      <c r="AA87" s="899"/>
      <c r="AB87" s="899"/>
      <c r="AC87" s="899"/>
      <c r="AD87" s="899"/>
      <c r="AE87" s="899"/>
      <c r="AF87" s="899"/>
      <c r="AG87" s="899"/>
      <c r="AH87" s="899"/>
      <c r="AI87" s="899"/>
      <c r="AJ87" s="899"/>
      <c r="AK87" s="899"/>
      <c r="AL87" s="899"/>
      <c r="AM87" s="232"/>
      <c r="AN87" s="232"/>
      <c r="AO87" s="232"/>
      <c r="AP87" s="232"/>
      <c r="AQ87" s="232"/>
      <c r="AR87" s="232"/>
      <c r="AS87" s="232"/>
      <c r="AT87" s="232"/>
      <c r="AU87" s="232"/>
      <c r="AV87" s="232"/>
      <c r="AW87" s="232"/>
      <c r="AX87" s="232"/>
      <c r="AY87" s="232"/>
      <c r="AZ87" s="232"/>
      <c r="BA87" s="232"/>
      <c r="BB87" s="232"/>
      <c r="BC87" s="232"/>
      <c r="BD87" s="232"/>
      <c r="BE87" s="232"/>
      <c r="BF87" s="232"/>
      <c r="BG87" s="232"/>
      <c r="BH87" s="232"/>
      <c r="BI87" s="232"/>
      <c r="BJ87" s="232"/>
      <c r="BK87" s="232"/>
      <c r="BL87" s="232"/>
      <c r="BM87" s="232"/>
      <c r="BN87" s="232"/>
      <c r="BO87" s="232"/>
      <c r="BP87" s="232"/>
      <c r="BQ87" s="232"/>
      <c r="BR87" s="232"/>
      <c r="BS87" s="232"/>
      <c r="BT87" s="232"/>
      <c r="BU87" s="232"/>
      <c r="BV87" s="232"/>
      <c r="BW87" s="232"/>
      <c r="BX87" s="232"/>
      <c r="BY87" s="232"/>
      <c r="BZ87" s="232"/>
      <c r="CA87" s="232"/>
      <c r="CB87" s="232"/>
      <c r="CC87" s="232"/>
      <c r="CD87" s="232"/>
      <c r="CE87" s="232"/>
      <c r="CF87" s="232"/>
      <c r="CG87" s="232"/>
      <c r="CH87" s="232"/>
      <c r="CI87" s="232"/>
      <c r="CJ87" s="232"/>
      <c r="CK87" s="232"/>
      <c r="CL87" s="232"/>
      <c r="CM87" s="232"/>
      <c r="CN87" s="232"/>
      <c r="CO87" s="232"/>
      <c r="CP87" s="232"/>
      <c r="CQ87" s="232"/>
      <c r="CR87" s="232"/>
      <c r="CS87" s="232"/>
      <c r="CT87" s="232"/>
      <c r="CU87" s="232"/>
      <c r="CV87" s="232"/>
      <c r="CW87" s="232"/>
      <c r="CX87" s="232"/>
      <c r="CY87" s="232"/>
      <c r="CZ87" s="232"/>
      <c r="DA87" s="232"/>
      <c r="DB87" s="232"/>
      <c r="DC87" s="232"/>
      <c r="DD87" s="232"/>
      <c r="DE87" s="232"/>
      <c r="DF87" s="232"/>
      <c r="DG87" s="232"/>
      <c r="DH87" s="232"/>
      <c r="DI87" s="232"/>
      <c r="DJ87" s="232"/>
      <c r="DK87" s="232"/>
      <c r="DL87" s="232"/>
      <c r="DM87" s="232"/>
      <c r="DN87" s="232"/>
      <c r="DO87" s="232"/>
      <c r="DP87" s="232"/>
      <c r="DQ87" s="232"/>
      <c r="DR87" s="232"/>
      <c r="DS87" s="232"/>
      <c r="DT87" s="232"/>
      <c r="DU87" s="232"/>
      <c r="DV87" s="232"/>
      <c r="DW87" s="232"/>
      <c r="DX87" s="232"/>
      <c r="DY87" s="232"/>
      <c r="DZ87" s="232"/>
      <c r="EA87" s="232"/>
      <c r="EB87" s="232"/>
      <c r="EC87" s="232"/>
      <c r="ED87" s="232"/>
      <c r="EE87" s="232"/>
      <c r="EF87" s="232"/>
      <c r="EG87" s="232"/>
      <c r="EH87" s="232"/>
      <c r="EI87" s="232"/>
      <c r="EJ87" s="232"/>
      <c r="EK87" s="232"/>
      <c r="EL87" s="232"/>
      <c r="EM87" s="232"/>
      <c r="EN87" s="232"/>
      <c r="EO87" s="232"/>
      <c r="EP87" s="232"/>
      <c r="EQ87" s="232"/>
      <c r="ER87" s="232"/>
      <c r="ES87" s="232"/>
      <c r="ET87" s="232"/>
      <c r="EU87" s="232"/>
      <c r="EV87" s="232"/>
      <c r="EW87" s="232"/>
      <c r="EX87" s="232"/>
      <c r="EY87" s="232"/>
      <c r="EZ87" s="232"/>
      <c r="FA87" s="232"/>
      <c r="FB87" s="232"/>
      <c r="FC87" s="232"/>
      <c r="FD87" s="232"/>
      <c r="FE87" s="232"/>
      <c r="FF87" s="232"/>
      <c r="FG87" s="232"/>
      <c r="FH87" s="232"/>
      <c r="FI87" s="232"/>
      <c r="FJ87" s="232"/>
      <c r="FK87" s="232"/>
      <c r="FL87" s="232"/>
      <c r="FM87" s="232"/>
      <c r="FN87" s="232"/>
      <c r="FO87" s="232"/>
      <c r="FP87" s="232"/>
      <c r="FQ87" s="232"/>
      <c r="FR87" s="232"/>
      <c r="FS87" s="232"/>
      <c r="FT87" s="232"/>
      <c r="FU87" s="232"/>
      <c r="FV87" s="232"/>
      <c r="FW87" s="232"/>
      <c r="FX87" s="232"/>
      <c r="FY87" s="232"/>
      <c r="FZ87" s="232"/>
      <c r="GA87" s="232"/>
      <c r="GB87" s="232"/>
      <c r="GC87" s="232"/>
      <c r="GD87" s="232"/>
      <c r="GE87" s="232"/>
      <c r="GF87" s="232"/>
      <c r="GG87" s="232"/>
      <c r="GH87" s="232"/>
      <c r="GI87" s="232"/>
      <c r="GJ87" s="232"/>
      <c r="GK87" s="232"/>
      <c r="GL87" s="232"/>
      <c r="GM87" s="232"/>
      <c r="GN87" s="232"/>
      <c r="GO87" s="232"/>
      <c r="GP87" s="232"/>
      <c r="GQ87" s="232"/>
      <c r="GR87" s="232"/>
      <c r="GS87" s="232"/>
      <c r="GT87" s="232"/>
      <c r="GU87" s="232"/>
      <c r="GV87" s="232"/>
      <c r="GW87" s="232"/>
      <c r="GX87" s="232"/>
      <c r="GY87" s="232"/>
      <c r="GZ87" s="232"/>
      <c r="HA87" s="232"/>
      <c r="HB87" s="232"/>
      <c r="HC87" s="232"/>
      <c r="HD87" s="232"/>
      <c r="HE87" s="232"/>
      <c r="HF87" s="232"/>
      <c r="HG87" s="232"/>
      <c r="HH87" s="232"/>
      <c r="HI87" s="232"/>
      <c r="HJ87" s="232"/>
      <c r="HK87" s="232"/>
      <c r="HL87" s="232"/>
      <c r="HM87" s="232"/>
      <c r="HN87" s="232"/>
      <c r="HO87" s="232"/>
      <c r="HP87" s="232"/>
      <c r="HQ87" s="232"/>
      <c r="HR87" s="232"/>
      <c r="HS87" s="232"/>
      <c r="HT87" s="232"/>
      <c r="HU87" s="232"/>
      <c r="HV87" s="232"/>
      <c r="HW87" s="232"/>
      <c r="HX87" s="232"/>
      <c r="HY87" s="232"/>
      <c r="HZ87" s="232"/>
      <c r="IA87" s="232"/>
      <c r="IB87" s="232"/>
      <c r="IC87" s="232"/>
    </row>
    <row r="88" spans="1:237" ht="14.1" customHeight="1">
      <c r="A88" s="232"/>
      <c r="B88" s="248"/>
      <c r="C88" s="248"/>
      <c r="D88" s="248"/>
      <c r="E88" s="248"/>
      <c r="F88" s="248"/>
      <c r="G88" s="248"/>
      <c r="H88" s="228"/>
      <c r="I88" s="228"/>
      <c r="K88" s="265"/>
      <c r="L88" s="899"/>
      <c r="M88" s="899"/>
      <c r="N88" s="899"/>
      <c r="O88" s="899"/>
      <c r="Q88" s="909"/>
      <c r="R88" s="899"/>
      <c r="S88" s="899"/>
      <c r="T88" s="899"/>
      <c r="U88" s="899"/>
      <c r="V88" s="899"/>
      <c r="W88" s="899"/>
      <c r="X88" s="899"/>
      <c r="Y88" s="899"/>
      <c r="Z88" s="899"/>
      <c r="AA88" s="899"/>
      <c r="AB88" s="899"/>
      <c r="AC88" s="899"/>
      <c r="AD88" s="899"/>
      <c r="AE88" s="899"/>
      <c r="AF88" s="899"/>
      <c r="AG88" s="899"/>
      <c r="AH88" s="899"/>
      <c r="AI88" s="899"/>
      <c r="AJ88" s="899"/>
      <c r="AK88" s="899"/>
      <c r="AL88" s="899"/>
      <c r="AM88" s="232"/>
      <c r="AN88" s="232"/>
      <c r="AO88" s="232"/>
      <c r="AP88" s="232"/>
      <c r="AQ88" s="232"/>
      <c r="AR88" s="232"/>
      <c r="AS88" s="232"/>
      <c r="AT88" s="232"/>
      <c r="AU88" s="232"/>
      <c r="AV88" s="232"/>
      <c r="AW88" s="232"/>
      <c r="AX88" s="232"/>
      <c r="AY88" s="232"/>
      <c r="AZ88" s="232"/>
      <c r="BA88" s="232"/>
      <c r="BB88" s="232"/>
      <c r="BC88" s="232"/>
      <c r="BD88" s="232"/>
      <c r="BE88" s="232"/>
      <c r="BF88" s="232"/>
      <c r="BG88" s="232"/>
      <c r="BH88" s="232"/>
      <c r="BI88" s="232"/>
      <c r="BJ88" s="232"/>
      <c r="BK88" s="232"/>
      <c r="BL88" s="232"/>
      <c r="BM88" s="232"/>
      <c r="BN88" s="232"/>
      <c r="BO88" s="232"/>
      <c r="BP88" s="232"/>
      <c r="BQ88" s="232"/>
      <c r="BR88" s="232"/>
      <c r="BS88" s="232"/>
      <c r="BT88" s="232"/>
      <c r="BU88" s="232"/>
      <c r="BV88" s="232"/>
      <c r="BW88" s="232"/>
      <c r="BX88" s="232"/>
      <c r="BY88" s="232"/>
      <c r="BZ88" s="232"/>
      <c r="CA88" s="232"/>
      <c r="CB88" s="232"/>
      <c r="CC88" s="232"/>
      <c r="CD88" s="232"/>
      <c r="CE88" s="232"/>
      <c r="CF88" s="232"/>
      <c r="CG88" s="232"/>
      <c r="CH88" s="232"/>
      <c r="CI88" s="232"/>
      <c r="CJ88" s="232"/>
      <c r="CK88" s="232"/>
      <c r="CL88" s="232"/>
      <c r="CM88" s="232"/>
      <c r="CN88" s="232"/>
      <c r="CO88" s="232"/>
      <c r="CP88" s="232"/>
      <c r="CQ88" s="232"/>
      <c r="CR88" s="232"/>
      <c r="CS88" s="232"/>
      <c r="CT88" s="232"/>
      <c r="CU88" s="232"/>
      <c r="CV88" s="232"/>
      <c r="CW88" s="232"/>
      <c r="CX88" s="232"/>
      <c r="CY88" s="232"/>
      <c r="CZ88" s="232"/>
      <c r="DA88" s="232"/>
      <c r="DB88" s="232"/>
      <c r="DC88" s="232"/>
      <c r="DD88" s="232"/>
      <c r="DE88" s="232"/>
      <c r="DF88" s="232"/>
      <c r="DG88" s="232"/>
      <c r="DH88" s="232"/>
      <c r="DI88" s="232"/>
      <c r="DJ88" s="232"/>
      <c r="DK88" s="232"/>
      <c r="DL88" s="232"/>
      <c r="DM88" s="232"/>
      <c r="DN88" s="232"/>
      <c r="DO88" s="232"/>
      <c r="DP88" s="232"/>
      <c r="DQ88" s="232"/>
      <c r="DR88" s="232"/>
      <c r="DS88" s="232"/>
      <c r="DT88" s="232"/>
      <c r="DU88" s="232"/>
      <c r="DV88" s="232"/>
      <c r="DW88" s="232"/>
      <c r="DX88" s="232"/>
      <c r="DY88" s="232"/>
      <c r="DZ88" s="232"/>
      <c r="EA88" s="232"/>
      <c r="EB88" s="232"/>
      <c r="EC88" s="232"/>
      <c r="ED88" s="232"/>
      <c r="EE88" s="232"/>
      <c r="EF88" s="232"/>
      <c r="EG88" s="232"/>
      <c r="EH88" s="232"/>
      <c r="EI88" s="232"/>
      <c r="EJ88" s="232"/>
      <c r="EK88" s="232"/>
      <c r="EL88" s="232"/>
      <c r="EM88" s="232"/>
      <c r="EN88" s="232"/>
      <c r="EO88" s="232"/>
      <c r="EP88" s="232"/>
      <c r="EQ88" s="232"/>
      <c r="ER88" s="232"/>
      <c r="ES88" s="232"/>
      <c r="ET88" s="232"/>
      <c r="EU88" s="232"/>
      <c r="EV88" s="232"/>
      <c r="EW88" s="232"/>
      <c r="EX88" s="232"/>
      <c r="EY88" s="232"/>
      <c r="EZ88" s="232"/>
      <c r="FA88" s="232"/>
      <c r="FB88" s="232"/>
      <c r="FC88" s="232"/>
      <c r="FD88" s="232"/>
      <c r="FE88" s="232"/>
      <c r="FF88" s="232"/>
      <c r="FG88" s="232"/>
      <c r="FH88" s="232"/>
      <c r="FI88" s="232"/>
      <c r="FJ88" s="232"/>
      <c r="FK88" s="232"/>
      <c r="FL88" s="232"/>
      <c r="FM88" s="232"/>
      <c r="FN88" s="232"/>
      <c r="FO88" s="232"/>
      <c r="FP88" s="232"/>
      <c r="FQ88" s="232"/>
      <c r="FR88" s="232"/>
      <c r="FS88" s="232"/>
      <c r="FT88" s="232"/>
      <c r="FU88" s="232"/>
      <c r="FV88" s="232"/>
      <c r="FW88" s="232"/>
      <c r="FX88" s="232"/>
      <c r="FY88" s="232"/>
      <c r="FZ88" s="232"/>
      <c r="GA88" s="232"/>
      <c r="GB88" s="232"/>
      <c r="GC88" s="232"/>
      <c r="GD88" s="232"/>
      <c r="GE88" s="232"/>
      <c r="GF88" s="232"/>
      <c r="GG88" s="232"/>
      <c r="GH88" s="232"/>
      <c r="GI88" s="232"/>
      <c r="GJ88" s="232"/>
      <c r="GK88" s="232"/>
      <c r="GL88" s="232"/>
      <c r="GM88" s="232"/>
      <c r="GN88" s="232"/>
      <c r="GO88" s="232"/>
      <c r="GP88" s="232"/>
      <c r="GQ88" s="232"/>
      <c r="GR88" s="232"/>
      <c r="GS88" s="232"/>
      <c r="GT88" s="232"/>
      <c r="GU88" s="232"/>
      <c r="GV88" s="232"/>
      <c r="GW88" s="232"/>
      <c r="GX88" s="232"/>
      <c r="GY88" s="232"/>
      <c r="GZ88" s="232"/>
      <c r="HA88" s="232"/>
      <c r="HB88" s="232"/>
      <c r="HC88" s="232"/>
      <c r="HD88" s="232"/>
      <c r="HE88" s="232"/>
      <c r="HF88" s="232"/>
      <c r="HG88" s="232"/>
      <c r="HH88" s="232"/>
      <c r="HI88" s="232"/>
      <c r="HJ88" s="232"/>
      <c r="HK88" s="232"/>
      <c r="HL88" s="232"/>
      <c r="HM88" s="232"/>
      <c r="HN88" s="232"/>
      <c r="HO88" s="232"/>
      <c r="HP88" s="232"/>
      <c r="HQ88" s="232"/>
      <c r="HR88" s="232"/>
      <c r="HS88" s="232"/>
      <c r="HT88" s="232"/>
      <c r="HU88" s="232"/>
      <c r="HV88" s="232"/>
      <c r="HW88" s="232"/>
      <c r="HX88" s="232"/>
      <c r="HY88" s="232"/>
      <c r="HZ88" s="232"/>
      <c r="IA88" s="232"/>
      <c r="IB88" s="232"/>
      <c r="IC88" s="232"/>
    </row>
    <row r="89" spans="1:237" ht="14.1" customHeight="1">
      <c r="A89" s="232"/>
      <c r="B89" s="248"/>
      <c r="C89" s="248"/>
      <c r="D89" s="248"/>
      <c r="E89" s="248"/>
      <c r="F89" s="248"/>
      <c r="G89" s="248"/>
      <c r="H89" s="228"/>
      <c r="I89" s="228"/>
      <c r="K89" s="265"/>
      <c r="L89" s="899"/>
      <c r="M89" s="899"/>
      <c r="N89" s="899"/>
      <c r="O89" s="899"/>
      <c r="Q89" s="909"/>
      <c r="R89" s="899"/>
      <c r="S89" s="899"/>
      <c r="T89" s="899"/>
      <c r="U89" s="899"/>
      <c r="V89" s="899"/>
      <c r="W89" s="899"/>
      <c r="X89" s="899"/>
      <c r="Y89" s="899"/>
      <c r="Z89" s="899"/>
      <c r="AA89" s="899"/>
      <c r="AB89" s="899"/>
      <c r="AC89" s="899"/>
      <c r="AD89" s="899"/>
      <c r="AE89" s="899"/>
      <c r="AF89" s="899"/>
      <c r="AG89" s="899"/>
      <c r="AH89" s="899"/>
      <c r="AI89" s="899"/>
      <c r="AJ89" s="899"/>
      <c r="AK89" s="899"/>
      <c r="AL89" s="899"/>
      <c r="AM89" s="232"/>
      <c r="AN89" s="232"/>
      <c r="AO89" s="232"/>
      <c r="AP89" s="232"/>
      <c r="AQ89" s="232"/>
      <c r="AR89" s="232"/>
      <c r="AS89" s="232"/>
      <c r="AT89" s="232"/>
      <c r="AU89" s="232"/>
      <c r="AV89" s="232"/>
      <c r="AW89" s="232"/>
      <c r="AX89" s="232"/>
      <c r="AY89" s="232"/>
      <c r="AZ89" s="232"/>
      <c r="BA89" s="232"/>
      <c r="BB89" s="232"/>
      <c r="BC89" s="232"/>
      <c r="BD89" s="232"/>
      <c r="BE89" s="232"/>
      <c r="BF89" s="232"/>
      <c r="BG89" s="232"/>
      <c r="BH89" s="232"/>
      <c r="BI89" s="232"/>
      <c r="BJ89" s="232"/>
      <c r="BK89" s="232"/>
      <c r="BL89" s="232"/>
      <c r="BM89" s="232"/>
      <c r="BN89" s="232"/>
      <c r="BO89" s="232"/>
      <c r="BP89" s="232"/>
      <c r="BQ89" s="232"/>
      <c r="BR89" s="232"/>
      <c r="BS89" s="232"/>
      <c r="BT89" s="232"/>
      <c r="BU89" s="232"/>
      <c r="BV89" s="232"/>
      <c r="BW89" s="232"/>
      <c r="BX89" s="232"/>
      <c r="BY89" s="232"/>
      <c r="BZ89" s="232"/>
      <c r="CA89" s="232"/>
      <c r="CB89" s="232"/>
      <c r="CC89" s="232"/>
      <c r="CD89" s="232"/>
      <c r="CE89" s="232"/>
      <c r="CF89" s="232"/>
      <c r="CG89" s="232"/>
      <c r="CH89" s="232"/>
      <c r="CI89" s="232"/>
      <c r="CJ89" s="232"/>
      <c r="CK89" s="232"/>
      <c r="CL89" s="232"/>
      <c r="CM89" s="232"/>
      <c r="CN89" s="232"/>
      <c r="CO89" s="232"/>
      <c r="CP89" s="232"/>
      <c r="CQ89" s="232"/>
      <c r="CR89" s="232"/>
      <c r="CS89" s="232"/>
      <c r="CT89" s="232"/>
      <c r="CU89" s="232"/>
      <c r="CV89" s="232"/>
      <c r="CW89" s="232"/>
      <c r="CX89" s="232"/>
      <c r="CY89" s="232"/>
      <c r="CZ89" s="232"/>
      <c r="DA89" s="232"/>
      <c r="DB89" s="232"/>
      <c r="DC89" s="232"/>
      <c r="DD89" s="232"/>
      <c r="DE89" s="232"/>
      <c r="DF89" s="232"/>
      <c r="DG89" s="232"/>
      <c r="DH89" s="232"/>
      <c r="DI89" s="232"/>
      <c r="DJ89" s="232"/>
      <c r="DK89" s="232"/>
      <c r="DL89" s="232"/>
      <c r="DM89" s="232"/>
      <c r="DN89" s="232"/>
      <c r="DO89" s="232"/>
      <c r="DP89" s="232"/>
      <c r="DQ89" s="232"/>
      <c r="DR89" s="232"/>
      <c r="DS89" s="232"/>
      <c r="DT89" s="232"/>
      <c r="DU89" s="232"/>
      <c r="DV89" s="232"/>
      <c r="DW89" s="232"/>
      <c r="DX89" s="232"/>
      <c r="DY89" s="232"/>
      <c r="DZ89" s="232"/>
      <c r="EA89" s="232"/>
      <c r="EB89" s="232"/>
      <c r="EC89" s="232"/>
      <c r="ED89" s="232"/>
      <c r="EE89" s="232"/>
      <c r="EF89" s="232"/>
      <c r="EG89" s="232"/>
      <c r="EH89" s="232"/>
      <c r="EI89" s="232"/>
      <c r="EJ89" s="232"/>
      <c r="EK89" s="232"/>
      <c r="EL89" s="232"/>
      <c r="EM89" s="232"/>
      <c r="EN89" s="232"/>
      <c r="EO89" s="232"/>
      <c r="EP89" s="232"/>
      <c r="EQ89" s="232"/>
      <c r="ER89" s="232"/>
      <c r="ES89" s="232"/>
      <c r="ET89" s="232"/>
      <c r="EU89" s="232"/>
      <c r="EV89" s="232"/>
      <c r="EW89" s="232"/>
      <c r="EX89" s="232"/>
      <c r="EY89" s="232"/>
      <c r="EZ89" s="232"/>
      <c r="FA89" s="232"/>
      <c r="FB89" s="232"/>
      <c r="FC89" s="232"/>
      <c r="FD89" s="232"/>
      <c r="FE89" s="232"/>
      <c r="FF89" s="232"/>
      <c r="FG89" s="232"/>
      <c r="FH89" s="232"/>
      <c r="FI89" s="232"/>
      <c r="FJ89" s="232"/>
      <c r="FK89" s="232"/>
      <c r="FL89" s="232"/>
      <c r="FM89" s="232"/>
      <c r="FN89" s="232"/>
      <c r="FO89" s="232"/>
      <c r="FP89" s="232"/>
      <c r="FQ89" s="232"/>
      <c r="FR89" s="232"/>
      <c r="FS89" s="232"/>
      <c r="FT89" s="232"/>
      <c r="FU89" s="232"/>
      <c r="FV89" s="232"/>
      <c r="FW89" s="232"/>
      <c r="FX89" s="232"/>
      <c r="FY89" s="232"/>
      <c r="FZ89" s="232"/>
      <c r="GA89" s="232"/>
      <c r="GB89" s="232"/>
      <c r="GC89" s="232"/>
      <c r="GD89" s="232"/>
      <c r="GE89" s="232"/>
      <c r="GF89" s="232"/>
      <c r="GG89" s="232"/>
      <c r="GH89" s="232"/>
      <c r="GI89" s="232"/>
      <c r="GJ89" s="232"/>
      <c r="GK89" s="232"/>
      <c r="GL89" s="232"/>
      <c r="GM89" s="232"/>
      <c r="GN89" s="232"/>
      <c r="GO89" s="232"/>
      <c r="GP89" s="232"/>
      <c r="GQ89" s="232"/>
      <c r="GR89" s="232"/>
      <c r="GS89" s="232"/>
      <c r="GT89" s="232"/>
      <c r="GU89" s="232"/>
      <c r="GV89" s="232"/>
      <c r="GW89" s="232"/>
      <c r="GX89" s="232"/>
      <c r="GY89" s="232"/>
      <c r="GZ89" s="232"/>
      <c r="HA89" s="232"/>
      <c r="HB89" s="232"/>
      <c r="HC89" s="232"/>
      <c r="HD89" s="232"/>
      <c r="HE89" s="232"/>
      <c r="HF89" s="232"/>
      <c r="HG89" s="232"/>
      <c r="HH89" s="232"/>
      <c r="HI89" s="232"/>
      <c r="HJ89" s="232"/>
      <c r="HK89" s="232"/>
      <c r="HL89" s="232"/>
      <c r="HM89" s="232"/>
      <c r="HN89" s="232"/>
      <c r="HO89" s="232"/>
      <c r="HP89" s="232"/>
      <c r="HQ89" s="232"/>
      <c r="HR89" s="232"/>
      <c r="HS89" s="232"/>
      <c r="HT89" s="232"/>
      <c r="HU89" s="232"/>
      <c r="HV89" s="232"/>
      <c r="HW89" s="232"/>
      <c r="HX89" s="232"/>
      <c r="HY89" s="232"/>
      <c r="HZ89" s="232"/>
      <c r="IA89" s="232"/>
      <c r="IB89" s="232"/>
      <c r="IC89" s="232"/>
    </row>
    <row r="90" spans="1:237" ht="14.1" customHeight="1">
      <c r="A90" s="232"/>
      <c r="B90" s="248"/>
      <c r="C90" s="248"/>
      <c r="D90" s="248"/>
      <c r="E90" s="248"/>
      <c r="F90" s="248"/>
      <c r="G90" s="248"/>
      <c r="H90" s="228"/>
      <c r="I90" s="228"/>
      <c r="K90" s="265"/>
      <c r="L90" s="899"/>
      <c r="M90" s="899"/>
      <c r="N90" s="899"/>
      <c r="O90" s="899"/>
      <c r="Q90" s="909"/>
      <c r="R90" s="899"/>
      <c r="S90" s="899"/>
      <c r="T90" s="899"/>
      <c r="U90" s="899"/>
      <c r="V90" s="899"/>
      <c r="W90" s="899"/>
      <c r="X90" s="899"/>
      <c r="Y90" s="899"/>
      <c r="Z90" s="899"/>
      <c r="AA90" s="899"/>
      <c r="AB90" s="899"/>
      <c r="AC90" s="899"/>
      <c r="AD90" s="899"/>
      <c r="AE90" s="899"/>
      <c r="AF90" s="899"/>
      <c r="AG90" s="899"/>
      <c r="AH90" s="899"/>
      <c r="AI90" s="899"/>
      <c r="AJ90" s="899"/>
      <c r="AK90" s="899"/>
      <c r="AL90" s="899"/>
      <c r="AM90" s="232"/>
      <c r="AN90" s="232"/>
      <c r="AO90" s="232"/>
      <c r="AP90" s="232"/>
      <c r="AQ90" s="232"/>
      <c r="AR90" s="232"/>
      <c r="AS90" s="232"/>
      <c r="AT90" s="232"/>
      <c r="AU90" s="232"/>
      <c r="AV90" s="232"/>
      <c r="AW90" s="232"/>
      <c r="AX90" s="232"/>
      <c r="AY90" s="232"/>
      <c r="AZ90" s="232"/>
      <c r="BA90" s="232"/>
      <c r="BB90" s="232"/>
      <c r="BC90" s="232"/>
      <c r="BD90" s="232"/>
      <c r="BE90" s="232"/>
      <c r="BF90" s="232"/>
      <c r="BG90" s="232"/>
      <c r="BH90" s="232"/>
      <c r="BI90" s="232"/>
      <c r="BJ90" s="232"/>
      <c r="BK90" s="232"/>
      <c r="BL90" s="232"/>
      <c r="BM90" s="232"/>
      <c r="BN90" s="232"/>
      <c r="BO90" s="232"/>
      <c r="BP90" s="232"/>
      <c r="BQ90" s="232"/>
      <c r="BR90" s="232"/>
      <c r="BS90" s="232"/>
      <c r="BT90" s="232"/>
      <c r="BU90" s="232"/>
      <c r="BV90" s="232"/>
      <c r="BW90" s="232"/>
      <c r="BX90" s="232"/>
      <c r="BY90" s="232"/>
      <c r="BZ90" s="232"/>
      <c r="CA90" s="232"/>
      <c r="CB90" s="232"/>
      <c r="CC90" s="232"/>
      <c r="CD90" s="232"/>
      <c r="CE90" s="232"/>
      <c r="CF90" s="232"/>
      <c r="CG90" s="232"/>
      <c r="CH90" s="232"/>
      <c r="CI90" s="232"/>
      <c r="CJ90" s="232"/>
      <c r="CK90" s="232"/>
      <c r="CL90" s="232"/>
      <c r="CM90" s="232"/>
      <c r="CN90" s="232"/>
      <c r="CO90" s="232"/>
      <c r="CP90" s="232"/>
      <c r="CQ90" s="232"/>
      <c r="CR90" s="232"/>
      <c r="CS90" s="232"/>
      <c r="CT90" s="232"/>
      <c r="CU90" s="232"/>
      <c r="CV90" s="232"/>
      <c r="CW90" s="232"/>
      <c r="CX90" s="232"/>
      <c r="CY90" s="232"/>
      <c r="CZ90" s="232"/>
      <c r="DA90" s="232"/>
      <c r="DB90" s="232"/>
      <c r="DC90" s="232"/>
      <c r="DD90" s="232"/>
      <c r="DE90" s="232"/>
      <c r="DF90" s="232"/>
      <c r="DG90" s="232"/>
      <c r="DH90" s="232"/>
      <c r="DI90" s="232"/>
      <c r="DJ90" s="232"/>
      <c r="DK90" s="232"/>
      <c r="DL90" s="232"/>
      <c r="DM90" s="232"/>
      <c r="DN90" s="232"/>
      <c r="DO90" s="232"/>
      <c r="DP90" s="232"/>
      <c r="DQ90" s="232"/>
      <c r="DR90" s="232"/>
      <c r="DS90" s="232"/>
      <c r="DT90" s="232"/>
      <c r="DU90" s="232"/>
      <c r="DV90" s="232"/>
      <c r="DW90" s="232"/>
      <c r="DX90" s="232"/>
      <c r="DY90" s="232"/>
      <c r="DZ90" s="232"/>
      <c r="EA90" s="232"/>
      <c r="EB90" s="232"/>
      <c r="EC90" s="232"/>
      <c r="ED90" s="232"/>
      <c r="EE90" s="232"/>
      <c r="EF90" s="232"/>
      <c r="EG90" s="232"/>
      <c r="EH90" s="232"/>
      <c r="EI90" s="232"/>
      <c r="EJ90" s="232"/>
      <c r="EK90" s="232"/>
      <c r="EL90" s="232"/>
      <c r="EM90" s="232"/>
      <c r="EN90" s="232"/>
      <c r="EO90" s="232"/>
      <c r="EP90" s="232"/>
      <c r="EQ90" s="232"/>
      <c r="ER90" s="232"/>
      <c r="ES90" s="232"/>
      <c r="ET90" s="232"/>
      <c r="EU90" s="232"/>
      <c r="EV90" s="232"/>
      <c r="EW90" s="232"/>
      <c r="EX90" s="232"/>
      <c r="EY90" s="232"/>
      <c r="EZ90" s="232"/>
      <c r="FA90" s="232"/>
      <c r="FB90" s="232"/>
      <c r="FC90" s="232"/>
      <c r="FD90" s="232"/>
      <c r="FE90" s="232"/>
      <c r="FF90" s="232"/>
      <c r="FG90" s="232"/>
      <c r="FH90" s="232"/>
      <c r="FI90" s="232"/>
      <c r="FJ90" s="232"/>
      <c r="FK90" s="232"/>
      <c r="FL90" s="232"/>
      <c r="FM90" s="232"/>
      <c r="FN90" s="232"/>
      <c r="FO90" s="232"/>
      <c r="FP90" s="232"/>
      <c r="FQ90" s="232"/>
      <c r="FR90" s="232"/>
      <c r="FS90" s="232"/>
      <c r="FT90" s="232"/>
      <c r="FU90" s="232"/>
      <c r="FV90" s="232"/>
      <c r="FW90" s="232"/>
      <c r="FX90" s="232"/>
      <c r="FY90" s="232"/>
      <c r="FZ90" s="232"/>
      <c r="GA90" s="232"/>
      <c r="GB90" s="232"/>
      <c r="GC90" s="232"/>
      <c r="GD90" s="232"/>
      <c r="GE90" s="232"/>
      <c r="GF90" s="232"/>
      <c r="GG90" s="232"/>
      <c r="GH90" s="232"/>
      <c r="GI90" s="232"/>
      <c r="GJ90" s="232"/>
      <c r="GK90" s="232"/>
      <c r="GL90" s="232"/>
      <c r="GM90" s="232"/>
      <c r="GN90" s="232"/>
      <c r="GO90" s="232"/>
      <c r="GP90" s="232"/>
      <c r="GQ90" s="232"/>
      <c r="GR90" s="232"/>
      <c r="GS90" s="232"/>
      <c r="GT90" s="232"/>
      <c r="GU90" s="232"/>
      <c r="GV90" s="232"/>
      <c r="GW90" s="232"/>
      <c r="GX90" s="232"/>
      <c r="GY90" s="232"/>
      <c r="GZ90" s="232"/>
      <c r="HA90" s="232"/>
      <c r="HB90" s="232"/>
      <c r="HC90" s="232"/>
      <c r="HD90" s="232"/>
      <c r="HE90" s="232"/>
      <c r="HF90" s="232"/>
      <c r="HG90" s="232"/>
      <c r="HH90" s="232"/>
      <c r="HI90" s="232"/>
      <c r="HJ90" s="232"/>
      <c r="HK90" s="232"/>
      <c r="HL90" s="232"/>
      <c r="HM90" s="232"/>
      <c r="HN90" s="232"/>
      <c r="HO90" s="232"/>
      <c r="HP90" s="232"/>
      <c r="HQ90" s="232"/>
      <c r="HR90" s="232"/>
      <c r="HS90" s="232"/>
      <c r="HT90" s="232"/>
      <c r="HU90" s="232"/>
      <c r="HV90" s="232"/>
      <c r="HW90" s="232"/>
      <c r="HX90" s="232"/>
      <c r="HY90" s="232"/>
      <c r="HZ90" s="232"/>
      <c r="IA90" s="232"/>
      <c r="IB90" s="232"/>
      <c r="IC90" s="232"/>
    </row>
    <row r="91" spans="1:237" ht="14.1" customHeight="1">
      <c r="A91" s="232"/>
      <c r="B91" s="248"/>
      <c r="C91" s="248"/>
      <c r="D91" s="248"/>
      <c r="E91" s="248"/>
      <c r="F91" s="248"/>
      <c r="G91" s="248"/>
      <c r="H91" s="228"/>
      <c r="I91" s="228"/>
      <c r="K91" s="265"/>
      <c r="L91" s="899"/>
      <c r="M91" s="899"/>
      <c r="N91" s="899"/>
      <c r="O91" s="899"/>
      <c r="Q91" s="909"/>
      <c r="R91" s="899"/>
      <c r="S91" s="899"/>
      <c r="T91" s="899"/>
      <c r="U91" s="899"/>
      <c r="V91" s="899"/>
      <c r="W91" s="899"/>
      <c r="X91" s="899"/>
      <c r="Y91" s="899"/>
      <c r="Z91" s="899"/>
      <c r="AA91" s="899"/>
      <c r="AB91" s="899"/>
      <c r="AC91" s="899"/>
      <c r="AD91" s="899"/>
      <c r="AE91" s="899"/>
      <c r="AF91" s="899"/>
      <c r="AG91" s="899"/>
      <c r="AH91" s="899"/>
      <c r="AI91" s="899"/>
      <c r="AJ91" s="899"/>
      <c r="AK91" s="899"/>
      <c r="AL91" s="899"/>
      <c r="AM91" s="232"/>
      <c r="AN91" s="232"/>
      <c r="AO91" s="232"/>
      <c r="AP91" s="232"/>
      <c r="AQ91" s="232"/>
      <c r="AR91" s="232"/>
      <c r="AS91" s="232"/>
      <c r="AT91" s="232"/>
      <c r="AU91" s="232"/>
      <c r="AV91" s="232"/>
      <c r="AW91" s="232"/>
      <c r="AX91" s="232"/>
      <c r="AY91" s="232"/>
      <c r="AZ91" s="232"/>
      <c r="BA91" s="232"/>
      <c r="BB91" s="232"/>
      <c r="BC91" s="232"/>
      <c r="BD91" s="232"/>
      <c r="BE91" s="232"/>
      <c r="BF91" s="232"/>
      <c r="BG91" s="232"/>
      <c r="BH91" s="232"/>
      <c r="BI91" s="232"/>
      <c r="BJ91" s="232"/>
      <c r="BK91" s="232"/>
      <c r="BL91" s="232"/>
      <c r="BM91" s="232"/>
      <c r="BN91" s="232"/>
      <c r="BO91" s="232"/>
      <c r="BP91" s="232"/>
      <c r="BQ91" s="232"/>
      <c r="BR91" s="232"/>
      <c r="BS91" s="232"/>
      <c r="BT91" s="232"/>
      <c r="BU91" s="232"/>
      <c r="BV91" s="232"/>
      <c r="BW91" s="232"/>
      <c r="BX91" s="232"/>
      <c r="BY91" s="232"/>
      <c r="BZ91" s="232"/>
      <c r="CA91" s="232"/>
      <c r="CB91" s="232"/>
      <c r="CC91" s="232"/>
      <c r="CD91" s="232"/>
      <c r="CE91" s="232"/>
      <c r="CF91" s="232"/>
      <c r="CG91" s="232"/>
      <c r="CH91" s="232"/>
      <c r="CI91" s="232"/>
      <c r="CJ91" s="232"/>
      <c r="CK91" s="232"/>
      <c r="CL91" s="232"/>
      <c r="CM91" s="232"/>
      <c r="CN91" s="232"/>
      <c r="CO91" s="232"/>
      <c r="CP91" s="232"/>
      <c r="CQ91" s="232"/>
      <c r="CR91" s="232"/>
      <c r="CS91" s="232"/>
      <c r="CT91" s="232"/>
      <c r="CU91" s="232"/>
      <c r="CV91" s="232"/>
      <c r="CW91" s="232"/>
      <c r="CX91" s="232"/>
      <c r="CY91" s="232"/>
      <c r="CZ91" s="232"/>
      <c r="DA91" s="232"/>
      <c r="DB91" s="232"/>
      <c r="DC91" s="232"/>
      <c r="DD91" s="232"/>
      <c r="DE91" s="232"/>
      <c r="DF91" s="232"/>
      <c r="DG91" s="232"/>
      <c r="DH91" s="232"/>
      <c r="DI91" s="232"/>
      <c r="DJ91" s="232"/>
      <c r="DK91" s="232"/>
      <c r="DL91" s="232"/>
      <c r="DM91" s="232"/>
      <c r="DN91" s="232"/>
      <c r="DO91" s="232"/>
      <c r="DP91" s="232"/>
      <c r="DQ91" s="232"/>
      <c r="DR91" s="232"/>
      <c r="DS91" s="232"/>
      <c r="DT91" s="232"/>
      <c r="DU91" s="232"/>
      <c r="DV91" s="232"/>
      <c r="DW91" s="232"/>
      <c r="DX91" s="232"/>
      <c r="DY91" s="232"/>
      <c r="DZ91" s="232"/>
      <c r="EA91" s="232"/>
      <c r="EB91" s="232"/>
      <c r="EC91" s="232"/>
      <c r="ED91" s="232"/>
      <c r="EE91" s="232"/>
      <c r="EF91" s="232"/>
      <c r="EG91" s="232"/>
      <c r="EH91" s="232"/>
      <c r="EI91" s="232"/>
      <c r="EJ91" s="232"/>
      <c r="EK91" s="232"/>
      <c r="EL91" s="232"/>
      <c r="EM91" s="232"/>
      <c r="EN91" s="232"/>
      <c r="EO91" s="232"/>
      <c r="EP91" s="232"/>
      <c r="EQ91" s="232"/>
      <c r="ER91" s="232"/>
      <c r="ES91" s="232"/>
      <c r="ET91" s="232"/>
      <c r="EU91" s="232"/>
      <c r="EV91" s="232"/>
      <c r="EW91" s="232"/>
      <c r="EX91" s="232"/>
      <c r="EY91" s="232"/>
      <c r="EZ91" s="232"/>
      <c r="FA91" s="232"/>
      <c r="FB91" s="232"/>
      <c r="FC91" s="232"/>
      <c r="FD91" s="232"/>
      <c r="FE91" s="232"/>
      <c r="FF91" s="232"/>
      <c r="FG91" s="232"/>
      <c r="FH91" s="232"/>
      <c r="FI91" s="232"/>
      <c r="FJ91" s="232"/>
      <c r="FK91" s="232"/>
      <c r="FL91" s="232"/>
      <c r="FM91" s="232"/>
      <c r="FN91" s="232"/>
      <c r="FO91" s="232"/>
      <c r="FP91" s="232"/>
      <c r="FQ91" s="232"/>
      <c r="FR91" s="232"/>
      <c r="FS91" s="232"/>
      <c r="FT91" s="232"/>
      <c r="FU91" s="232"/>
      <c r="FV91" s="232"/>
      <c r="FW91" s="232"/>
      <c r="FX91" s="232"/>
      <c r="FY91" s="232"/>
      <c r="FZ91" s="232"/>
      <c r="GA91" s="232"/>
      <c r="GB91" s="232"/>
      <c r="GC91" s="232"/>
      <c r="GD91" s="232"/>
      <c r="GE91" s="232"/>
      <c r="GF91" s="232"/>
      <c r="GG91" s="232"/>
      <c r="GH91" s="232"/>
      <c r="GI91" s="232"/>
      <c r="GJ91" s="232"/>
      <c r="GK91" s="232"/>
      <c r="GL91" s="232"/>
      <c r="GM91" s="232"/>
      <c r="GN91" s="232"/>
      <c r="GO91" s="232"/>
      <c r="GP91" s="232"/>
      <c r="GQ91" s="232"/>
      <c r="GR91" s="232"/>
      <c r="GS91" s="232"/>
      <c r="GT91" s="232"/>
      <c r="GU91" s="232"/>
      <c r="GV91" s="232"/>
      <c r="GW91" s="232"/>
      <c r="GX91" s="232"/>
      <c r="GY91" s="232"/>
      <c r="GZ91" s="232"/>
      <c r="HA91" s="232"/>
      <c r="HB91" s="232"/>
      <c r="HC91" s="232"/>
      <c r="HD91" s="232"/>
      <c r="HE91" s="232"/>
      <c r="HF91" s="232"/>
      <c r="HG91" s="232"/>
      <c r="HH91" s="232"/>
      <c r="HI91" s="232"/>
      <c r="HJ91" s="232"/>
      <c r="HK91" s="232"/>
      <c r="HL91" s="232"/>
      <c r="HM91" s="232"/>
      <c r="HN91" s="232"/>
      <c r="HO91" s="232"/>
      <c r="HP91" s="232"/>
      <c r="HQ91" s="232"/>
      <c r="HR91" s="232"/>
      <c r="HS91" s="232"/>
      <c r="HT91" s="232"/>
      <c r="HU91" s="232"/>
      <c r="HV91" s="232"/>
      <c r="HW91" s="232"/>
      <c r="HX91" s="232"/>
      <c r="HY91" s="232"/>
      <c r="HZ91" s="232"/>
      <c r="IA91" s="232"/>
      <c r="IB91" s="232"/>
      <c r="IC91" s="232"/>
    </row>
    <row r="92" spans="1:237" ht="14.1" customHeight="1">
      <c r="A92" s="232"/>
      <c r="B92" s="248"/>
      <c r="C92" s="248"/>
      <c r="D92" s="248"/>
      <c r="E92" s="248"/>
      <c r="F92" s="248"/>
      <c r="G92" s="248"/>
      <c r="H92" s="228"/>
      <c r="I92" s="228"/>
      <c r="K92" s="265"/>
      <c r="L92" s="899"/>
      <c r="M92" s="899"/>
      <c r="N92" s="899"/>
      <c r="O92" s="899"/>
      <c r="Q92" s="909"/>
      <c r="R92" s="899"/>
      <c r="S92" s="899"/>
      <c r="T92" s="899"/>
      <c r="U92" s="899"/>
      <c r="V92" s="899"/>
      <c r="W92" s="899"/>
      <c r="X92" s="899"/>
      <c r="Y92" s="899"/>
      <c r="Z92" s="899"/>
      <c r="AA92" s="899"/>
      <c r="AB92" s="899"/>
      <c r="AC92" s="899"/>
      <c r="AD92" s="899"/>
      <c r="AE92" s="899"/>
      <c r="AF92" s="899"/>
      <c r="AG92" s="899"/>
      <c r="AH92" s="899"/>
      <c r="AI92" s="899"/>
      <c r="AJ92" s="899"/>
      <c r="AK92" s="899"/>
      <c r="AL92" s="899"/>
      <c r="AM92" s="232"/>
      <c r="AN92" s="232"/>
      <c r="AO92" s="232"/>
      <c r="AP92" s="232"/>
      <c r="AQ92" s="232"/>
      <c r="AR92" s="232"/>
      <c r="AS92" s="232"/>
      <c r="AT92" s="232"/>
      <c r="AU92" s="232"/>
      <c r="AV92" s="232"/>
      <c r="AW92" s="232"/>
      <c r="AX92" s="232"/>
      <c r="AY92" s="232"/>
      <c r="AZ92" s="232"/>
      <c r="BA92" s="232"/>
      <c r="BB92" s="232"/>
      <c r="BC92" s="232"/>
      <c r="BD92" s="232"/>
      <c r="BE92" s="232"/>
      <c r="BF92" s="232"/>
      <c r="BG92" s="232"/>
      <c r="BH92" s="232"/>
      <c r="BI92" s="232"/>
      <c r="BJ92" s="232"/>
      <c r="BK92" s="232"/>
      <c r="BL92" s="232"/>
      <c r="BM92" s="232"/>
      <c r="BN92" s="232"/>
      <c r="BO92" s="232"/>
      <c r="BP92" s="232"/>
      <c r="BQ92" s="232"/>
      <c r="BR92" s="232"/>
      <c r="BS92" s="232"/>
      <c r="BT92" s="232"/>
      <c r="BU92" s="232"/>
      <c r="BV92" s="232"/>
      <c r="BW92" s="232"/>
      <c r="BX92" s="232"/>
      <c r="BY92" s="232"/>
      <c r="BZ92" s="232"/>
      <c r="CA92" s="232"/>
      <c r="CB92" s="232"/>
      <c r="CC92" s="232"/>
      <c r="CD92" s="232"/>
      <c r="CE92" s="232"/>
      <c r="CF92" s="232"/>
      <c r="CG92" s="232"/>
      <c r="CH92" s="232"/>
      <c r="CI92" s="232"/>
      <c r="CJ92" s="232"/>
      <c r="CK92" s="232"/>
      <c r="CL92" s="232"/>
      <c r="CM92" s="232"/>
      <c r="CN92" s="232"/>
      <c r="CO92" s="232"/>
      <c r="CP92" s="232"/>
      <c r="CQ92" s="232"/>
      <c r="CR92" s="232"/>
      <c r="CS92" s="232"/>
      <c r="CT92" s="232"/>
      <c r="CU92" s="232"/>
      <c r="CV92" s="232"/>
      <c r="CW92" s="232"/>
      <c r="CX92" s="232"/>
      <c r="CY92" s="232"/>
      <c r="CZ92" s="232"/>
      <c r="DA92" s="232"/>
      <c r="DB92" s="232"/>
      <c r="DC92" s="232"/>
      <c r="DD92" s="232"/>
      <c r="DE92" s="232"/>
      <c r="DF92" s="232"/>
      <c r="DG92" s="232"/>
      <c r="DH92" s="232"/>
      <c r="DI92" s="232"/>
      <c r="DJ92" s="232"/>
      <c r="DK92" s="232"/>
      <c r="DL92" s="232"/>
      <c r="DM92" s="232"/>
      <c r="DN92" s="232"/>
      <c r="DO92" s="232"/>
      <c r="DP92" s="232"/>
      <c r="DQ92" s="232"/>
      <c r="DR92" s="232"/>
      <c r="DS92" s="232"/>
      <c r="DT92" s="232"/>
      <c r="DU92" s="232"/>
      <c r="DV92" s="232"/>
      <c r="DW92" s="232"/>
      <c r="DX92" s="232"/>
      <c r="DY92" s="232"/>
      <c r="DZ92" s="232"/>
      <c r="EA92" s="232"/>
      <c r="EB92" s="232"/>
      <c r="EC92" s="232"/>
      <c r="ED92" s="232"/>
      <c r="EE92" s="232"/>
      <c r="EF92" s="232"/>
      <c r="EG92" s="232"/>
      <c r="EH92" s="232"/>
      <c r="EI92" s="232"/>
      <c r="EJ92" s="232"/>
      <c r="EK92" s="232"/>
      <c r="EL92" s="232"/>
      <c r="EM92" s="232"/>
      <c r="EN92" s="232"/>
      <c r="EO92" s="232"/>
      <c r="EP92" s="232"/>
      <c r="EQ92" s="232"/>
      <c r="ER92" s="232"/>
      <c r="ES92" s="232"/>
      <c r="ET92" s="232"/>
      <c r="EU92" s="232"/>
      <c r="EV92" s="232"/>
      <c r="EW92" s="232"/>
      <c r="EX92" s="232"/>
      <c r="EY92" s="232"/>
      <c r="EZ92" s="232"/>
      <c r="FA92" s="232"/>
      <c r="FB92" s="232"/>
      <c r="FC92" s="232"/>
      <c r="FD92" s="232"/>
      <c r="FE92" s="232"/>
      <c r="FF92" s="232"/>
      <c r="FG92" s="232"/>
      <c r="FH92" s="232"/>
      <c r="FI92" s="232"/>
      <c r="FJ92" s="232"/>
      <c r="FK92" s="232"/>
      <c r="FL92" s="232"/>
      <c r="FM92" s="232"/>
      <c r="FN92" s="232"/>
      <c r="FO92" s="232"/>
      <c r="FP92" s="232"/>
      <c r="FQ92" s="232"/>
      <c r="FR92" s="232"/>
      <c r="FS92" s="232"/>
      <c r="FT92" s="232"/>
      <c r="FU92" s="232"/>
      <c r="FV92" s="232"/>
      <c r="FW92" s="232"/>
      <c r="FX92" s="232"/>
      <c r="FY92" s="232"/>
      <c r="FZ92" s="232"/>
      <c r="GA92" s="232"/>
      <c r="GB92" s="232"/>
      <c r="GC92" s="232"/>
      <c r="GD92" s="232"/>
      <c r="GE92" s="232"/>
      <c r="GF92" s="232"/>
      <c r="GG92" s="232"/>
      <c r="GH92" s="232"/>
      <c r="GI92" s="232"/>
      <c r="GJ92" s="232"/>
      <c r="GK92" s="232"/>
      <c r="GL92" s="232"/>
      <c r="GM92" s="232"/>
      <c r="GN92" s="232"/>
      <c r="GO92" s="232"/>
      <c r="GP92" s="232"/>
      <c r="GQ92" s="232"/>
      <c r="GR92" s="232"/>
      <c r="GS92" s="232"/>
      <c r="GT92" s="232"/>
      <c r="GU92" s="232"/>
      <c r="GV92" s="232"/>
      <c r="GW92" s="232"/>
      <c r="GX92" s="232"/>
      <c r="GY92" s="232"/>
      <c r="GZ92" s="232"/>
      <c r="HA92" s="232"/>
      <c r="HB92" s="232"/>
      <c r="HC92" s="232"/>
      <c r="HD92" s="232"/>
      <c r="HE92" s="232"/>
      <c r="HF92" s="232"/>
      <c r="HG92" s="232"/>
      <c r="HH92" s="232"/>
      <c r="HI92" s="232"/>
      <c r="HJ92" s="232"/>
      <c r="HK92" s="232"/>
      <c r="HL92" s="232"/>
      <c r="HM92" s="232"/>
      <c r="HN92" s="232"/>
      <c r="HO92" s="232"/>
      <c r="HP92" s="232"/>
      <c r="HQ92" s="232"/>
      <c r="HR92" s="232"/>
      <c r="HS92" s="232"/>
      <c r="HT92" s="232"/>
      <c r="HU92" s="232"/>
      <c r="HV92" s="232"/>
      <c r="HW92" s="232"/>
      <c r="HX92" s="232"/>
      <c r="HY92" s="232"/>
      <c r="HZ92" s="232"/>
      <c r="IA92" s="232"/>
      <c r="IB92" s="232"/>
      <c r="IC92" s="232"/>
    </row>
    <row r="93" spans="1:237" ht="14.1" customHeight="1">
      <c r="A93" s="232"/>
      <c r="B93" s="248"/>
      <c r="C93" s="248"/>
      <c r="D93" s="248"/>
      <c r="E93" s="248"/>
      <c r="F93" s="248"/>
      <c r="G93" s="248"/>
      <c r="H93" s="228"/>
      <c r="I93" s="228"/>
      <c r="K93" s="265"/>
      <c r="L93" s="899"/>
      <c r="M93" s="899"/>
      <c r="N93" s="899"/>
      <c r="O93" s="899"/>
      <c r="Q93" s="909"/>
      <c r="R93" s="899"/>
      <c r="S93" s="899"/>
      <c r="T93" s="899"/>
      <c r="U93" s="899"/>
      <c r="V93" s="899"/>
      <c r="W93" s="899"/>
      <c r="X93" s="899"/>
      <c r="Y93" s="899"/>
      <c r="Z93" s="899"/>
      <c r="AA93" s="899"/>
      <c r="AB93" s="899"/>
      <c r="AC93" s="899"/>
      <c r="AD93" s="899"/>
      <c r="AE93" s="899"/>
      <c r="AF93" s="899"/>
      <c r="AG93" s="899"/>
      <c r="AH93" s="899"/>
      <c r="AI93" s="899"/>
      <c r="AJ93" s="899"/>
      <c r="AK93" s="899"/>
      <c r="AL93" s="899"/>
      <c r="AM93" s="232"/>
      <c r="AN93" s="232"/>
      <c r="AO93" s="232"/>
      <c r="AP93" s="232"/>
      <c r="AQ93" s="232"/>
      <c r="AR93" s="232"/>
      <c r="AS93" s="232"/>
      <c r="AT93" s="232"/>
      <c r="AU93" s="232"/>
      <c r="AV93" s="232"/>
      <c r="AW93" s="232"/>
      <c r="AX93" s="232"/>
      <c r="AY93" s="232"/>
      <c r="AZ93" s="232"/>
      <c r="BA93" s="232"/>
      <c r="BB93" s="232"/>
      <c r="BC93" s="232"/>
      <c r="BD93" s="232"/>
      <c r="BE93" s="232"/>
      <c r="BF93" s="232"/>
      <c r="BG93" s="232"/>
      <c r="BH93" s="232"/>
      <c r="BI93" s="232"/>
      <c r="BJ93" s="232"/>
      <c r="BK93" s="232"/>
      <c r="BL93" s="232"/>
      <c r="BM93" s="232"/>
      <c r="BN93" s="232"/>
      <c r="BO93" s="232"/>
      <c r="BP93" s="232"/>
      <c r="BQ93" s="232"/>
      <c r="BR93" s="232"/>
      <c r="BS93" s="232"/>
      <c r="BT93" s="232"/>
      <c r="BU93" s="232"/>
      <c r="BV93" s="232"/>
      <c r="BW93" s="232"/>
      <c r="BX93" s="232"/>
      <c r="BY93" s="232"/>
      <c r="BZ93" s="232"/>
      <c r="CA93" s="232"/>
      <c r="CB93" s="232"/>
      <c r="CC93" s="232"/>
      <c r="CD93" s="232"/>
      <c r="CE93" s="232"/>
      <c r="CF93" s="232"/>
      <c r="CG93" s="232"/>
      <c r="CH93" s="232"/>
      <c r="CI93" s="232"/>
      <c r="CJ93" s="232"/>
      <c r="CK93" s="232"/>
      <c r="CL93" s="232"/>
      <c r="CM93" s="232"/>
      <c r="CN93" s="232"/>
      <c r="CO93" s="232"/>
      <c r="CP93" s="232"/>
      <c r="CQ93" s="232"/>
      <c r="CR93" s="232"/>
      <c r="CS93" s="232"/>
      <c r="CT93" s="232"/>
      <c r="CU93" s="232"/>
      <c r="CV93" s="232"/>
      <c r="CW93" s="232"/>
      <c r="CX93" s="232"/>
      <c r="CY93" s="232"/>
      <c r="CZ93" s="232"/>
      <c r="DA93" s="232"/>
      <c r="DB93" s="232"/>
      <c r="DC93" s="232"/>
      <c r="DD93" s="232"/>
      <c r="DE93" s="232"/>
      <c r="DF93" s="232"/>
      <c r="DG93" s="232"/>
      <c r="DH93" s="232"/>
      <c r="DI93" s="232"/>
      <c r="DJ93" s="232"/>
      <c r="DK93" s="232"/>
      <c r="DL93" s="232"/>
      <c r="DM93" s="232"/>
      <c r="DN93" s="232"/>
      <c r="DO93" s="232"/>
      <c r="DP93" s="232"/>
      <c r="DQ93" s="232"/>
      <c r="DR93" s="232"/>
      <c r="DS93" s="232"/>
      <c r="DT93" s="232"/>
      <c r="DU93" s="232"/>
      <c r="DV93" s="232"/>
      <c r="DW93" s="232"/>
      <c r="DX93" s="232"/>
      <c r="DY93" s="232"/>
      <c r="DZ93" s="232"/>
      <c r="EA93" s="232"/>
      <c r="EB93" s="232"/>
      <c r="EC93" s="232"/>
      <c r="ED93" s="232"/>
      <c r="EE93" s="232"/>
      <c r="EF93" s="232"/>
      <c r="EG93" s="232"/>
      <c r="EH93" s="232"/>
      <c r="EI93" s="232"/>
      <c r="EJ93" s="232"/>
      <c r="EK93" s="232"/>
      <c r="EL93" s="232"/>
      <c r="EM93" s="232"/>
      <c r="EN93" s="232"/>
      <c r="EO93" s="232"/>
      <c r="EP93" s="232"/>
      <c r="EQ93" s="232"/>
      <c r="ER93" s="232"/>
      <c r="ES93" s="232"/>
      <c r="ET93" s="232"/>
      <c r="EU93" s="232"/>
      <c r="EV93" s="232"/>
      <c r="EW93" s="232"/>
      <c r="EX93" s="232"/>
      <c r="EY93" s="232"/>
      <c r="EZ93" s="232"/>
      <c r="FA93" s="232"/>
      <c r="FB93" s="232"/>
      <c r="FC93" s="232"/>
      <c r="FD93" s="232"/>
      <c r="FE93" s="232"/>
      <c r="FF93" s="232"/>
      <c r="FG93" s="232"/>
      <c r="FH93" s="232"/>
      <c r="FI93" s="232"/>
      <c r="FJ93" s="232"/>
      <c r="FK93" s="232"/>
      <c r="FL93" s="232"/>
      <c r="FM93" s="232"/>
      <c r="FN93" s="232"/>
      <c r="FO93" s="232"/>
      <c r="FP93" s="232"/>
      <c r="FQ93" s="232"/>
      <c r="FR93" s="232"/>
      <c r="FS93" s="232"/>
      <c r="FT93" s="232"/>
      <c r="FU93" s="232"/>
      <c r="FV93" s="232"/>
      <c r="FW93" s="232"/>
      <c r="FX93" s="232"/>
      <c r="FY93" s="232"/>
      <c r="FZ93" s="232"/>
      <c r="GA93" s="232"/>
      <c r="GB93" s="232"/>
      <c r="GC93" s="232"/>
      <c r="GD93" s="232"/>
      <c r="GE93" s="232"/>
      <c r="GF93" s="232"/>
      <c r="GG93" s="232"/>
      <c r="GH93" s="232"/>
      <c r="GI93" s="232"/>
      <c r="GJ93" s="232"/>
      <c r="GK93" s="232"/>
      <c r="GL93" s="232"/>
      <c r="GM93" s="232"/>
      <c r="GN93" s="232"/>
      <c r="GO93" s="232"/>
      <c r="GP93" s="232"/>
      <c r="GQ93" s="232"/>
      <c r="GR93" s="232"/>
      <c r="GS93" s="232"/>
      <c r="GT93" s="232"/>
      <c r="GU93" s="232"/>
      <c r="GV93" s="232"/>
      <c r="GW93" s="232"/>
      <c r="GX93" s="232"/>
      <c r="GY93" s="232"/>
      <c r="GZ93" s="232"/>
      <c r="HA93" s="232"/>
      <c r="HB93" s="232"/>
      <c r="HC93" s="232"/>
      <c r="HD93" s="232"/>
      <c r="HE93" s="232"/>
      <c r="HF93" s="232"/>
      <c r="HG93" s="232"/>
      <c r="HH93" s="232"/>
      <c r="HI93" s="232"/>
      <c r="HJ93" s="232"/>
      <c r="HK93" s="232"/>
      <c r="HL93" s="232"/>
      <c r="HM93" s="232"/>
      <c r="HN93" s="232"/>
      <c r="HO93" s="232"/>
      <c r="HP93" s="232"/>
      <c r="HQ93" s="232"/>
      <c r="HR93" s="232"/>
      <c r="HS93" s="232"/>
      <c r="HT93" s="232"/>
      <c r="HU93" s="232"/>
      <c r="HV93" s="232"/>
      <c r="HW93" s="232"/>
      <c r="HX93" s="232"/>
      <c r="HY93" s="232"/>
      <c r="HZ93" s="232"/>
      <c r="IA93" s="232"/>
      <c r="IB93" s="232"/>
      <c r="IC93" s="232"/>
    </row>
    <row r="94" spans="1:237" ht="14.1" customHeight="1">
      <c r="A94" s="232"/>
      <c r="B94" s="248"/>
      <c r="C94" s="248"/>
      <c r="D94" s="248"/>
      <c r="E94" s="248"/>
      <c r="F94" s="248"/>
      <c r="G94" s="248"/>
      <c r="H94" s="228"/>
      <c r="I94" s="228"/>
      <c r="K94" s="265"/>
      <c r="L94" s="899"/>
      <c r="M94" s="899"/>
      <c r="N94" s="899"/>
      <c r="O94" s="899"/>
      <c r="Q94" s="909"/>
      <c r="R94" s="899"/>
      <c r="S94" s="899"/>
      <c r="T94" s="899"/>
      <c r="U94" s="899"/>
      <c r="V94" s="899"/>
      <c r="W94" s="899"/>
      <c r="X94" s="899"/>
      <c r="Y94" s="899"/>
      <c r="Z94" s="899"/>
      <c r="AA94" s="899"/>
      <c r="AB94" s="899"/>
      <c r="AC94" s="899"/>
      <c r="AD94" s="899"/>
      <c r="AE94" s="899"/>
      <c r="AF94" s="899"/>
      <c r="AG94" s="899"/>
      <c r="AH94" s="899"/>
      <c r="AI94" s="899"/>
      <c r="AJ94" s="899"/>
      <c r="AK94" s="899"/>
      <c r="AL94" s="899"/>
      <c r="AM94" s="232"/>
      <c r="AN94" s="232"/>
      <c r="AO94" s="232"/>
      <c r="AP94" s="232"/>
      <c r="AQ94" s="232"/>
      <c r="AR94" s="232"/>
      <c r="AS94" s="232"/>
      <c r="AT94" s="232"/>
      <c r="AU94" s="232"/>
      <c r="AV94" s="232"/>
      <c r="AW94" s="232"/>
      <c r="AX94" s="232"/>
      <c r="AY94" s="232"/>
      <c r="AZ94" s="232"/>
      <c r="BA94" s="232"/>
      <c r="BB94" s="232"/>
      <c r="BC94" s="232"/>
      <c r="BD94" s="232"/>
      <c r="BE94" s="232"/>
      <c r="BF94" s="232"/>
      <c r="BG94" s="232"/>
      <c r="BH94" s="232"/>
      <c r="BI94" s="232"/>
      <c r="BJ94" s="232"/>
      <c r="BK94" s="232"/>
      <c r="BL94" s="232"/>
      <c r="BM94" s="232"/>
      <c r="BN94" s="232"/>
      <c r="BO94" s="232"/>
      <c r="BP94" s="232"/>
      <c r="BQ94" s="232"/>
      <c r="BR94" s="232"/>
      <c r="BS94" s="232"/>
      <c r="BT94" s="232"/>
      <c r="BU94" s="232"/>
      <c r="BV94" s="232"/>
      <c r="BW94" s="232"/>
      <c r="BX94" s="232"/>
      <c r="BY94" s="232"/>
      <c r="BZ94" s="232"/>
      <c r="CA94" s="232"/>
      <c r="CB94" s="232"/>
      <c r="CC94" s="232"/>
      <c r="CD94" s="232"/>
      <c r="CE94" s="232"/>
      <c r="CF94" s="232"/>
      <c r="CG94" s="232"/>
      <c r="CH94" s="232"/>
      <c r="CI94" s="232"/>
      <c r="CJ94" s="232"/>
      <c r="CK94" s="232"/>
      <c r="CL94" s="232"/>
      <c r="CM94" s="232"/>
      <c r="CN94" s="232"/>
      <c r="CO94" s="232"/>
      <c r="CP94" s="232"/>
      <c r="CQ94" s="232"/>
      <c r="CR94" s="232"/>
      <c r="CS94" s="232"/>
      <c r="CT94" s="232"/>
      <c r="CU94" s="232"/>
      <c r="CV94" s="232"/>
      <c r="CW94" s="232"/>
      <c r="CX94" s="232"/>
      <c r="CY94" s="232"/>
      <c r="CZ94" s="232"/>
      <c r="DA94" s="232"/>
      <c r="DB94" s="232"/>
      <c r="DC94" s="232"/>
      <c r="DD94" s="232"/>
      <c r="DE94" s="232"/>
      <c r="DF94" s="232"/>
      <c r="DG94" s="232"/>
      <c r="DH94" s="232"/>
      <c r="DI94" s="232"/>
      <c r="DJ94" s="232"/>
      <c r="DK94" s="232"/>
      <c r="DL94" s="232"/>
      <c r="DM94" s="232"/>
      <c r="DN94" s="232"/>
      <c r="DO94" s="232"/>
      <c r="DP94" s="232"/>
      <c r="DQ94" s="232"/>
      <c r="DR94" s="232"/>
      <c r="DS94" s="232"/>
      <c r="DT94" s="232"/>
      <c r="DU94" s="232"/>
      <c r="DV94" s="232"/>
      <c r="DW94" s="232"/>
      <c r="DX94" s="232"/>
      <c r="DY94" s="232"/>
      <c r="DZ94" s="232"/>
      <c r="EA94" s="232"/>
      <c r="EB94" s="232"/>
      <c r="EC94" s="232"/>
      <c r="ED94" s="232"/>
      <c r="EE94" s="232"/>
      <c r="EF94" s="232"/>
      <c r="EG94" s="232"/>
      <c r="EH94" s="232"/>
      <c r="EI94" s="232"/>
      <c r="EJ94" s="232"/>
      <c r="EK94" s="232"/>
      <c r="EL94" s="232"/>
      <c r="EM94" s="232"/>
      <c r="EN94" s="232"/>
      <c r="EO94" s="232"/>
      <c r="EP94" s="232"/>
      <c r="EQ94" s="232"/>
      <c r="ER94" s="232"/>
      <c r="ES94" s="232"/>
      <c r="ET94" s="232"/>
      <c r="EU94" s="232"/>
      <c r="EV94" s="232"/>
      <c r="EW94" s="232"/>
      <c r="EX94" s="232"/>
      <c r="EY94" s="232"/>
      <c r="EZ94" s="232"/>
      <c r="FA94" s="232"/>
      <c r="FB94" s="232"/>
      <c r="FC94" s="232"/>
      <c r="FD94" s="232"/>
      <c r="FE94" s="232"/>
      <c r="FF94" s="232"/>
      <c r="FG94" s="232"/>
      <c r="FH94" s="232"/>
      <c r="FI94" s="232"/>
      <c r="FJ94" s="232"/>
      <c r="FK94" s="232"/>
      <c r="FL94" s="232"/>
      <c r="FM94" s="232"/>
      <c r="FN94" s="232"/>
      <c r="FO94" s="232"/>
      <c r="FP94" s="232"/>
      <c r="FQ94" s="232"/>
      <c r="FR94" s="232"/>
      <c r="FS94" s="232"/>
      <c r="FT94" s="232"/>
      <c r="FU94" s="232"/>
      <c r="FV94" s="232"/>
      <c r="FW94" s="232"/>
      <c r="FX94" s="232"/>
      <c r="FY94" s="232"/>
      <c r="FZ94" s="232"/>
      <c r="GA94" s="232"/>
      <c r="GB94" s="232"/>
      <c r="GC94" s="232"/>
      <c r="GD94" s="232"/>
      <c r="GE94" s="232"/>
      <c r="GF94" s="232"/>
      <c r="GG94" s="232"/>
      <c r="GH94" s="232"/>
      <c r="GI94" s="232"/>
      <c r="GJ94" s="232"/>
      <c r="GK94" s="232"/>
      <c r="GL94" s="232"/>
      <c r="GM94" s="232"/>
      <c r="GN94" s="232"/>
      <c r="GO94" s="232"/>
      <c r="GP94" s="232"/>
      <c r="GQ94" s="232"/>
      <c r="GR94" s="232"/>
      <c r="GS94" s="232"/>
      <c r="GT94" s="232"/>
      <c r="GU94" s="232"/>
      <c r="GV94" s="232"/>
      <c r="GW94" s="232"/>
      <c r="GX94" s="232"/>
      <c r="GY94" s="232"/>
      <c r="GZ94" s="232"/>
      <c r="HA94" s="232"/>
      <c r="HB94" s="232"/>
      <c r="HC94" s="232"/>
      <c r="HD94" s="232"/>
      <c r="HE94" s="232"/>
      <c r="HF94" s="232"/>
      <c r="HG94" s="232"/>
      <c r="HH94" s="232"/>
      <c r="HI94" s="232"/>
      <c r="HJ94" s="232"/>
      <c r="HK94" s="232"/>
      <c r="HL94" s="232"/>
      <c r="HM94" s="232"/>
      <c r="HN94" s="232"/>
      <c r="HO94" s="232"/>
      <c r="HP94" s="232"/>
      <c r="HQ94" s="232"/>
      <c r="HR94" s="232"/>
      <c r="HS94" s="232"/>
      <c r="HT94" s="232"/>
      <c r="HU94" s="232"/>
      <c r="HV94" s="232"/>
      <c r="HW94" s="232"/>
      <c r="HX94" s="232"/>
      <c r="HY94" s="232"/>
      <c r="HZ94" s="232"/>
      <c r="IA94" s="232"/>
      <c r="IB94" s="232"/>
      <c r="IC94" s="232"/>
    </row>
    <row r="95" spans="1:237" ht="14.1" customHeight="1">
      <c r="A95" s="232"/>
      <c r="B95" s="248"/>
      <c r="C95" s="248"/>
      <c r="D95" s="248"/>
      <c r="E95" s="248"/>
      <c r="F95" s="248"/>
      <c r="G95" s="248"/>
      <c r="H95" s="228"/>
      <c r="I95" s="228"/>
      <c r="K95" s="265"/>
      <c r="L95" s="899"/>
      <c r="M95" s="899"/>
      <c r="N95" s="899"/>
      <c r="O95" s="899"/>
      <c r="Q95" s="909"/>
      <c r="R95" s="899"/>
      <c r="S95" s="899"/>
      <c r="T95" s="899"/>
      <c r="U95" s="899"/>
      <c r="V95" s="899"/>
      <c r="W95" s="899"/>
      <c r="X95" s="899"/>
      <c r="Y95" s="899"/>
      <c r="Z95" s="899"/>
      <c r="AA95" s="899"/>
      <c r="AB95" s="899"/>
      <c r="AC95" s="899"/>
      <c r="AD95" s="899"/>
      <c r="AE95" s="899"/>
      <c r="AF95" s="899"/>
      <c r="AG95" s="899"/>
      <c r="AH95" s="899"/>
      <c r="AI95" s="899"/>
      <c r="AJ95" s="899"/>
      <c r="AK95" s="899"/>
      <c r="AL95" s="899"/>
      <c r="AM95" s="232"/>
      <c r="AN95" s="232"/>
      <c r="AO95" s="232"/>
      <c r="AP95" s="232"/>
      <c r="AQ95" s="232"/>
      <c r="AR95" s="232"/>
      <c r="AS95" s="232"/>
      <c r="AT95" s="232"/>
      <c r="AU95" s="232"/>
      <c r="AV95" s="232"/>
      <c r="AW95" s="232"/>
      <c r="AX95" s="232"/>
      <c r="AY95" s="232"/>
      <c r="AZ95" s="232"/>
      <c r="BA95" s="232"/>
      <c r="BB95" s="232"/>
      <c r="BC95" s="232"/>
      <c r="BD95" s="232"/>
      <c r="BE95" s="232"/>
      <c r="BF95" s="232"/>
      <c r="BG95" s="232"/>
      <c r="BH95" s="232"/>
      <c r="BI95" s="232"/>
      <c r="BJ95" s="232"/>
      <c r="BK95" s="232"/>
      <c r="BL95" s="232"/>
      <c r="BM95" s="232"/>
      <c r="BN95" s="232"/>
      <c r="BO95" s="232"/>
      <c r="BP95" s="232"/>
      <c r="BQ95" s="232"/>
      <c r="BR95" s="232"/>
      <c r="BS95" s="232"/>
      <c r="BT95" s="232"/>
      <c r="BU95" s="232"/>
      <c r="BV95" s="232"/>
      <c r="BW95" s="232"/>
      <c r="BX95" s="232"/>
      <c r="BY95" s="232"/>
      <c r="BZ95" s="232"/>
      <c r="CA95" s="232"/>
      <c r="CB95" s="232"/>
      <c r="CC95" s="232"/>
      <c r="CD95" s="232"/>
      <c r="CE95" s="232"/>
      <c r="CF95" s="232"/>
      <c r="CG95" s="232"/>
      <c r="CH95" s="232"/>
      <c r="CI95" s="232"/>
      <c r="CJ95" s="232"/>
      <c r="CK95" s="232"/>
      <c r="CL95" s="232"/>
      <c r="CM95" s="232"/>
      <c r="CN95" s="232"/>
      <c r="CO95" s="232"/>
      <c r="CP95" s="232"/>
      <c r="CQ95" s="232"/>
      <c r="CR95" s="232"/>
      <c r="CS95" s="232"/>
      <c r="CT95" s="232"/>
      <c r="CU95" s="232"/>
      <c r="CV95" s="232"/>
      <c r="CW95" s="232"/>
      <c r="CX95" s="232"/>
      <c r="CY95" s="232"/>
      <c r="CZ95" s="232"/>
      <c r="DA95" s="232"/>
      <c r="DB95" s="232"/>
      <c r="DC95" s="232"/>
      <c r="DD95" s="232"/>
      <c r="DE95" s="232"/>
      <c r="DF95" s="232"/>
      <c r="DG95" s="232"/>
      <c r="DH95" s="232"/>
      <c r="DI95" s="232"/>
      <c r="DJ95" s="232"/>
      <c r="DK95" s="232"/>
      <c r="DL95" s="232"/>
      <c r="DM95" s="232"/>
      <c r="DN95" s="232"/>
      <c r="DO95" s="232"/>
      <c r="DP95" s="232"/>
      <c r="DQ95" s="232"/>
      <c r="DR95" s="232"/>
      <c r="DS95" s="232"/>
      <c r="DT95" s="232"/>
      <c r="DU95" s="232"/>
      <c r="DV95" s="232"/>
      <c r="DW95" s="232"/>
      <c r="DX95" s="232"/>
      <c r="DY95" s="232"/>
      <c r="DZ95" s="232"/>
      <c r="EA95" s="232"/>
      <c r="EB95" s="232"/>
      <c r="EC95" s="232"/>
      <c r="ED95" s="232"/>
      <c r="EE95" s="232"/>
      <c r="EF95" s="232"/>
      <c r="EG95" s="232"/>
      <c r="EH95" s="232"/>
      <c r="EI95" s="232"/>
      <c r="EJ95" s="232"/>
      <c r="EK95" s="232"/>
      <c r="EL95" s="232"/>
      <c r="EM95" s="232"/>
      <c r="EN95" s="232"/>
      <c r="EO95" s="232"/>
      <c r="EP95" s="232"/>
      <c r="EQ95" s="232"/>
      <c r="ER95" s="232"/>
      <c r="ES95" s="232"/>
      <c r="ET95" s="232"/>
      <c r="EU95" s="232"/>
      <c r="EV95" s="232"/>
      <c r="EW95" s="232"/>
      <c r="EX95" s="232"/>
      <c r="EY95" s="232"/>
      <c r="EZ95" s="232"/>
      <c r="FA95" s="232"/>
      <c r="FB95" s="232"/>
      <c r="FC95" s="232"/>
      <c r="FD95" s="232"/>
      <c r="FE95" s="232"/>
      <c r="FF95" s="232"/>
      <c r="FG95" s="232"/>
      <c r="FH95" s="232"/>
      <c r="FI95" s="232"/>
      <c r="FJ95" s="232"/>
      <c r="FK95" s="232"/>
      <c r="FL95" s="232"/>
      <c r="FM95" s="232"/>
      <c r="FN95" s="232"/>
      <c r="FO95" s="232"/>
      <c r="FP95" s="232"/>
      <c r="FQ95" s="232"/>
      <c r="FR95" s="232"/>
      <c r="FS95" s="232"/>
      <c r="FT95" s="232"/>
      <c r="FU95" s="232"/>
      <c r="FV95" s="232"/>
      <c r="FW95" s="232"/>
      <c r="FX95" s="232"/>
      <c r="FY95" s="232"/>
      <c r="FZ95" s="232"/>
      <c r="GA95" s="232"/>
      <c r="GB95" s="232"/>
      <c r="GC95" s="232"/>
      <c r="GD95" s="232"/>
      <c r="GE95" s="232"/>
      <c r="GF95" s="232"/>
      <c r="GG95" s="232"/>
      <c r="GH95" s="232"/>
      <c r="GI95" s="232"/>
      <c r="GJ95" s="232"/>
      <c r="GK95" s="232"/>
      <c r="GL95" s="232"/>
      <c r="GM95" s="232"/>
      <c r="GN95" s="232"/>
      <c r="GO95" s="232"/>
      <c r="GP95" s="232"/>
      <c r="GQ95" s="232"/>
      <c r="GR95" s="232"/>
      <c r="GS95" s="232"/>
      <c r="GT95" s="232"/>
      <c r="GU95" s="232"/>
      <c r="GV95" s="232"/>
      <c r="GW95" s="232"/>
      <c r="GX95" s="232"/>
      <c r="GY95" s="232"/>
      <c r="GZ95" s="232"/>
      <c r="HA95" s="232"/>
      <c r="HB95" s="232"/>
      <c r="HC95" s="232"/>
      <c r="HD95" s="232"/>
      <c r="HE95" s="232"/>
      <c r="HF95" s="232"/>
      <c r="HG95" s="232"/>
      <c r="HH95" s="232"/>
      <c r="HI95" s="232"/>
      <c r="HJ95" s="232"/>
      <c r="HK95" s="232"/>
      <c r="HL95" s="232"/>
      <c r="HM95" s="232"/>
      <c r="HN95" s="232"/>
      <c r="HO95" s="232"/>
      <c r="HP95" s="232"/>
      <c r="HQ95" s="232"/>
      <c r="HR95" s="232"/>
      <c r="HS95" s="232"/>
      <c r="HT95" s="232"/>
      <c r="HU95" s="232"/>
      <c r="HV95" s="232"/>
      <c r="HW95" s="232"/>
      <c r="HX95" s="232"/>
      <c r="HY95" s="232"/>
      <c r="HZ95" s="232"/>
      <c r="IA95" s="232"/>
      <c r="IB95" s="232"/>
      <c r="IC95" s="232"/>
    </row>
    <row r="96" spans="1:237" ht="14.1" customHeight="1">
      <c r="A96" s="232"/>
      <c r="B96" s="248"/>
      <c r="C96" s="248"/>
      <c r="D96" s="248"/>
      <c r="E96" s="248"/>
      <c r="F96" s="248"/>
      <c r="G96" s="248"/>
      <c r="H96" s="228"/>
      <c r="I96" s="228"/>
      <c r="K96" s="265"/>
      <c r="L96" s="899"/>
      <c r="M96" s="899"/>
      <c r="N96" s="899"/>
      <c r="O96" s="899"/>
      <c r="Q96" s="909"/>
      <c r="R96" s="899"/>
      <c r="S96" s="899"/>
      <c r="T96" s="899"/>
      <c r="U96" s="899"/>
      <c r="V96" s="899"/>
      <c r="W96" s="899"/>
      <c r="X96" s="899"/>
      <c r="Y96" s="899"/>
      <c r="Z96" s="899"/>
      <c r="AA96" s="899"/>
      <c r="AB96" s="899"/>
      <c r="AC96" s="899"/>
      <c r="AD96" s="899"/>
      <c r="AE96" s="899"/>
      <c r="AF96" s="899"/>
      <c r="AG96" s="899"/>
      <c r="AH96" s="899"/>
      <c r="AI96" s="899"/>
      <c r="AJ96" s="899"/>
      <c r="AK96" s="899"/>
      <c r="AL96" s="899"/>
      <c r="AM96" s="232"/>
      <c r="AN96" s="232"/>
      <c r="AO96" s="232"/>
      <c r="AP96" s="232"/>
      <c r="AQ96" s="232"/>
      <c r="AR96" s="232"/>
      <c r="AS96" s="232"/>
      <c r="AT96" s="232"/>
      <c r="AU96" s="232"/>
      <c r="AV96" s="232"/>
      <c r="AW96" s="232"/>
      <c r="AX96" s="232"/>
      <c r="AY96" s="232"/>
      <c r="AZ96" s="232"/>
      <c r="BA96" s="232"/>
      <c r="BB96" s="232"/>
      <c r="BC96" s="232"/>
      <c r="BD96" s="232"/>
      <c r="BE96" s="232"/>
      <c r="BF96" s="232"/>
      <c r="BG96" s="232"/>
      <c r="BH96" s="232"/>
      <c r="BI96" s="232"/>
      <c r="BJ96" s="232"/>
      <c r="BK96" s="232"/>
      <c r="BL96" s="232"/>
      <c r="BM96" s="232"/>
      <c r="BN96" s="232"/>
      <c r="BO96" s="232"/>
      <c r="BP96" s="232"/>
      <c r="BQ96" s="232"/>
      <c r="BR96" s="232"/>
      <c r="BS96" s="232"/>
      <c r="BT96" s="232"/>
      <c r="BU96" s="232"/>
      <c r="BV96" s="232"/>
      <c r="BW96" s="232"/>
      <c r="BX96" s="232"/>
      <c r="BY96" s="232"/>
      <c r="BZ96" s="232"/>
      <c r="CA96" s="232"/>
      <c r="CB96" s="232"/>
      <c r="CC96" s="232"/>
      <c r="CD96" s="232"/>
      <c r="CE96" s="232"/>
      <c r="CF96" s="232"/>
      <c r="CG96" s="232"/>
      <c r="CH96" s="232"/>
      <c r="CI96" s="232"/>
      <c r="CJ96" s="232"/>
      <c r="CK96" s="232"/>
      <c r="CL96" s="232"/>
      <c r="CM96" s="232"/>
      <c r="CN96" s="232"/>
      <c r="CO96" s="232"/>
      <c r="CP96" s="232"/>
      <c r="CQ96" s="232"/>
      <c r="CR96" s="232"/>
      <c r="CS96" s="232"/>
      <c r="CT96" s="232"/>
      <c r="CU96" s="232"/>
      <c r="CV96" s="232"/>
      <c r="CW96" s="232"/>
      <c r="CX96" s="232"/>
      <c r="CY96" s="232"/>
      <c r="CZ96" s="232"/>
      <c r="DA96" s="232"/>
      <c r="DB96" s="232"/>
      <c r="DC96" s="232"/>
      <c r="DD96" s="232"/>
      <c r="DE96" s="232"/>
      <c r="DF96" s="232"/>
      <c r="DG96" s="232"/>
      <c r="DH96" s="232"/>
      <c r="DI96" s="232"/>
      <c r="DJ96" s="232"/>
      <c r="DK96" s="232"/>
      <c r="DL96" s="232"/>
      <c r="DM96" s="232"/>
      <c r="DN96" s="232"/>
      <c r="DO96" s="232"/>
      <c r="DP96" s="232"/>
      <c r="DQ96" s="232"/>
      <c r="DR96" s="232"/>
      <c r="DS96" s="232"/>
      <c r="DT96" s="232"/>
      <c r="DU96" s="232"/>
      <c r="DV96" s="232"/>
      <c r="DW96" s="232"/>
      <c r="DX96" s="232"/>
      <c r="DY96" s="232"/>
      <c r="DZ96" s="232"/>
      <c r="EA96" s="232"/>
      <c r="EB96" s="232"/>
      <c r="EC96" s="232"/>
      <c r="ED96" s="232"/>
      <c r="EE96" s="232"/>
      <c r="EF96" s="232"/>
      <c r="EG96" s="232"/>
      <c r="EH96" s="232"/>
      <c r="EI96" s="232"/>
      <c r="EJ96" s="232"/>
      <c r="EK96" s="232"/>
      <c r="EL96" s="232"/>
      <c r="EM96" s="232"/>
      <c r="EN96" s="232"/>
      <c r="EO96" s="232"/>
      <c r="EP96" s="232"/>
      <c r="EQ96" s="232"/>
      <c r="ER96" s="232"/>
      <c r="ES96" s="232"/>
      <c r="ET96" s="232"/>
      <c r="EU96" s="232"/>
      <c r="EV96" s="232"/>
      <c r="EW96" s="232"/>
      <c r="EX96" s="232"/>
      <c r="EY96" s="232"/>
      <c r="EZ96" s="232"/>
      <c r="FA96" s="232"/>
      <c r="FB96" s="232"/>
      <c r="FC96" s="232"/>
      <c r="FD96" s="232"/>
      <c r="FE96" s="232"/>
      <c r="FF96" s="232"/>
      <c r="FG96" s="232"/>
      <c r="FH96" s="232"/>
      <c r="FI96" s="232"/>
      <c r="FJ96" s="232"/>
      <c r="FK96" s="232"/>
      <c r="FL96" s="232"/>
      <c r="FM96" s="232"/>
      <c r="FN96" s="232"/>
      <c r="FO96" s="232"/>
      <c r="FP96" s="232"/>
      <c r="FQ96" s="232"/>
      <c r="FR96" s="232"/>
      <c r="FS96" s="232"/>
      <c r="FT96" s="232"/>
      <c r="FU96" s="232"/>
      <c r="FV96" s="232"/>
      <c r="FW96" s="232"/>
      <c r="FX96" s="232"/>
      <c r="FY96" s="232"/>
      <c r="FZ96" s="232"/>
      <c r="GA96" s="232"/>
      <c r="GB96" s="232"/>
      <c r="GC96" s="232"/>
      <c r="GD96" s="232"/>
      <c r="GE96" s="232"/>
      <c r="GF96" s="232"/>
      <c r="GG96" s="232"/>
      <c r="GH96" s="232"/>
      <c r="GI96" s="232"/>
      <c r="GJ96" s="232"/>
      <c r="GK96" s="232"/>
      <c r="GL96" s="232"/>
      <c r="GM96" s="232"/>
      <c r="GN96" s="232"/>
      <c r="GO96" s="232"/>
      <c r="GP96" s="232"/>
      <c r="GQ96" s="232"/>
      <c r="GR96" s="232"/>
      <c r="GS96" s="232"/>
      <c r="GT96" s="232"/>
      <c r="GU96" s="232"/>
      <c r="GV96" s="232"/>
      <c r="GW96" s="232"/>
      <c r="GX96" s="232"/>
      <c r="GY96" s="232"/>
      <c r="GZ96" s="232"/>
      <c r="HA96" s="232"/>
      <c r="HB96" s="232"/>
      <c r="HC96" s="232"/>
      <c r="HD96" s="232"/>
      <c r="HE96" s="232"/>
      <c r="HF96" s="232"/>
      <c r="HG96" s="232"/>
      <c r="HH96" s="232"/>
      <c r="HI96" s="232"/>
      <c r="HJ96" s="232"/>
      <c r="HK96" s="232"/>
      <c r="HL96" s="232"/>
      <c r="HM96" s="232"/>
      <c r="HN96" s="232"/>
      <c r="HO96" s="232"/>
      <c r="HP96" s="232"/>
      <c r="HQ96" s="232"/>
      <c r="HR96" s="232"/>
      <c r="HS96" s="232"/>
      <c r="HT96" s="232"/>
      <c r="HU96" s="232"/>
      <c r="HV96" s="232"/>
      <c r="HW96" s="232"/>
      <c r="HX96" s="232"/>
      <c r="HY96" s="232"/>
      <c r="HZ96" s="232"/>
      <c r="IA96" s="232"/>
      <c r="IB96" s="232"/>
      <c r="IC96" s="232"/>
    </row>
    <row r="97" spans="1:237" ht="14.1" customHeight="1">
      <c r="A97" s="232"/>
      <c r="B97" s="248"/>
      <c r="C97" s="248"/>
      <c r="D97" s="248"/>
      <c r="E97" s="248"/>
      <c r="F97" s="248"/>
      <c r="G97" s="248"/>
      <c r="H97" s="228"/>
      <c r="I97" s="228"/>
      <c r="K97" s="265"/>
      <c r="L97" s="899"/>
      <c r="M97" s="899"/>
      <c r="N97" s="899"/>
      <c r="O97" s="899"/>
      <c r="Q97" s="909"/>
      <c r="R97" s="899"/>
      <c r="S97" s="899"/>
      <c r="T97" s="899"/>
      <c r="U97" s="899"/>
      <c r="V97" s="899"/>
      <c r="W97" s="899"/>
      <c r="X97" s="899"/>
      <c r="Y97" s="899"/>
      <c r="Z97" s="899"/>
      <c r="AA97" s="899"/>
      <c r="AB97" s="899"/>
      <c r="AC97" s="899"/>
      <c r="AD97" s="899"/>
      <c r="AE97" s="899"/>
      <c r="AF97" s="899"/>
      <c r="AG97" s="899"/>
      <c r="AH97" s="899"/>
      <c r="AI97" s="899"/>
      <c r="AJ97" s="899"/>
      <c r="AK97" s="899"/>
      <c r="AL97" s="899"/>
      <c r="AM97" s="232"/>
      <c r="AN97" s="232"/>
      <c r="AO97" s="232"/>
      <c r="AP97" s="232"/>
      <c r="AQ97" s="232"/>
      <c r="AR97" s="232"/>
      <c r="AS97" s="232"/>
      <c r="AT97" s="232"/>
      <c r="AU97" s="232"/>
      <c r="AV97" s="232"/>
      <c r="AW97" s="232"/>
      <c r="AX97" s="232"/>
      <c r="AY97" s="232"/>
      <c r="AZ97" s="232"/>
      <c r="BA97" s="232"/>
      <c r="BB97" s="232"/>
      <c r="BC97" s="232"/>
      <c r="BD97" s="232"/>
      <c r="BE97" s="232"/>
      <c r="BF97" s="232"/>
      <c r="BG97" s="232"/>
      <c r="BH97" s="232"/>
      <c r="BI97" s="232"/>
      <c r="BJ97" s="232"/>
      <c r="BK97" s="232"/>
      <c r="BL97" s="232"/>
      <c r="BM97" s="232"/>
      <c r="BN97" s="232"/>
      <c r="BO97" s="232"/>
      <c r="BP97" s="232"/>
      <c r="BQ97" s="232"/>
      <c r="BR97" s="232"/>
      <c r="BS97" s="232"/>
      <c r="BT97" s="232"/>
      <c r="BU97" s="232"/>
      <c r="BV97" s="232"/>
      <c r="BW97" s="232"/>
      <c r="BX97" s="232"/>
      <c r="BY97" s="232"/>
      <c r="BZ97" s="232"/>
      <c r="CA97" s="232"/>
      <c r="CB97" s="232"/>
      <c r="CC97" s="232"/>
      <c r="CD97" s="232"/>
      <c r="CE97" s="232"/>
      <c r="CF97" s="232"/>
      <c r="CG97" s="232"/>
      <c r="CH97" s="232"/>
      <c r="CI97" s="232"/>
      <c r="CJ97" s="232"/>
      <c r="CK97" s="232"/>
      <c r="CL97" s="232"/>
      <c r="CM97" s="232"/>
      <c r="CN97" s="232"/>
      <c r="CO97" s="232"/>
      <c r="CP97" s="232"/>
      <c r="CQ97" s="232"/>
      <c r="CR97" s="232"/>
      <c r="CS97" s="232"/>
      <c r="CT97" s="232"/>
      <c r="CU97" s="232"/>
      <c r="CV97" s="232"/>
      <c r="CW97" s="232"/>
      <c r="CX97" s="232"/>
      <c r="CY97" s="232"/>
      <c r="CZ97" s="232"/>
      <c r="DA97" s="232"/>
      <c r="DB97" s="232"/>
      <c r="DC97" s="232"/>
      <c r="DD97" s="232"/>
      <c r="DE97" s="232"/>
      <c r="DF97" s="232"/>
      <c r="DG97" s="232"/>
      <c r="DH97" s="232"/>
      <c r="DI97" s="232"/>
      <c r="DJ97" s="232"/>
      <c r="DK97" s="232"/>
      <c r="DL97" s="232"/>
      <c r="DM97" s="232"/>
      <c r="DN97" s="232"/>
      <c r="DO97" s="232"/>
      <c r="DP97" s="232"/>
      <c r="DQ97" s="232"/>
      <c r="DR97" s="232"/>
      <c r="DS97" s="232"/>
      <c r="DT97" s="232"/>
      <c r="DU97" s="232"/>
      <c r="DV97" s="232"/>
      <c r="DW97" s="232"/>
      <c r="DX97" s="232"/>
      <c r="DY97" s="232"/>
      <c r="DZ97" s="232"/>
      <c r="EA97" s="232"/>
      <c r="EB97" s="232"/>
      <c r="EC97" s="232"/>
      <c r="ED97" s="232"/>
      <c r="EE97" s="232"/>
      <c r="EF97" s="232"/>
      <c r="EG97" s="232"/>
      <c r="EH97" s="232"/>
      <c r="EI97" s="232"/>
      <c r="EJ97" s="232"/>
      <c r="EK97" s="232"/>
      <c r="EL97" s="232"/>
      <c r="EM97" s="232"/>
      <c r="EN97" s="232"/>
      <c r="EO97" s="232"/>
      <c r="EP97" s="232"/>
      <c r="EQ97" s="232"/>
      <c r="ER97" s="232"/>
      <c r="ES97" s="232"/>
      <c r="ET97" s="232"/>
      <c r="EU97" s="232"/>
      <c r="EV97" s="232"/>
      <c r="EW97" s="232"/>
      <c r="EX97" s="232"/>
      <c r="EY97" s="232"/>
      <c r="EZ97" s="232"/>
      <c r="FA97" s="232"/>
      <c r="FB97" s="232"/>
      <c r="FC97" s="232"/>
      <c r="FD97" s="232"/>
      <c r="FE97" s="232"/>
      <c r="FF97" s="232"/>
      <c r="FG97" s="232"/>
      <c r="FH97" s="232"/>
      <c r="FI97" s="232"/>
      <c r="FJ97" s="232"/>
      <c r="FK97" s="232"/>
      <c r="FL97" s="232"/>
      <c r="FM97" s="232"/>
      <c r="FN97" s="232"/>
      <c r="FO97" s="232"/>
      <c r="FP97" s="232"/>
      <c r="FQ97" s="232"/>
      <c r="FR97" s="232"/>
      <c r="FS97" s="232"/>
      <c r="FT97" s="232"/>
      <c r="FU97" s="232"/>
      <c r="FV97" s="232"/>
      <c r="FW97" s="232"/>
      <c r="FX97" s="232"/>
      <c r="FY97" s="232"/>
      <c r="FZ97" s="232"/>
      <c r="GA97" s="232"/>
      <c r="GB97" s="232"/>
      <c r="GC97" s="232"/>
      <c r="GD97" s="232"/>
      <c r="GE97" s="232"/>
      <c r="GF97" s="232"/>
      <c r="GG97" s="232"/>
      <c r="GH97" s="232"/>
      <c r="GI97" s="232"/>
      <c r="GJ97" s="232"/>
      <c r="GK97" s="232"/>
      <c r="GL97" s="232"/>
      <c r="GM97" s="232"/>
      <c r="GN97" s="232"/>
      <c r="GO97" s="232"/>
      <c r="GP97" s="232"/>
      <c r="GQ97" s="232"/>
      <c r="GR97" s="232"/>
      <c r="GS97" s="232"/>
      <c r="GT97" s="232"/>
      <c r="GU97" s="232"/>
      <c r="GV97" s="232"/>
      <c r="GW97" s="232"/>
      <c r="GX97" s="232"/>
      <c r="GY97" s="232"/>
      <c r="GZ97" s="232"/>
      <c r="HA97" s="232"/>
      <c r="HB97" s="232"/>
      <c r="HC97" s="232"/>
      <c r="HD97" s="232"/>
      <c r="HE97" s="232"/>
      <c r="HF97" s="232"/>
      <c r="HG97" s="232"/>
      <c r="HH97" s="232"/>
      <c r="HI97" s="232"/>
      <c r="HJ97" s="232"/>
      <c r="HK97" s="232"/>
      <c r="HL97" s="232"/>
      <c r="HM97" s="232"/>
      <c r="HN97" s="232"/>
      <c r="HO97" s="232"/>
      <c r="HP97" s="232"/>
      <c r="HQ97" s="232"/>
      <c r="HR97" s="232"/>
      <c r="HS97" s="232"/>
      <c r="HT97" s="232"/>
      <c r="HU97" s="232"/>
      <c r="HV97" s="232"/>
      <c r="HW97" s="232"/>
      <c r="HX97" s="232"/>
      <c r="HY97" s="232"/>
      <c r="HZ97" s="232"/>
      <c r="IA97" s="232"/>
      <c r="IB97" s="232"/>
      <c r="IC97" s="232"/>
    </row>
    <row r="98" spans="1:237" ht="14.1" customHeight="1">
      <c r="A98" s="232"/>
      <c r="B98" s="248"/>
      <c r="C98" s="248"/>
      <c r="D98" s="248"/>
      <c r="E98" s="248"/>
      <c r="F98" s="248"/>
      <c r="G98" s="248"/>
      <c r="H98" s="228"/>
      <c r="I98" s="228"/>
      <c r="K98" s="265"/>
      <c r="L98" s="899"/>
      <c r="M98" s="899"/>
      <c r="N98" s="899"/>
      <c r="O98" s="899"/>
      <c r="Q98" s="909"/>
      <c r="R98" s="899"/>
      <c r="S98" s="899"/>
      <c r="T98" s="899"/>
      <c r="U98" s="899"/>
      <c r="V98" s="899"/>
      <c r="W98" s="899"/>
      <c r="X98" s="899"/>
      <c r="Y98" s="899"/>
      <c r="Z98" s="899"/>
      <c r="AA98" s="899"/>
      <c r="AB98" s="899"/>
      <c r="AC98" s="899"/>
      <c r="AD98" s="899"/>
      <c r="AE98" s="899"/>
      <c r="AF98" s="899"/>
      <c r="AG98" s="899"/>
      <c r="AH98" s="899"/>
      <c r="AI98" s="899"/>
      <c r="AJ98" s="899"/>
      <c r="AK98" s="899"/>
      <c r="AL98" s="899"/>
      <c r="AM98" s="232"/>
      <c r="AN98" s="232"/>
      <c r="AO98" s="232"/>
      <c r="AP98" s="232"/>
      <c r="AQ98" s="232"/>
      <c r="AR98" s="232"/>
      <c r="AS98" s="232"/>
      <c r="AT98" s="232"/>
      <c r="AU98" s="232"/>
      <c r="AV98" s="232"/>
      <c r="AW98" s="232"/>
      <c r="AX98" s="232"/>
      <c r="AY98" s="232"/>
      <c r="AZ98" s="232"/>
      <c r="BA98" s="232"/>
      <c r="BB98" s="232"/>
      <c r="BC98" s="232"/>
      <c r="BD98" s="232"/>
      <c r="BE98" s="232"/>
      <c r="BF98" s="232"/>
      <c r="BG98" s="232"/>
      <c r="BH98" s="232"/>
      <c r="BI98" s="232"/>
      <c r="BJ98" s="232"/>
      <c r="BK98" s="232"/>
      <c r="BL98" s="232"/>
      <c r="BM98" s="232"/>
      <c r="BN98" s="232"/>
      <c r="BO98" s="232"/>
      <c r="BP98" s="232"/>
      <c r="BQ98" s="232"/>
      <c r="BR98" s="232"/>
      <c r="BS98" s="232"/>
      <c r="BT98" s="232"/>
      <c r="BU98" s="232"/>
      <c r="BV98" s="232"/>
      <c r="BW98" s="232"/>
      <c r="BX98" s="232"/>
      <c r="BY98" s="232"/>
      <c r="BZ98" s="232"/>
      <c r="CA98" s="232"/>
      <c r="CB98" s="232"/>
      <c r="CC98" s="232"/>
      <c r="CD98" s="232"/>
      <c r="CE98" s="232"/>
      <c r="CF98" s="232"/>
      <c r="CG98" s="232"/>
      <c r="CH98" s="232"/>
      <c r="CI98" s="232"/>
      <c r="CJ98" s="232"/>
      <c r="CK98" s="232"/>
      <c r="CL98" s="232"/>
      <c r="CM98" s="232"/>
      <c r="CN98" s="232"/>
      <c r="CO98" s="232"/>
      <c r="CP98" s="232"/>
      <c r="CQ98" s="232"/>
      <c r="CR98" s="232"/>
      <c r="CS98" s="232"/>
      <c r="CT98" s="232"/>
      <c r="CU98" s="232"/>
      <c r="CV98" s="232"/>
      <c r="CW98" s="232"/>
      <c r="CX98" s="232"/>
      <c r="CY98" s="232"/>
      <c r="CZ98" s="232"/>
      <c r="DA98" s="232"/>
      <c r="DB98" s="232"/>
      <c r="DC98" s="232"/>
      <c r="DD98" s="232"/>
      <c r="DE98" s="232"/>
      <c r="DF98" s="232"/>
      <c r="DG98" s="232"/>
      <c r="DH98" s="232"/>
      <c r="DI98" s="232"/>
      <c r="DJ98" s="232"/>
      <c r="DK98" s="232"/>
      <c r="DL98" s="232"/>
      <c r="DM98" s="232"/>
      <c r="DN98" s="232"/>
      <c r="DO98" s="232"/>
      <c r="DP98" s="232"/>
      <c r="DQ98" s="232"/>
      <c r="DR98" s="232"/>
      <c r="DS98" s="232"/>
      <c r="DT98" s="232"/>
      <c r="DU98" s="232"/>
      <c r="DV98" s="232"/>
      <c r="DW98" s="232"/>
      <c r="DX98" s="232"/>
      <c r="DY98" s="232"/>
      <c r="DZ98" s="232"/>
      <c r="EA98" s="232"/>
      <c r="EB98" s="232"/>
      <c r="EC98" s="232"/>
      <c r="ED98" s="232"/>
      <c r="EE98" s="232"/>
      <c r="EF98" s="232"/>
      <c r="EG98" s="232"/>
      <c r="EH98" s="232"/>
      <c r="EI98" s="232"/>
      <c r="EJ98" s="232"/>
      <c r="EK98" s="232"/>
      <c r="EL98" s="232"/>
      <c r="EM98" s="232"/>
      <c r="EN98" s="232"/>
      <c r="EO98" s="232"/>
      <c r="EP98" s="232"/>
      <c r="EQ98" s="232"/>
      <c r="ER98" s="232"/>
      <c r="ES98" s="232"/>
      <c r="ET98" s="232"/>
      <c r="EU98" s="232"/>
      <c r="EV98" s="232"/>
      <c r="EW98" s="232"/>
      <c r="EX98" s="232"/>
      <c r="EY98" s="232"/>
      <c r="EZ98" s="232"/>
      <c r="FA98" s="232"/>
      <c r="FB98" s="232"/>
      <c r="FC98" s="232"/>
      <c r="FD98" s="232"/>
      <c r="FE98" s="232"/>
      <c r="FF98" s="232"/>
      <c r="FG98" s="232"/>
      <c r="FH98" s="232"/>
      <c r="FI98" s="232"/>
      <c r="FJ98" s="232"/>
      <c r="FK98" s="232"/>
      <c r="FL98" s="232"/>
      <c r="FM98" s="232"/>
      <c r="FN98" s="232"/>
      <c r="FO98" s="232"/>
      <c r="FP98" s="232"/>
      <c r="FQ98" s="232"/>
      <c r="FR98" s="232"/>
      <c r="FS98" s="232"/>
      <c r="FT98" s="232"/>
      <c r="FU98" s="232"/>
      <c r="FV98" s="232"/>
      <c r="FW98" s="232"/>
      <c r="FX98" s="232"/>
      <c r="FY98" s="232"/>
      <c r="FZ98" s="232"/>
      <c r="GA98" s="232"/>
      <c r="GB98" s="232"/>
      <c r="GC98" s="232"/>
      <c r="GD98" s="232"/>
      <c r="GE98" s="232"/>
      <c r="GF98" s="232"/>
      <c r="GG98" s="232"/>
      <c r="GH98" s="232"/>
      <c r="GI98" s="232"/>
      <c r="GJ98" s="232"/>
      <c r="GK98" s="232"/>
      <c r="GL98" s="232"/>
      <c r="GM98" s="232"/>
      <c r="GN98" s="232"/>
      <c r="GO98" s="232"/>
      <c r="GP98" s="232"/>
      <c r="GQ98" s="232"/>
      <c r="GR98" s="232"/>
      <c r="GS98" s="232"/>
      <c r="GT98" s="232"/>
      <c r="GU98" s="232"/>
      <c r="GV98" s="232"/>
      <c r="GW98" s="232"/>
      <c r="GX98" s="232"/>
      <c r="GY98" s="232"/>
      <c r="GZ98" s="232"/>
      <c r="HA98" s="232"/>
      <c r="HB98" s="232"/>
      <c r="HC98" s="232"/>
      <c r="HD98" s="232"/>
      <c r="HE98" s="232"/>
      <c r="HF98" s="232"/>
      <c r="HG98" s="232"/>
      <c r="HH98" s="232"/>
      <c r="HI98" s="232"/>
      <c r="HJ98" s="232"/>
      <c r="HK98" s="232"/>
      <c r="HL98" s="232"/>
      <c r="HM98" s="232"/>
      <c r="HN98" s="232"/>
      <c r="HO98" s="232"/>
      <c r="HP98" s="232"/>
      <c r="HQ98" s="232"/>
      <c r="HR98" s="232"/>
      <c r="HS98" s="232"/>
      <c r="HT98" s="232"/>
      <c r="HU98" s="232"/>
      <c r="HV98" s="232"/>
      <c r="HW98" s="232"/>
      <c r="HX98" s="232"/>
      <c r="HY98" s="232"/>
      <c r="HZ98" s="232"/>
      <c r="IA98" s="232"/>
      <c r="IB98" s="232"/>
      <c r="IC98" s="232"/>
    </row>
    <row r="99" spans="1:237" ht="14.1" customHeight="1">
      <c r="A99" s="232"/>
      <c r="B99" s="248"/>
      <c r="C99" s="248"/>
      <c r="D99" s="248"/>
      <c r="E99" s="248"/>
      <c r="F99" s="248"/>
      <c r="G99" s="248"/>
      <c r="H99" s="228"/>
      <c r="I99" s="228"/>
      <c r="K99" s="265"/>
      <c r="L99" s="899"/>
      <c r="M99" s="899"/>
      <c r="N99" s="899"/>
      <c r="O99" s="899"/>
      <c r="Q99" s="909"/>
      <c r="R99" s="899"/>
      <c r="S99" s="899"/>
      <c r="T99" s="899"/>
      <c r="U99" s="899"/>
      <c r="V99" s="899"/>
      <c r="W99" s="899"/>
      <c r="X99" s="899"/>
      <c r="Y99" s="899"/>
      <c r="Z99" s="899"/>
      <c r="AA99" s="899"/>
      <c r="AB99" s="899"/>
      <c r="AC99" s="899"/>
      <c r="AD99" s="899"/>
      <c r="AE99" s="899"/>
      <c r="AF99" s="899"/>
      <c r="AG99" s="899"/>
      <c r="AH99" s="899"/>
      <c r="AI99" s="899"/>
      <c r="AJ99" s="899"/>
      <c r="AK99" s="899"/>
      <c r="AL99" s="899"/>
      <c r="AM99" s="232"/>
      <c r="AN99" s="232"/>
      <c r="AO99" s="232"/>
      <c r="AP99" s="232"/>
      <c r="AQ99" s="232"/>
      <c r="AR99" s="232"/>
      <c r="AS99" s="232"/>
      <c r="AT99" s="232"/>
      <c r="AU99" s="232"/>
      <c r="AV99" s="232"/>
      <c r="AW99" s="232"/>
      <c r="AX99" s="232"/>
      <c r="AY99" s="232"/>
      <c r="AZ99" s="232"/>
      <c r="BA99" s="232"/>
      <c r="BB99" s="232"/>
      <c r="BC99" s="232"/>
      <c r="BD99" s="232"/>
      <c r="BE99" s="232"/>
      <c r="BF99" s="232"/>
      <c r="BG99" s="232"/>
      <c r="BH99" s="232"/>
      <c r="BI99" s="232"/>
      <c r="BJ99" s="232"/>
      <c r="BK99" s="232"/>
      <c r="BL99" s="232"/>
      <c r="BM99" s="232"/>
      <c r="BN99" s="232"/>
      <c r="BO99" s="232"/>
      <c r="BP99" s="232"/>
      <c r="BQ99" s="232"/>
      <c r="BR99" s="232"/>
      <c r="BS99" s="232"/>
      <c r="BT99" s="232"/>
      <c r="BU99" s="232"/>
      <c r="BV99" s="232"/>
      <c r="BW99" s="232"/>
      <c r="BX99" s="232"/>
      <c r="BY99" s="232"/>
      <c r="BZ99" s="232"/>
      <c r="CA99" s="232"/>
      <c r="CB99" s="232"/>
      <c r="CC99" s="232"/>
      <c r="CD99" s="232"/>
      <c r="CE99" s="232"/>
      <c r="CF99" s="232"/>
      <c r="CG99" s="232"/>
      <c r="CH99" s="232"/>
      <c r="CI99" s="232"/>
      <c r="CJ99" s="232"/>
      <c r="CK99" s="232"/>
      <c r="CL99" s="232"/>
      <c r="CM99" s="232"/>
      <c r="CN99" s="232"/>
      <c r="CO99" s="232"/>
      <c r="CP99" s="232"/>
      <c r="CQ99" s="232"/>
      <c r="CR99" s="232"/>
      <c r="CS99" s="232"/>
      <c r="CT99" s="232"/>
      <c r="CU99" s="232"/>
      <c r="CV99" s="232"/>
      <c r="CW99" s="232"/>
      <c r="CX99" s="232"/>
      <c r="CY99" s="232"/>
      <c r="CZ99" s="232"/>
      <c r="DA99" s="232"/>
      <c r="DB99" s="232"/>
      <c r="DC99" s="232"/>
      <c r="DD99" s="232"/>
      <c r="DE99" s="232"/>
      <c r="DF99" s="232"/>
      <c r="DG99" s="232"/>
      <c r="DH99" s="232"/>
      <c r="DI99" s="232"/>
      <c r="DJ99" s="232"/>
      <c r="DK99" s="232"/>
      <c r="DL99" s="232"/>
      <c r="DM99" s="232"/>
      <c r="DN99" s="232"/>
      <c r="DO99" s="232"/>
      <c r="DP99" s="232"/>
      <c r="DQ99" s="232"/>
      <c r="DR99" s="232"/>
      <c r="DS99" s="232"/>
      <c r="DT99" s="232"/>
      <c r="DU99" s="232"/>
      <c r="DV99" s="232"/>
      <c r="DW99" s="232"/>
      <c r="DX99" s="232"/>
      <c r="DY99" s="232"/>
      <c r="DZ99" s="232"/>
      <c r="EA99" s="232"/>
      <c r="EB99" s="232"/>
      <c r="EC99" s="232"/>
      <c r="ED99" s="232"/>
      <c r="EE99" s="232"/>
      <c r="EF99" s="232"/>
      <c r="EG99" s="232"/>
      <c r="EH99" s="232"/>
      <c r="EI99" s="232"/>
      <c r="EJ99" s="232"/>
      <c r="EK99" s="232"/>
      <c r="EL99" s="232"/>
      <c r="EM99" s="232"/>
      <c r="EN99" s="232"/>
      <c r="EO99" s="232"/>
      <c r="EP99" s="232"/>
      <c r="EQ99" s="232"/>
      <c r="ER99" s="232"/>
      <c r="ES99" s="232"/>
      <c r="ET99" s="232"/>
      <c r="EU99" s="232"/>
      <c r="EV99" s="232"/>
      <c r="EW99" s="232"/>
      <c r="EX99" s="232"/>
      <c r="EY99" s="232"/>
      <c r="EZ99" s="232"/>
      <c r="FA99" s="232"/>
      <c r="FB99" s="232"/>
      <c r="FC99" s="232"/>
      <c r="FD99" s="232"/>
      <c r="FE99" s="232"/>
      <c r="FF99" s="232"/>
      <c r="FG99" s="232"/>
      <c r="FH99" s="232"/>
      <c r="FI99" s="232"/>
      <c r="FJ99" s="232"/>
      <c r="FK99" s="232"/>
      <c r="FL99" s="232"/>
      <c r="FM99" s="232"/>
      <c r="FN99" s="232"/>
      <c r="FO99" s="232"/>
      <c r="FP99" s="232"/>
      <c r="FQ99" s="232"/>
      <c r="FR99" s="232"/>
      <c r="FS99" s="232"/>
      <c r="FT99" s="232"/>
      <c r="FU99" s="232"/>
      <c r="FV99" s="232"/>
      <c r="FW99" s="232"/>
      <c r="FX99" s="232"/>
      <c r="FY99" s="232"/>
      <c r="FZ99" s="232"/>
      <c r="GA99" s="232"/>
      <c r="GB99" s="232"/>
      <c r="GC99" s="232"/>
      <c r="GD99" s="232"/>
      <c r="GE99" s="232"/>
      <c r="GF99" s="232"/>
      <c r="GG99" s="232"/>
      <c r="GH99" s="232"/>
      <c r="GI99" s="232"/>
      <c r="GJ99" s="232"/>
      <c r="GK99" s="232"/>
      <c r="GL99" s="232"/>
      <c r="GM99" s="232"/>
      <c r="GN99" s="232"/>
      <c r="GO99" s="232"/>
      <c r="GP99" s="232"/>
      <c r="GQ99" s="232"/>
      <c r="GR99" s="232"/>
      <c r="GS99" s="232"/>
      <c r="GT99" s="232"/>
      <c r="GU99" s="232"/>
      <c r="GV99" s="232"/>
      <c r="GW99" s="232"/>
      <c r="GX99" s="232"/>
      <c r="GY99" s="232"/>
      <c r="GZ99" s="232"/>
      <c r="HA99" s="232"/>
      <c r="HB99" s="232"/>
      <c r="HC99" s="232"/>
      <c r="HD99" s="232"/>
      <c r="HE99" s="232"/>
      <c r="HF99" s="232"/>
      <c r="HG99" s="232"/>
      <c r="HH99" s="232"/>
      <c r="HI99" s="232"/>
      <c r="HJ99" s="232"/>
      <c r="HK99" s="232"/>
      <c r="HL99" s="232"/>
      <c r="HM99" s="232"/>
      <c r="HN99" s="232"/>
      <c r="HO99" s="232"/>
      <c r="HP99" s="232"/>
      <c r="HQ99" s="232"/>
      <c r="HR99" s="232"/>
      <c r="HS99" s="232"/>
      <c r="HT99" s="232"/>
      <c r="HU99" s="232"/>
      <c r="HV99" s="232"/>
      <c r="HW99" s="232"/>
      <c r="HX99" s="232"/>
      <c r="HY99" s="232"/>
      <c r="HZ99" s="232"/>
      <c r="IA99" s="232"/>
      <c r="IB99" s="232"/>
      <c r="IC99" s="232"/>
    </row>
    <row r="100" spans="1:237" ht="14.1" customHeight="1">
      <c r="A100" s="232"/>
      <c r="B100" s="248"/>
      <c r="C100" s="248"/>
      <c r="D100" s="248"/>
      <c r="E100" s="248"/>
      <c r="F100" s="248"/>
      <c r="G100" s="248"/>
      <c r="H100" s="228"/>
      <c r="I100" s="228"/>
      <c r="K100" s="265"/>
      <c r="L100" s="899"/>
      <c r="M100" s="899"/>
      <c r="N100" s="899"/>
      <c r="O100" s="899"/>
      <c r="Q100" s="909"/>
      <c r="R100" s="899"/>
      <c r="S100" s="899"/>
      <c r="T100" s="899"/>
      <c r="U100" s="899"/>
      <c r="V100" s="899"/>
      <c r="W100" s="899"/>
      <c r="X100" s="899"/>
      <c r="Y100" s="899"/>
      <c r="Z100" s="899"/>
      <c r="AA100" s="899"/>
      <c r="AB100" s="899"/>
      <c r="AC100" s="899"/>
      <c r="AD100" s="899"/>
      <c r="AE100" s="899"/>
      <c r="AF100" s="899"/>
      <c r="AG100" s="899"/>
      <c r="AH100" s="899"/>
      <c r="AI100" s="899"/>
      <c r="AJ100" s="899"/>
      <c r="AK100" s="899"/>
      <c r="AL100" s="899"/>
      <c r="AM100" s="232"/>
      <c r="AN100" s="232"/>
      <c r="AO100" s="232"/>
      <c r="AP100" s="232"/>
      <c r="AQ100" s="232"/>
      <c r="AR100" s="232"/>
      <c r="AS100" s="232"/>
      <c r="AT100" s="232"/>
      <c r="AU100" s="232"/>
      <c r="AV100" s="232"/>
      <c r="AW100" s="232"/>
      <c r="AX100" s="232"/>
      <c r="AY100" s="232"/>
      <c r="AZ100" s="232"/>
      <c r="BA100" s="232"/>
      <c r="BB100" s="232"/>
      <c r="BC100" s="232"/>
      <c r="BD100" s="232"/>
      <c r="BE100" s="232"/>
      <c r="BF100" s="232"/>
      <c r="BG100" s="232"/>
      <c r="BH100" s="232"/>
      <c r="BI100" s="232"/>
      <c r="BJ100" s="232"/>
      <c r="BK100" s="232"/>
      <c r="BL100" s="232"/>
      <c r="BM100" s="232"/>
      <c r="BN100" s="232"/>
      <c r="BO100" s="232"/>
      <c r="BP100" s="232"/>
      <c r="BQ100" s="232"/>
      <c r="BR100" s="232"/>
      <c r="BS100" s="232"/>
      <c r="BT100" s="232"/>
      <c r="BU100" s="232"/>
      <c r="BV100" s="232"/>
      <c r="BW100" s="232"/>
      <c r="BX100" s="232"/>
      <c r="BY100" s="232"/>
      <c r="BZ100" s="232"/>
      <c r="CA100" s="232"/>
      <c r="CB100" s="232"/>
      <c r="CC100" s="232"/>
      <c r="CD100" s="232"/>
      <c r="CE100" s="232"/>
      <c r="CF100" s="232"/>
      <c r="CG100" s="232"/>
      <c r="CH100" s="232"/>
      <c r="CI100" s="232"/>
      <c r="CJ100" s="232"/>
      <c r="CK100" s="232"/>
      <c r="CL100" s="232"/>
      <c r="CM100" s="232"/>
      <c r="CN100" s="232"/>
      <c r="CO100" s="232"/>
      <c r="CP100" s="232"/>
      <c r="CQ100" s="232"/>
      <c r="CR100" s="232"/>
      <c r="CS100" s="232"/>
      <c r="CT100" s="232"/>
      <c r="CU100" s="232"/>
      <c r="CV100" s="232"/>
      <c r="CW100" s="232"/>
      <c r="CX100" s="232"/>
      <c r="CY100" s="232"/>
      <c r="CZ100" s="232"/>
      <c r="DA100" s="232"/>
      <c r="DB100" s="232"/>
      <c r="DC100" s="232"/>
      <c r="DD100" s="232"/>
      <c r="DE100" s="232"/>
      <c r="DF100" s="232"/>
      <c r="DG100" s="232"/>
      <c r="DH100" s="232"/>
      <c r="DI100" s="232"/>
      <c r="DJ100" s="232"/>
      <c r="DK100" s="232"/>
      <c r="DL100" s="232"/>
      <c r="DM100" s="232"/>
      <c r="DN100" s="232"/>
      <c r="DO100" s="232"/>
      <c r="DP100" s="232"/>
      <c r="DQ100" s="232"/>
      <c r="DR100" s="232"/>
      <c r="DS100" s="232"/>
      <c r="DT100" s="232"/>
      <c r="DU100" s="232"/>
      <c r="DV100" s="232"/>
      <c r="DW100" s="232"/>
      <c r="DX100" s="232"/>
      <c r="DY100" s="232"/>
      <c r="DZ100" s="232"/>
      <c r="EA100" s="232"/>
      <c r="EB100" s="232"/>
      <c r="EC100" s="232"/>
      <c r="ED100" s="232"/>
      <c r="EE100" s="232"/>
      <c r="EF100" s="232"/>
      <c r="EG100" s="232"/>
      <c r="EH100" s="232"/>
      <c r="EI100" s="232"/>
      <c r="EJ100" s="232"/>
      <c r="EK100" s="232"/>
      <c r="EL100" s="232"/>
      <c r="EM100" s="232"/>
      <c r="EN100" s="232"/>
      <c r="EO100" s="232"/>
      <c r="EP100" s="232"/>
      <c r="EQ100" s="232"/>
      <c r="ER100" s="232"/>
      <c r="ES100" s="232"/>
      <c r="ET100" s="232"/>
      <c r="EU100" s="232"/>
      <c r="EV100" s="232"/>
      <c r="EW100" s="232"/>
      <c r="EX100" s="232"/>
      <c r="EY100" s="232"/>
      <c r="EZ100" s="232"/>
      <c r="FA100" s="232"/>
      <c r="FB100" s="232"/>
      <c r="FC100" s="232"/>
      <c r="FD100" s="232"/>
      <c r="FE100" s="232"/>
      <c r="FF100" s="232"/>
      <c r="FG100" s="232"/>
      <c r="FH100" s="232"/>
      <c r="FI100" s="232"/>
      <c r="FJ100" s="232"/>
      <c r="FK100" s="232"/>
      <c r="FL100" s="232"/>
      <c r="FM100" s="232"/>
      <c r="FN100" s="232"/>
      <c r="FO100" s="232"/>
      <c r="FP100" s="232"/>
      <c r="FQ100" s="232"/>
      <c r="FR100" s="232"/>
      <c r="FS100" s="232"/>
      <c r="FT100" s="232"/>
      <c r="FU100" s="232"/>
      <c r="FV100" s="232"/>
      <c r="FW100" s="232"/>
      <c r="FX100" s="232"/>
      <c r="FY100" s="232"/>
      <c r="FZ100" s="232"/>
      <c r="GA100" s="232"/>
      <c r="GB100" s="232"/>
      <c r="GC100" s="232"/>
      <c r="GD100" s="232"/>
      <c r="GE100" s="232"/>
      <c r="GF100" s="232"/>
      <c r="GG100" s="232"/>
      <c r="GH100" s="232"/>
      <c r="GI100" s="232"/>
      <c r="GJ100" s="232"/>
      <c r="GK100" s="232"/>
      <c r="GL100" s="232"/>
      <c r="GM100" s="232"/>
      <c r="GN100" s="232"/>
      <c r="GO100" s="232"/>
      <c r="GP100" s="232"/>
      <c r="GQ100" s="232"/>
      <c r="GR100" s="232"/>
      <c r="GS100" s="232"/>
      <c r="GT100" s="232"/>
      <c r="GU100" s="232"/>
      <c r="GV100" s="232"/>
      <c r="GW100" s="232"/>
      <c r="GX100" s="232"/>
      <c r="GY100" s="232"/>
      <c r="GZ100" s="232"/>
      <c r="HA100" s="232"/>
      <c r="HB100" s="232"/>
      <c r="HC100" s="232"/>
      <c r="HD100" s="232"/>
      <c r="HE100" s="232"/>
      <c r="HF100" s="232"/>
      <c r="HG100" s="232"/>
      <c r="HH100" s="232"/>
      <c r="HI100" s="232"/>
      <c r="HJ100" s="232"/>
      <c r="HK100" s="232"/>
      <c r="HL100" s="232"/>
      <c r="HM100" s="232"/>
      <c r="HN100" s="232"/>
      <c r="HO100" s="232"/>
      <c r="HP100" s="232"/>
      <c r="HQ100" s="232"/>
      <c r="HR100" s="232"/>
      <c r="HS100" s="232"/>
      <c r="HT100" s="232"/>
      <c r="HU100" s="232"/>
      <c r="HV100" s="232"/>
      <c r="HW100" s="232"/>
      <c r="HX100" s="232"/>
      <c r="HY100" s="232"/>
      <c r="HZ100" s="232"/>
      <c r="IA100" s="232"/>
      <c r="IB100" s="232"/>
      <c r="IC100" s="232"/>
    </row>
    <row r="101" spans="1:237" ht="14.1" customHeight="1">
      <c r="A101" s="232"/>
      <c r="B101" s="248"/>
      <c r="C101" s="248"/>
      <c r="D101" s="248"/>
      <c r="E101" s="248"/>
      <c r="F101" s="248"/>
      <c r="G101" s="248"/>
      <c r="H101" s="228"/>
      <c r="I101" s="228"/>
      <c r="K101" s="265"/>
      <c r="L101" s="899"/>
      <c r="M101" s="899"/>
      <c r="N101" s="899"/>
      <c r="O101" s="899"/>
      <c r="Q101" s="909"/>
      <c r="R101" s="899"/>
      <c r="S101" s="899"/>
      <c r="T101" s="899"/>
      <c r="U101" s="899"/>
      <c r="V101" s="899"/>
      <c r="W101" s="899"/>
      <c r="X101" s="899"/>
      <c r="Y101" s="899"/>
      <c r="Z101" s="899"/>
      <c r="AA101" s="899"/>
      <c r="AB101" s="899"/>
      <c r="AC101" s="899"/>
      <c r="AD101" s="899"/>
      <c r="AE101" s="899"/>
      <c r="AF101" s="899"/>
      <c r="AG101" s="899"/>
      <c r="AH101" s="899"/>
      <c r="AI101" s="899"/>
      <c r="AJ101" s="899"/>
      <c r="AK101" s="899"/>
      <c r="AL101" s="899"/>
      <c r="AM101" s="232"/>
      <c r="AN101" s="232"/>
      <c r="AO101" s="232"/>
      <c r="AP101" s="232"/>
      <c r="AQ101" s="232"/>
      <c r="AR101" s="232"/>
      <c r="AS101" s="232"/>
      <c r="AT101" s="232"/>
      <c r="AU101" s="232"/>
      <c r="AV101" s="232"/>
      <c r="AW101" s="232"/>
      <c r="AX101" s="232"/>
      <c r="AY101" s="232"/>
      <c r="AZ101" s="232"/>
      <c r="BA101" s="232"/>
      <c r="BB101" s="232"/>
      <c r="BC101" s="232"/>
      <c r="BD101" s="232"/>
      <c r="BE101" s="232"/>
      <c r="BF101" s="232"/>
      <c r="BG101" s="232"/>
      <c r="BH101" s="232"/>
      <c r="BI101" s="232"/>
      <c r="BJ101" s="232"/>
      <c r="BK101" s="232"/>
      <c r="BL101" s="232"/>
      <c r="BM101" s="232"/>
      <c r="BN101" s="232"/>
      <c r="BO101" s="232"/>
      <c r="BP101" s="232"/>
      <c r="BQ101" s="232"/>
      <c r="BR101" s="232"/>
      <c r="BS101" s="232"/>
      <c r="BT101" s="232"/>
      <c r="BU101" s="232"/>
      <c r="BV101" s="232"/>
      <c r="BW101" s="232"/>
      <c r="BX101" s="232"/>
      <c r="BY101" s="232"/>
      <c r="BZ101" s="232"/>
      <c r="CA101" s="232"/>
      <c r="CB101" s="232"/>
      <c r="CC101" s="232"/>
      <c r="CD101" s="232"/>
      <c r="CE101" s="232"/>
      <c r="CF101" s="232"/>
      <c r="CG101" s="232"/>
      <c r="CH101" s="232"/>
      <c r="CI101" s="232"/>
      <c r="CJ101" s="232"/>
      <c r="CK101" s="232"/>
      <c r="CL101" s="232"/>
      <c r="CM101" s="232"/>
      <c r="CN101" s="232"/>
      <c r="CO101" s="232"/>
      <c r="CP101" s="232"/>
      <c r="CQ101" s="232"/>
      <c r="CR101" s="232"/>
      <c r="CS101" s="232"/>
      <c r="CT101" s="232"/>
      <c r="CU101" s="232"/>
      <c r="CV101" s="232"/>
      <c r="CW101" s="232"/>
      <c r="CX101" s="232"/>
      <c r="CY101" s="232"/>
      <c r="CZ101" s="232"/>
      <c r="DA101" s="232"/>
      <c r="DB101" s="232"/>
      <c r="DC101" s="232"/>
      <c r="DD101" s="232"/>
      <c r="DE101" s="232"/>
      <c r="DF101" s="232"/>
      <c r="DG101" s="232"/>
      <c r="DH101" s="232"/>
      <c r="DI101" s="232"/>
      <c r="DJ101" s="232"/>
      <c r="DK101" s="232"/>
      <c r="DL101" s="232"/>
      <c r="DM101" s="232"/>
      <c r="DN101" s="232"/>
      <c r="DO101" s="232"/>
      <c r="DP101" s="232"/>
      <c r="DQ101" s="232"/>
      <c r="DR101" s="232"/>
      <c r="DS101" s="232"/>
      <c r="DT101" s="232"/>
      <c r="DU101" s="232"/>
      <c r="DV101" s="232"/>
      <c r="DW101" s="232"/>
      <c r="DX101" s="232"/>
      <c r="DY101" s="232"/>
      <c r="DZ101" s="232"/>
      <c r="EA101" s="232"/>
      <c r="EB101" s="232"/>
      <c r="EC101" s="232"/>
      <c r="ED101" s="232"/>
      <c r="EE101" s="232"/>
      <c r="EF101" s="232"/>
      <c r="EG101" s="232"/>
      <c r="EH101" s="232"/>
      <c r="EI101" s="232"/>
      <c r="EJ101" s="232"/>
      <c r="EK101" s="232"/>
      <c r="EL101" s="232"/>
      <c r="EM101" s="232"/>
      <c r="EN101" s="232"/>
      <c r="EO101" s="232"/>
      <c r="EP101" s="232"/>
      <c r="EQ101" s="232"/>
      <c r="ER101" s="232"/>
      <c r="ES101" s="232"/>
      <c r="ET101" s="232"/>
      <c r="EU101" s="232"/>
      <c r="EV101" s="232"/>
      <c r="EW101" s="232"/>
      <c r="EX101" s="232"/>
      <c r="EY101" s="232"/>
      <c r="EZ101" s="232"/>
      <c r="FA101" s="232"/>
      <c r="FB101" s="232"/>
      <c r="FC101" s="232"/>
      <c r="FD101" s="232"/>
      <c r="FE101" s="232"/>
      <c r="FF101" s="232"/>
      <c r="FG101" s="232"/>
      <c r="FH101" s="232"/>
      <c r="FI101" s="232"/>
      <c r="FJ101" s="232"/>
      <c r="FK101" s="232"/>
      <c r="FL101" s="232"/>
      <c r="FM101" s="232"/>
      <c r="FN101" s="232"/>
      <c r="FO101" s="232"/>
      <c r="FP101" s="232"/>
      <c r="FQ101" s="232"/>
      <c r="FR101" s="232"/>
      <c r="FS101" s="232"/>
      <c r="FT101" s="232"/>
      <c r="FU101" s="232"/>
      <c r="FV101" s="232"/>
      <c r="FW101" s="232"/>
      <c r="FX101" s="232"/>
      <c r="FY101" s="232"/>
      <c r="FZ101" s="232"/>
      <c r="GA101" s="232"/>
      <c r="GB101" s="232"/>
      <c r="GC101" s="232"/>
      <c r="GD101" s="232"/>
      <c r="GE101" s="232"/>
      <c r="GF101" s="232"/>
      <c r="GG101" s="232"/>
      <c r="GH101" s="232"/>
      <c r="GI101" s="232"/>
      <c r="GJ101" s="232"/>
      <c r="GK101" s="232"/>
      <c r="GL101" s="232"/>
      <c r="GM101" s="232"/>
      <c r="GN101" s="232"/>
      <c r="GO101" s="232"/>
      <c r="GP101" s="232"/>
      <c r="GQ101" s="232"/>
      <c r="GR101" s="232"/>
      <c r="GS101" s="232"/>
      <c r="GT101" s="232"/>
      <c r="GU101" s="232"/>
      <c r="GV101" s="232"/>
      <c r="GW101" s="232"/>
      <c r="GX101" s="232"/>
      <c r="GY101" s="232"/>
      <c r="GZ101" s="232"/>
      <c r="HA101" s="232"/>
      <c r="HB101" s="232"/>
      <c r="HC101" s="232"/>
      <c r="HD101" s="232"/>
      <c r="HE101" s="232"/>
      <c r="HF101" s="232"/>
      <c r="HG101" s="232"/>
      <c r="HH101" s="232"/>
      <c r="HI101" s="232"/>
      <c r="HJ101" s="232"/>
      <c r="HK101" s="232"/>
      <c r="HL101" s="232"/>
      <c r="HM101" s="232"/>
      <c r="HN101" s="232"/>
      <c r="HO101" s="232"/>
      <c r="HP101" s="232"/>
      <c r="HQ101" s="232"/>
      <c r="HR101" s="232"/>
      <c r="HS101" s="232"/>
      <c r="HT101" s="232"/>
      <c r="HU101" s="232"/>
      <c r="HV101" s="232"/>
      <c r="HW101" s="232"/>
      <c r="HX101" s="232"/>
      <c r="HY101" s="232"/>
      <c r="HZ101" s="232"/>
      <c r="IA101" s="232"/>
      <c r="IB101" s="232"/>
      <c r="IC101" s="232"/>
    </row>
    <row r="102" spans="1:237" ht="14.1" customHeight="1">
      <c r="A102" s="232"/>
      <c r="B102" s="248"/>
      <c r="C102" s="248"/>
      <c r="D102" s="248"/>
      <c r="E102" s="248"/>
      <c r="F102" s="248"/>
      <c r="G102" s="248"/>
      <c r="H102" s="228"/>
      <c r="I102" s="228"/>
      <c r="K102" s="265"/>
      <c r="L102" s="899"/>
      <c r="M102" s="899"/>
      <c r="N102" s="899"/>
      <c r="O102" s="899"/>
      <c r="Q102" s="909"/>
      <c r="R102" s="899"/>
      <c r="S102" s="899"/>
      <c r="T102" s="899"/>
      <c r="U102" s="899"/>
      <c r="V102" s="899"/>
      <c r="W102" s="899"/>
      <c r="X102" s="899"/>
      <c r="Y102" s="899"/>
      <c r="Z102" s="899"/>
      <c r="AA102" s="899"/>
      <c r="AB102" s="899"/>
      <c r="AC102" s="899"/>
      <c r="AD102" s="899"/>
      <c r="AE102" s="899"/>
      <c r="AF102" s="899"/>
      <c r="AG102" s="899"/>
      <c r="AH102" s="899"/>
      <c r="AI102" s="899"/>
      <c r="AJ102" s="899"/>
      <c r="AK102" s="899"/>
      <c r="AL102" s="899"/>
      <c r="AM102" s="232"/>
      <c r="AN102" s="232"/>
      <c r="AO102" s="232"/>
      <c r="AP102" s="232"/>
      <c r="AQ102" s="232"/>
      <c r="AR102" s="232"/>
      <c r="AS102" s="232"/>
      <c r="AT102" s="232"/>
      <c r="AU102" s="232"/>
      <c r="AV102" s="232"/>
      <c r="AW102" s="232"/>
      <c r="AX102" s="232"/>
      <c r="AY102" s="232"/>
      <c r="AZ102" s="232"/>
      <c r="BA102" s="232"/>
      <c r="BB102" s="232"/>
      <c r="BC102" s="232"/>
      <c r="BD102" s="232"/>
      <c r="BE102" s="232"/>
      <c r="BF102" s="232"/>
      <c r="BG102" s="232"/>
      <c r="BH102" s="232"/>
      <c r="BI102" s="232"/>
      <c r="BJ102" s="232"/>
      <c r="BK102" s="232"/>
      <c r="BL102" s="232"/>
      <c r="BM102" s="232"/>
      <c r="BN102" s="232"/>
      <c r="BO102" s="232"/>
      <c r="BP102" s="232"/>
      <c r="BQ102" s="232"/>
      <c r="BR102" s="232"/>
      <c r="BS102" s="232"/>
      <c r="BT102" s="232"/>
      <c r="BU102" s="232"/>
      <c r="BV102" s="232"/>
      <c r="BW102" s="232"/>
      <c r="BX102" s="232"/>
      <c r="BY102" s="232"/>
      <c r="BZ102" s="232"/>
      <c r="CA102" s="232"/>
      <c r="CB102" s="232"/>
      <c r="CC102" s="232"/>
      <c r="CD102" s="232"/>
      <c r="CE102" s="232"/>
      <c r="CF102" s="232"/>
      <c r="CG102" s="232"/>
      <c r="CH102" s="232"/>
      <c r="CI102" s="232"/>
      <c r="CJ102" s="232"/>
      <c r="CK102" s="232"/>
      <c r="CL102" s="232"/>
      <c r="CM102" s="232"/>
      <c r="CN102" s="232"/>
      <c r="CO102" s="232"/>
      <c r="CP102" s="232"/>
      <c r="CQ102" s="232"/>
      <c r="CR102" s="232"/>
      <c r="CS102" s="232"/>
      <c r="CT102" s="232"/>
      <c r="CU102" s="232"/>
      <c r="CV102" s="232"/>
      <c r="CW102" s="232"/>
      <c r="CX102" s="232"/>
      <c r="CY102" s="232"/>
      <c r="CZ102" s="232"/>
      <c r="DA102" s="232"/>
      <c r="DB102" s="232"/>
      <c r="DC102" s="232"/>
      <c r="DD102" s="232"/>
      <c r="DE102" s="232"/>
      <c r="DF102" s="232"/>
      <c r="DG102" s="232"/>
      <c r="DH102" s="232"/>
      <c r="DI102" s="232"/>
      <c r="DJ102" s="232"/>
      <c r="DK102" s="232"/>
      <c r="DL102" s="232"/>
      <c r="DM102" s="232"/>
      <c r="DN102" s="232"/>
      <c r="DO102" s="232"/>
      <c r="DP102" s="232"/>
      <c r="DQ102" s="232"/>
      <c r="DR102" s="232"/>
      <c r="DS102" s="232"/>
      <c r="DT102" s="232"/>
      <c r="DU102" s="232"/>
      <c r="DV102" s="232"/>
      <c r="DW102" s="232"/>
      <c r="DX102" s="232"/>
      <c r="DY102" s="232"/>
      <c r="DZ102" s="232"/>
      <c r="EA102" s="232"/>
      <c r="EB102" s="232"/>
      <c r="EC102" s="232"/>
      <c r="ED102" s="232"/>
      <c r="EE102" s="232"/>
      <c r="EF102" s="232"/>
      <c r="EG102" s="232"/>
      <c r="EH102" s="232"/>
      <c r="EI102" s="232"/>
      <c r="EJ102" s="232"/>
      <c r="EK102" s="232"/>
      <c r="EL102" s="232"/>
      <c r="EM102" s="232"/>
      <c r="EN102" s="232"/>
      <c r="EO102" s="232"/>
      <c r="EP102" s="232"/>
      <c r="EQ102" s="232"/>
      <c r="ER102" s="232"/>
      <c r="ES102" s="232"/>
      <c r="ET102" s="232"/>
      <c r="EU102" s="232"/>
      <c r="EV102" s="232"/>
      <c r="EW102" s="232"/>
      <c r="EX102" s="232"/>
      <c r="EY102" s="232"/>
      <c r="EZ102" s="232"/>
      <c r="FA102" s="232"/>
      <c r="FB102" s="232"/>
      <c r="FC102" s="232"/>
      <c r="FD102" s="232"/>
      <c r="FE102" s="232"/>
      <c r="FF102" s="232"/>
      <c r="FG102" s="232"/>
      <c r="FH102" s="232"/>
      <c r="FI102" s="232"/>
      <c r="FJ102" s="232"/>
      <c r="FK102" s="232"/>
      <c r="FL102" s="232"/>
      <c r="FM102" s="232"/>
      <c r="FN102" s="232"/>
      <c r="FO102" s="232"/>
      <c r="FP102" s="232"/>
      <c r="FQ102" s="232"/>
      <c r="FR102" s="232"/>
      <c r="FS102" s="232"/>
      <c r="FT102" s="232"/>
      <c r="FU102" s="232"/>
      <c r="FV102" s="232"/>
      <c r="FW102" s="232"/>
      <c r="FX102" s="232"/>
      <c r="FY102" s="232"/>
      <c r="FZ102" s="232"/>
      <c r="GA102" s="232"/>
      <c r="GB102" s="232"/>
      <c r="GC102" s="232"/>
      <c r="GD102" s="232"/>
      <c r="GE102" s="232"/>
      <c r="GF102" s="232"/>
      <c r="GG102" s="232"/>
      <c r="GH102" s="232"/>
      <c r="GI102" s="232"/>
      <c r="GJ102" s="232"/>
      <c r="GK102" s="232"/>
      <c r="GL102" s="232"/>
      <c r="GM102" s="232"/>
      <c r="GN102" s="232"/>
      <c r="GO102" s="232"/>
      <c r="GP102" s="232"/>
      <c r="GQ102" s="232"/>
      <c r="GR102" s="232"/>
      <c r="GS102" s="232"/>
      <c r="GT102" s="232"/>
      <c r="GU102" s="232"/>
      <c r="GV102" s="232"/>
      <c r="GW102" s="232"/>
      <c r="GX102" s="232"/>
      <c r="GY102" s="232"/>
      <c r="GZ102" s="232"/>
      <c r="HA102" s="232"/>
      <c r="HB102" s="232"/>
      <c r="HC102" s="232"/>
      <c r="HD102" s="232"/>
      <c r="HE102" s="232"/>
      <c r="HF102" s="232"/>
      <c r="HG102" s="232"/>
      <c r="HH102" s="232"/>
      <c r="HI102" s="232"/>
      <c r="HJ102" s="232"/>
      <c r="HK102" s="232"/>
      <c r="HL102" s="232"/>
      <c r="HM102" s="232"/>
      <c r="HN102" s="232"/>
      <c r="HO102" s="232"/>
      <c r="HP102" s="232"/>
      <c r="HQ102" s="232"/>
      <c r="HR102" s="232"/>
      <c r="HS102" s="232"/>
      <c r="HT102" s="232"/>
      <c r="HU102" s="232"/>
      <c r="HV102" s="232"/>
      <c r="HW102" s="232"/>
      <c r="HX102" s="232"/>
      <c r="HY102" s="232"/>
      <c r="HZ102" s="232"/>
      <c r="IA102" s="232"/>
      <c r="IB102" s="232"/>
      <c r="IC102" s="232"/>
    </row>
    <row r="103" spans="1:237" ht="14.1" customHeight="1">
      <c r="A103" s="232"/>
      <c r="B103" s="248"/>
      <c r="C103" s="248"/>
      <c r="D103" s="248"/>
      <c r="E103" s="248"/>
      <c r="F103" s="248"/>
      <c r="G103" s="248"/>
      <c r="H103" s="228"/>
      <c r="I103" s="228"/>
      <c r="K103" s="265"/>
      <c r="L103" s="899"/>
      <c r="M103" s="899"/>
      <c r="N103" s="899"/>
      <c r="O103" s="899"/>
      <c r="Q103" s="909"/>
      <c r="R103" s="899"/>
      <c r="S103" s="899"/>
      <c r="T103" s="899"/>
      <c r="U103" s="899"/>
      <c r="V103" s="899"/>
      <c r="W103" s="899"/>
      <c r="X103" s="899"/>
      <c r="Y103" s="899"/>
      <c r="Z103" s="899"/>
      <c r="AA103" s="899"/>
      <c r="AB103" s="899"/>
      <c r="AC103" s="899"/>
      <c r="AD103" s="899"/>
      <c r="AE103" s="899"/>
      <c r="AF103" s="899"/>
      <c r="AG103" s="899"/>
      <c r="AH103" s="899"/>
      <c r="AI103" s="899"/>
      <c r="AJ103" s="899"/>
      <c r="AK103" s="899"/>
      <c r="AL103" s="899"/>
      <c r="AM103" s="232"/>
      <c r="AN103" s="232"/>
      <c r="AO103" s="232"/>
      <c r="AP103" s="232"/>
      <c r="AQ103" s="232"/>
      <c r="AR103" s="232"/>
      <c r="AS103" s="232"/>
      <c r="AT103" s="232"/>
      <c r="AU103" s="232"/>
      <c r="AV103" s="232"/>
      <c r="AW103" s="232"/>
      <c r="AX103" s="232"/>
      <c r="AY103" s="232"/>
      <c r="AZ103" s="232"/>
      <c r="BA103" s="232"/>
      <c r="BB103" s="232"/>
      <c r="BC103" s="232"/>
      <c r="BD103" s="232"/>
      <c r="BE103" s="232"/>
      <c r="BF103" s="232"/>
      <c r="BG103" s="232"/>
      <c r="BH103" s="232"/>
      <c r="BI103" s="232"/>
      <c r="BJ103" s="232"/>
      <c r="BK103" s="232"/>
      <c r="BL103" s="232"/>
      <c r="BM103" s="232"/>
      <c r="BN103" s="232"/>
      <c r="BO103" s="232"/>
      <c r="BP103" s="232"/>
      <c r="BQ103" s="232"/>
      <c r="BR103" s="232"/>
      <c r="BS103" s="232"/>
      <c r="BT103" s="232"/>
      <c r="BU103" s="232"/>
      <c r="BV103" s="232"/>
      <c r="BW103" s="232"/>
      <c r="BX103" s="232"/>
      <c r="BY103" s="232"/>
      <c r="BZ103" s="232"/>
      <c r="CA103" s="232"/>
      <c r="CB103" s="232"/>
      <c r="CC103" s="232"/>
      <c r="CD103" s="232"/>
      <c r="CE103" s="232"/>
      <c r="CF103" s="232"/>
      <c r="CG103" s="232"/>
      <c r="CH103" s="232"/>
      <c r="CI103" s="232"/>
      <c r="CJ103" s="232"/>
      <c r="CK103" s="232"/>
      <c r="CL103" s="232"/>
      <c r="CM103" s="232"/>
      <c r="CN103" s="232"/>
      <c r="CO103" s="232"/>
      <c r="CP103" s="232"/>
      <c r="CQ103" s="232"/>
      <c r="CR103" s="232"/>
      <c r="CS103" s="232"/>
      <c r="CT103" s="232"/>
      <c r="CU103" s="232"/>
      <c r="CV103" s="232"/>
      <c r="CW103" s="232"/>
      <c r="CX103" s="232"/>
      <c r="CY103" s="232"/>
      <c r="CZ103" s="232"/>
      <c r="DA103" s="232"/>
      <c r="DB103" s="232"/>
      <c r="DC103" s="232"/>
      <c r="DD103" s="232"/>
      <c r="DE103" s="232"/>
      <c r="DF103" s="232"/>
      <c r="DG103" s="232"/>
      <c r="DH103" s="232"/>
      <c r="DI103" s="232"/>
      <c r="DJ103" s="232"/>
      <c r="DK103" s="232"/>
      <c r="DL103" s="232"/>
      <c r="DM103" s="232"/>
      <c r="DN103" s="232"/>
      <c r="DO103" s="232"/>
      <c r="DP103" s="232"/>
      <c r="DQ103" s="232"/>
      <c r="DR103" s="232"/>
      <c r="DS103" s="232"/>
      <c r="DT103" s="232"/>
      <c r="DU103" s="232"/>
      <c r="DV103" s="232"/>
      <c r="DW103" s="232"/>
      <c r="DX103" s="232"/>
      <c r="DY103" s="232"/>
      <c r="DZ103" s="232"/>
      <c r="EA103" s="232"/>
      <c r="EB103" s="232"/>
      <c r="EC103" s="232"/>
      <c r="ED103" s="232"/>
      <c r="EE103" s="232"/>
      <c r="EF103" s="232"/>
      <c r="EG103" s="232"/>
      <c r="EH103" s="232"/>
      <c r="EI103" s="232"/>
      <c r="EJ103" s="232"/>
      <c r="EK103" s="232"/>
      <c r="EL103" s="232"/>
      <c r="EM103" s="232"/>
      <c r="EN103" s="232"/>
      <c r="EO103" s="232"/>
      <c r="EP103" s="232"/>
      <c r="EQ103" s="232"/>
      <c r="ER103" s="232"/>
      <c r="ES103" s="232"/>
      <c r="ET103" s="232"/>
      <c r="EU103" s="232"/>
      <c r="EV103" s="232"/>
      <c r="EW103" s="232"/>
      <c r="EX103" s="232"/>
      <c r="EY103" s="232"/>
      <c r="EZ103" s="232"/>
      <c r="FA103" s="232"/>
      <c r="FB103" s="232"/>
      <c r="FC103" s="232"/>
      <c r="FD103" s="232"/>
      <c r="FE103" s="232"/>
      <c r="FF103" s="232"/>
      <c r="FG103" s="232"/>
      <c r="FH103" s="232"/>
      <c r="FI103" s="232"/>
      <c r="FJ103" s="232"/>
      <c r="FK103" s="232"/>
      <c r="FL103" s="232"/>
      <c r="FM103" s="232"/>
      <c r="FN103" s="232"/>
      <c r="FO103" s="232"/>
      <c r="FP103" s="232"/>
      <c r="FQ103" s="232"/>
      <c r="FR103" s="232"/>
      <c r="FS103" s="232"/>
      <c r="FT103" s="232"/>
      <c r="FU103" s="232"/>
      <c r="FV103" s="232"/>
      <c r="FW103" s="232"/>
      <c r="FX103" s="232"/>
      <c r="FY103" s="232"/>
      <c r="FZ103" s="232"/>
      <c r="GA103" s="232"/>
      <c r="GB103" s="232"/>
      <c r="GC103" s="232"/>
      <c r="GD103" s="232"/>
      <c r="GE103" s="232"/>
      <c r="GF103" s="232"/>
      <c r="GG103" s="232"/>
      <c r="GH103" s="232"/>
      <c r="GI103" s="232"/>
      <c r="GJ103" s="232"/>
      <c r="GK103" s="232"/>
      <c r="GL103" s="232"/>
      <c r="GM103" s="232"/>
      <c r="GN103" s="232"/>
      <c r="GO103" s="232"/>
      <c r="GP103" s="232"/>
      <c r="GQ103" s="232"/>
      <c r="GR103" s="232"/>
      <c r="GS103" s="232"/>
      <c r="GT103" s="232"/>
      <c r="GU103" s="232"/>
      <c r="GV103" s="232"/>
      <c r="GW103" s="232"/>
      <c r="GX103" s="232"/>
      <c r="GY103" s="232"/>
      <c r="GZ103" s="232"/>
      <c r="HA103" s="232"/>
      <c r="HB103" s="232"/>
      <c r="HC103" s="232"/>
      <c r="HD103" s="232"/>
      <c r="HE103" s="232"/>
      <c r="HF103" s="232"/>
      <c r="HG103" s="232"/>
      <c r="HH103" s="232"/>
      <c r="HI103" s="232"/>
      <c r="HJ103" s="232"/>
      <c r="HK103" s="232"/>
      <c r="HL103" s="232"/>
      <c r="HM103" s="232"/>
      <c r="HN103" s="232"/>
      <c r="HO103" s="232"/>
      <c r="HP103" s="232"/>
      <c r="HQ103" s="232"/>
      <c r="HR103" s="232"/>
      <c r="HS103" s="232"/>
      <c r="HT103" s="232"/>
      <c r="HU103" s="232"/>
      <c r="HV103" s="232"/>
      <c r="HW103" s="232"/>
      <c r="HX103" s="232"/>
      <c r="HY103" s="232"/>
      <c r="HZ103" s="232"/>
      <c r="IA103" s="232"/>
      <c r="IB103" s="232"/>
      <c r="IC103" s="232"/>
    </row>
    <row r="104" spans="1:237" ht="14.1" customHeight="1">
      <c r="A104" s="232"/>
      <c r="B104" s="248"/>
      <c r="C104" s="248"/>
      <c r="D104" s="248"/>
      <c r="E104" s="248"/>
      <c r="F104" s="248"/>
      <c r="G104" s="248"/>
      <c r="H104" s="228"/>
      <c r="I104" s="228"/>
      <c r="K104" s="265"/>
      <c r="L104" s="899"/>
      <c r="M104" s="899"/>
      <c r="N104" s="899"/>
      <c r="O104" s="899"/>
      <c r="Q104" s="909"/>
      <c r="R104" s="899"/>
      <c r="S104" s="899"/>
      <c r="T104" s="899"/>
      <c r="U104" s="899"/>
      <c r="V104" s="899"/>
      <c r="W104" s="899"/>
      <c r="X104" s="899"/>
      <c r="Y104" s="899"/>
      <c r="Z104" s="899"/>
      <c r="AA104" s="899"/>
      <c r="AB104" s="899"/>
      <c r="AC104" s="899"/>
      <c r="AD104" s="899"/>
      <c r="AE104" s="899"/>
      <c r="AF104" s="899"/>
      <c r="AG104" s="899"/>
      <c r="AH104" s="899"/>
      <c r="AI104" s="899"/>
      <c r="AJ104" s="899"/>
      <c r="AK104" s="899"/>
      <c r="AL104" s="899"/>
      <c r="AM104" s="232"/>
      <c r="AN104" s="232"/>
      <c r="AO104" s="232"/>
      <c r="AP104" s="232"/>
      <c r="AQ104" s="232"/>
      <c r="AR104" s="232"/>
      <c r="AS104" s="232"/>
      <c r="AT104" s="232"/>
      <c r="AU104" s="232"/>
      <c r="AV104" s="232"/>
      <c r="AW104" s="232"/>
      <c r="AX104" s="232"/>
      <c r="AY104" s="232"/>
      <c r="AZ104" s="232"/>
      <c r="BA104" s="232"/>
      <c r="BB104" s="232"/>
      <c r="BC104" s="232"/>
      <c r="BD104" s="232"/>
      <c r="BE104" s="232"/>
      <c r="BF104" s="232"/>
      <c r="BG104" s="232"/>
      <c r="BH104" s="232"/>
      <c r="BI104" s="232"/>
      <c r="BJ104" s="232"/>
      <c r="BK104" s="232"/>
      <c r="BL104" s="232"/>
      <c r="BM104" s="232"/>
      <c r="BN104" s="232"/>
      <c r="BO104" s="232"/>
      <c r="BP104" s="232"/>
      <c r="BQ104" s="232"/>
      <c r="BR104" s="232"/>
      <c r="BS104" s="232"/>
      <c r="BT104" s="232"/>
      <c r="BU104" s="232"/>
      <c r="BV104" s="232"/>
      <c r="BW104" s="232"/>
      <c r="BX104" s="232"/>
      <c r="BY104" s="232"/>
      <c r="BZ104" s="232"/>
      <c r="CA104" s="232"/>
      <c r="CB104" s="232"/>
      <c r="CC104" s="232"/>
      <c r="CD104" s="232"/>
      <c r="CE104" s="232"/>
      <c r="CF104" s="232"/>
      <c r="CG104" s="232"/>
      <c r="CH104" s="232"/>
      <c r="CI104" s="232"/>
      <c r="CJ104" s="232"/>
      <c r="CK104" s="232"/>
      <c r="CL104" s="232"/>
      <c r="CM104" s="232"/>
      <c r="CN104" s="232"/>
      <c r="CO104" s="232"/>
      <c r="CP104" s="232"/>
      <c r="CQ104" s="232"/>
      <c r="CR104" s="232"/>
      <c r="CS104" s="232"/>
      <c r="CT104" s="232"/>
      <c r="CU104" s="232"/>
      <c r="CV104" s="232"/>
      <c r="CW104" s="232"/>
      <c r="CX104" s="232"/>
      <c r="CY104" s="232"/>
      <c r="CZ104" s="232"/>
      <c r="DA104" s="232"/>
      <c r="DB104" s="232"/>
      <c r="DC104" s="232"/>
      <c r="DD104" s="232"/>
      <c r="DE104" s="232"/>
      <c r="DF104" s="232"/>
      <c r="DG104" s="232"/>
      <c r="DH104" s="232"/>
      <c r="DI104" s="232"/>
      <c r="DJ104" s="232"/>
      <c r="DK104" s="232"/>
      <c r="DL104" s="232"/>
      <c r="DM104" s="232"/>
      <c r="DN104" s="232"/>
      <c r="DO104" s="232"/>
      <c r="DP104" s="232"/>
      <c r="DQ104" s="232"/>
      <c r="DR104" s="232"/>
      <c r="DS104" s="232"/>
      <c r="DT104" s="232"/>
      <c r="DU104" s="232"/>
      <c r="DV104" s="232"/>
      <c r="DW104" s="232"/>
      <c r="DX104" s="232"/>
      <c r="DY104" s="232"/>
      <c r="DZ104" s="232"/>
      <c r="EA104" s="232"/>
      <c r="EB104" s="232"/>
      <c r="EC104" s="232"/>
      <c r="ED104" s="232"/>
      <c r="EE104" s="232"/>
      <c r="EF104" s="232"/>
      <c r="EG104" s="232"/>
      <c r="EH104" s="232"/>
      <c r="EI104" s="232"/>
      <c r="EJ104" s="232"/>
      <c r="EK104" s="232"/>
      <c r="EL104" s="232"/>
      <c r="EM104" s="232"/>
      <c r="EN104" s="232"/>
      <c r="EO104" s="232"/>
      <c r="EP104" s="232"/>
      <c r="EQ104" s="232"/>
      <c r="ER104" s="232"/>
      <c r="ES104" s="232"/>
      <c r="ET104" s="232"/>
      <c r="EU104" s="232"/>
      <c r="EV104" s="232"/>
      <c r="EW104" s="232"/>
      <c r="EX104" s="232"/>
      <c r="EY104" s="232"/>
      <c r="EZ104" s="232"/>
      <c r="FA104" s="232"/>
      <c r="FB104" s="232"/>
      <c r="FC104" s="232"/>
      <c r="FD104" s="232"/>
      <c r="FE104" s="232"/>
      <c r="FF104" s="232"/>
      <c r="FG104" s="232"/>
      <c r="FH104" s="232"/>
      <c r="FI104" s="232"/>
      <c r="FJ104" s="232"/>
      <c r="FK104" s="232"/>
      <c r="FL104" s="232"/>
      <c r="FM104" s="232"/>
      <c r="FN104" s="232"/>
      <c r="FO104" s="232"/>
      <c r="FP104" s="232"/>
      <c r="FQ104" s="232"/>
      <c r="FR104" s="232"/>
      <c r="FS104" s="232"/>
      <c r="FT104" s="232"/>
      <c r="FU104" s="232"/>
      <c r="FV104" s="232"/>
      <c r="FW104" s="232"/>
      <c r="FX104" s="232"/>
      <c r="FY104" s="232"/>
      <c r="FZ104" s="232"/>
      <c r="GA104" s="232"/>
      <c r="GB104" s="232"/>
      <c r="GC104" s="232"/>
      <c r="GD104" s="232"/>
      <c r="GE104" s="232"/>
      <c r="GF104" s="232"/>
      <c r="GG104" s="232"/>
      <c r="GH104" s="232"/>
      <c r="GI104" s="232"/>
      <c r="GJ104" s="232"/>
      <c r="GK104" s="232"/>
      <c r="GL104" s="232"/>
      <c r="GM104" s="232"/>
      <c r="GN104" s="232"/>
      <c r="GO104" s="232"/>
      <c r="GP104" s="232"/>
      <c r="GQ104" s="232"/>
      <c r="GR104" s="232"/>
      <c r="GS104" s="232"/>
      <c r="GT104" s="232"/>
      <c r="GU104" s="232"/>
      <c r="GV104" s="232"/>
      <c r="GW104" s="232"/>
      <c r="GX104" s="232"/>
      <c r="GY104" s="232"/>
      <c r="GZ104" s="232"/>
      <c r="HA104" s="232"/>
      <c r="HB104" s="232"/>
      <c r="HC104" s="232"/>
      <c r="HD104" s="232"/>
      <c r="HE104" s="232"/>
      <c r="HF104" s="232"/>
      <c r="HG104" s="232"/>
      <c r="HH104" s="232"/>
      <c r="HI104" s="232"/>
      <c r="HJ104" s="232"/>
      <c r="HK104" s="232"/>
      <c r="HL104" s="232"/>
      <c r="HM104" s="232"/>
      <c r="HN104" s="232"/>
      <c r="HO104" s="232"/>
      <c r="HP104" s="232"/>
      <c r="HQ104" s="232"/>
      <c r="HR104" s="232"/>
      <c r="HS104" s="232"/>
      <c r="HT104" s="232"/>
      <c r="HU104" s="232"/>
      <c r="HV104" s="232"/>
      <c r="HW104" s="232"/>
      <c r="HX104" s="232"/>
      <c r="HY104" s="232"/>
      <c r="HZ104" s="232"/>
      <c r="IA104" s="232"/>
      <c r="IB104" s="232"/>
      <c r="IC104" s="232"/>
    </row>
    <row r="105" spans="1:237" ht="14.1" customHeight="1">
      <c r="A105" s="232"/>
      <c r="B105" s="248"/>
      <c r="C105" s="248"/>
      <c r="D105" s="248"/>
      <c r="E105" s="248"/>
      <c r="F105" s="248"/>
      <c r="G105" s="248"/>
      <c r="H105" s="228"/>
      <c r="I105" s="228"/>
      <c r="K105" s="265"/>
      <c r="L105" s="899"/>
      <c r="M105" s="899"/>
      <c r="N105" s="899"/>
      <c r="O105" s="899"/>
      <c r="Q105" s="909"/>
      <c r="R105" s="899"/>
      <c r="S105" s="899"/>
      <c r="T105" s="899"/>
      <c r="U105" s="899"/>
      <c r="V105" s="899"/>
      <c r="W105" s="899"/>
      <c r="X105" s="899"/>
      <c r="Y105" s="899"/>
      <c r="Z105" s="899"/>
      <c r="AA105" s="899"/>
      <c r="AB105" s="899"/>
      <c r="AC105" s="899"/>
      <c r="AD105" s="899"/>
      <c r="AE105" s="899"/>
      <c r="AF105" s="899"/>
      <c r="AG105" s="899"/>
      <c r="AH105" s="899"/>
      <c r="AI105" s="899"/>
      <c r="AJ105" s="899"/>
      <c r="AK105" s="899"/>
      <c r="AL105" s="899"/>
      <c r="AM105" s="232"/>
      <c r="AN105" s="232"/>
      <c r="AO105" s="232"/>
      <c r="AP105" s="232"/>
      <c r="AQ105" s="232"/>
      <c r="AR105" s="232"/>
      <c r="AS105" s="232"/>
      <c r="AT105" s="232"/>
      <c r="AU105" s="232"/>
      <c r="AV105" s="232"/>
      <c r="AW105" s="232"/>
      <c r="AX105" s="232"/>
      <c r="AY105" s="232"/>
      <c r="AZ105" s="232"/>
      <c r="BA105" s="232"/>
      <c r="BB105" s="232"/>
      <c r="BC105" s="232"/>
      <c r="BD105" s="232"/>
      <c r="BE105" s="232"/>
      <c r="BF105" s="232"/>
      <c r="BG105" s="232"/>
      <c r="BH105" s="232"/>
      <c r="BI105" s="232"/>
      <c r="BJ105" s="232"/>
      <c r="BK105" s="232"/>
      <c r="BL105" s="232"/>
      <c r="BM105" s="232"/>
      <c r="BN105" s="232"/>
      <c r="BO105" s="232"/>
      <c r="BP105" s="232"/>
      <c r="BQ105" s="232"/>
      <c r="BR105" s="232"/>
      <c r="BS105" s="232"/>
      <c r="BT105" s="232"/>
      <c r="BU105" s="232"/>
      <c r="BV105" s="232"/>
      <c r="BW105" s="232"/>
      <c r="BX105" s="232"/>
      <c r="BY105" s="232"/>
      <c r="BZ105" s="232"/>
      <c r="CA105" s="232"/>
      <c r="CB105" s="232"/>
      <c r="CC105" s="232"/>
      <c r="CD105" s="232"/>
      <c r="CE105" s="232"/>
      <c r="CF105" s="232"/>
      <c r="CG105" s="232"/>
      <c r="CH105" s="232"/>
      <c r="CI105" s="232"/>
      <c r="CJ105" s="232"/>
      <c r="CK105" s="232"/>
      <c r="CL105" s="232"/>
      <c r="CM105" s="232"/>
      <c r="CN105" s="232"/>
      <c r="CO105" s="232"/>
      <c r="CP105" s="232"/>
      <c r="CQ105" s="232"/>
      <c r="CR105" s="232"/>
      <c r="CS105" s="232"/>
      <c r="CT105" s="232"/>
      <c r="CU105" s="232"/>
      <c r="CV105" s="232"/>
      <c r="CW105" s="232"/>
      <c r="CX105" s="232"/>
      <c r="CY105" s="232"/>
      <c r="CZ105" s="232"/>
      <c r="DA105" s="232"/>
      <c r="DB105" s="232"/>
      <c r="DC105" s="232"/>
      <c r="DD105" s="232"/>
      <c r="DE105" s="232"/>
      <c r="DF105" s="232"/>
      <c r="DG105" s="232"/>
      <c r="DH105" s="232"/>
      <c r="DI105" s="232"/>
      <c r="DJ105" s="232"/>
      <c r="DK105" s="232"/>
      <c r="DL105" s="232"/>
      <c r="DM105" s="232"/>
      <c r="DN105" s="232"/>
      <c r="DO105" s="232"/>
      <c r="DP105" s="232"/>
      <c r="DQ105" s="232"/>
      <c r="DR105" s="232"/>
      <c r="DS105" s="232"/>
      <c r="DT105" s="232"/>
      <c r="DU105" s="232"/>
      <c r="DV105" s="232"/>
      <c r="DW105" s="232"/>
      <c r="DX105" s="232"/>
      <c r="DY105" s="232"/>
      <c r="DZ105" s="232"/>
      <c r="EA105" s="232"/>
      <c r="EB105" s="232"/>
      <c r="EC105" s="232"/>
      <c r="ED105" s="232"/>
      <c r="EE105" s="232"/>
      <c r="EF105" s="232"/>
      <c r="EG105" s="232"/>
      <c r="EH105" s="232"/>
      <c r="EI105" s="232"/>
      <c r="EJ105" s="232"/>
      <c r="EK105" s="232"/>
      <c r="EL105" s="232"/>
      <c r="EM105" s="232"/>
      <c r="EN105" s="232"/>
      <c r="EO105" s="232"/>
      <c r="EP105" s="232"/>
      <c r="EQ105" s="232"/>
      <c r="ER105" s="232"/>
      <c r="ES105" s="232"/>
      <c r="ET105" s="232"/>
      <c r="EU105" s="232"/>
      <c r="EV105" s="232"/>
      <c r="EW105" s="232"/>
      <c r="EX105" s="232"/>
      <c r="EY105" s="232"/>
      <c r="EZ105" s="232"/>
      <c r="FA105" s="232"/>
      <c r="FB105" s="232"/>
      <c r="FC105" s="232"/>
      <c r="FD105" s="232"/>
      <c r="FE105" s="232"/>
      <c r="FF105" s="232"/>
      <c r="FG105" s="232"/>
      <c r="FH105" s="232"/>
      <c r="FI105" s="232"/>
      <c r="FJ105" s="232"/>
      <c r="FK105" s="232"/>
      <c r="FL105" s="232"/>
      <c r="FM105" s="232"/>
      <c r="FN105" s="232"/>
      <c r="FO105" s="232"/>
      <c r="FP105" s="232"/>
      <c r="FQ105" s="232"/>
      <c r="FR105" s="232"/>
      <c r="FS105" s="232"/>
      <c r="FT105" s="232"/>
      <c r="FU105" s="232"/>
      <c r="FV105" s="232"/>
      <c r="FW105" s="232"/>
      <c r="FX105" s="232"/>
      <c r="FY105" s="232"/>
      <c r="FZ105" s="232"/>
      <c r="GA105" s="232"/>
      <c r="GB105" s="232"/>
      <c r="GC105" s="232"/>
      <c r="GD105" s="232"/>
      <c r="GE105" s="232"/>
      <c r="GF105" s="232"/>
      <c r="GG105" s="232"/>
      <c r="GH105" s="232"/>
      <c r="GI105" s="232"/>
      <c r="GJ105" s="232"/>
      <c r="GK105" s="232"/>
      <c r="GL105" s="232"/>
      <c r="GM105" s="232"/>
      <c r="GN105" s="232"/>
      <c r="GO105" s="232"/>
      <c r="GP105" s="232"/>
      <c r="GQ105" s="232"/>
      <c r="GR105" s="232"/>
      <c r="GS105" s="232"/>
      <c r="GT105" s="232"/>
      <c r="GU105" s="232"/>
      <c r="GV105" s="232"/>
      <c r="GW105" s="232"/>
      <c r="GX105" s="232"/>
      <c r="GY105" s="232"/>
      <c r="GZ105" s="232"/>
      <c r="HA105" s="232"/>
      <c r="HB105" s="232"/>
      <c r="HC105" s="232"/>
      <c r="HD105" s="232"/>
      <c r="HE105" s="232"/>
      <c r="HF105" s="232"/>
      <c r="HG105" s="232"/>
      <c r="HH105" s="232"/>
      <c r="HI105" s="232"/>
      <c r="HJ105" s="232"/>
      <c r="HK105" s="232"/>
      <c r="HL105" s="232"/>
      <c r="HM105" s="232"/>
      <c r="HN105" s="232"/>
      <c r="HO105" s="232"/>
      <c r="HP105" s="232"/>
      <c r="HQ105" s="232"/>
      <c r="HR105" s="232"/>
      <c r="HS105" s="232"/>
      <c r="HT105" s="232"/>
      <c r="HU105" s="232"/>
      <c r="HV105" s="232"/>
      <c r="HW105" s="232"/>
      <c r="HX105" s="232"/>
      <c r="HY105" s="232"/>
      <c r="HZ105" s="232"/>
      <c r="IA105" s="232"/>
      <c r="IB105" s="232"/>
      <c r="IC105" s="232"/>
    </row>
    <row r="106" spans="1:237" ht="14.1" customHeight="1">
      <c r="A106" s="232"/>
      <c r="B106" s="248"/>
      <c r="C106" s="248"/>
      <c r="D106" s="248"/>
      <c r="E106" s="248"/>
      <c r="F106" s="248"/>
      <c r="G106" s="248"/>
      <c r="H106" s="228"/>
      <c r="I106" s="228"/>
      <c r="K106" s="265"/>
      <c r="L106" s="899"/>
      <c r="M106" s="899"/>
      <c r="N106" s="899"/>
      <c r="O106" s="899"/>
      <c r="Q106" s="909"/>
      <c r="R106" s="899"/>
      <c r="S106" s="899"/>
      <c r="T106" s="899"/>
      <c r="U106" s="899"/>
      <c r="V106" s="899"/>
      <c r="W106" s="899"/>
      <c r="X106" s="899"/>
      <c r="Y106" s="899"/>
      <c r="Z106" s="899"/>
      <c r="AA106" s="899"/>
      <c r="AB106" s="899"/>
      <c r="AC106" s="899"/>
      <c r="AD106" s="899"/>
      <c r="AE106" s="899"/>
      <c r="AF106" s="899"/>
      <c r="AG106" s="899"/>
      <c r="AH106" s="899"/>
      <c r="AI106" s="899"/>
      <c r="AJ106" s="899"/>
      <c r="AK106" s="899"/>
      <c r="AL106" s="899"/>
      <c r="AM106" s="232"/>
      <c r="AN106" s="232"/>
      <c r="AO106" s="232"/>
      <c r="AP106" s="232"/>
      <c r="AQ106" s="232"/>
      <c r="AR106" s="232"/>
      <c r="AS106" s="232"/>
      <c r="AT106" s="232"/>
      <c r="AU106" s="232"/>
      <c r="AV106" s="232"/>
      <c r="AW106" s="232"/>
      <c r="AX106" s="232"/>
      <c r="AY106" s="232"/>
      <c r="AZ106" s="232"/>
      <c r="BA106" s="232"/>
      <c r="BB106" s="232"/>
      <c r="BC106" s="232"/>
      <c r="BD106" s="232"/>
      <c r="BE106" s="232"/>
      <c r="BF106" s="232"/>
      <c r="BG106" s="232"/>
      <c r="BH106" s="232"/>
      <c r="BI106" s="232"/>
      <c r="BJ106" s="232"/>
      <c r="BK106" s="232"/>
      <c r="BL106" s="232"/>
      <c r="BM106" s="232"/>
      <c r="BN106" s="232"/>
      <c r="BO106" s="232"/>
      <c r="BP106" s="232"/>
      <c r="BQ106" s="232"/>
      <c r="BR106" s="232"/>
      <c r="BS106" s="232"/>
      <c r="BT106" s="232"/>
      <c r="BU106" s="232"/>
      <c r="BV106" s="232"/>
      <c r="BW106" s="232"/>
      <c r="BX106" s="232"/>
      <c r="BY106" s="232"/>
      <c r="BZ106" s="232"/>
      <c r="CA106" s="232"/>
      <c r="CB106" s="232"/>
      <c r="CC106" s="232"/>
      <c r="CD106" s="232"/>
      <c r="CE106" s="232"/>
      <c r="CF106" s="232"/>
      <c r="CG106" s="232"/>
      <c r="CH106" s="232"/>
      <c r="CI106" s="232"/>
      <c r="CJ106" s="232"/>
      <c r="CK106" s="232"/>
      <c r="CL106" s="232"/>
      <c r="CM106" s="232"/>
      <c r="CN106" s="232"/>
      <c r="CO106" s="232"/>
      <c r="CP106" s="232"/>
      <c r="CQ106" s="232"/>
      <c r="CR106" s="232"/>
      <c r="CS106" s="232"/>
      <c r="CT106" s="232"/>
      <c r="CU106" s="232"/>
      <c r="CV106" s="232"/>
      <c r="CW106" s="232"/>
      <c r="CX106" s="232"/>
      <c r="CY106" s="232"/>
      <c r="CZ106" s="232"/>
      <c r="DA106" s="232"/>
      <c r="DB106" s="232"/>
      <c r="DC106" s="232"/>
      <c r="DD106" s="232"/>
      <c r="DE106" s="232"/>
      <c r="DF106" s="232"/>
      <c r="DG106" s="232"/>
      <c r="DH106" s="232"/>
      <c r="DI106" s="232"/>
      <c r="DJ106" s="232"/>
      <c r="DK106" s="232"/>
      <c r="DL106" s="232"/>
      <c r="DM106" s="232"/>
      <c r="DN106" s="232"/>
      <c r="DO106" s="232"/>
      <c r="DP106" s="232"/>
      <c r="DQ106" s="232"/>
      <c r="DR106" s="232"/>
      <c r="DS106" s="232"/>
      <c r="DT106" s="232"/>
      <c r="DU106" s="232"/>
      <c r="DV106" s="232"/>
      <c r="DW106" s="232"/>
      <c r="DX106" s="232"/>
      <c r="DY106" s="232"/>
      <c r="DZ106" s="232"/>
      <c r="EA106" s="232"/>
      <c r="EB106" s="232"/>
      <c r="EC106" s="232"/>
      <c r="ED106" s="232"/>
      <c r="EE106" s="232"/>
      <c r="EF106" s="232"/>
      <c r="EG106" s="232"/>
      <c r="EH106" s="232"/>
      <c r="EI106" s="232"/>
      <c r="EJ106" s="232"/>
      <c r="EK106" s="232"/>
      <c r="EL106" s="232"/>
      <c r="EM106" s="232"/>
      <c r="EN106" s="232"/>
      <c r="EO106" s="232"/>
      <c r="EP106" s="232"/>
      <c r="EQ106" s="232"/>
      <c r="ER106" s="232"/>
      <c r="ES106" s="232"/>
      <c r="ET106" s="232"/>
      <c r="EU106" s="232"/>
      <c r="EV106" s="232"/>
      <c r="EW106" s="232"/>
      <c r="EX106" s="232"/>
      <c r="EY106" s="232"/>
      <c r="EZ106" s="232"/>
      <c r="FA106" s="232"/>
      <c r="FB106" s="232"/>
      <c r="FC106" s="232"/>
      <c r="FD106" s="232"/>
      <c r="FE106" s="232"/>
      <c r="FF106" s="232"/>
      <c r="FG106" s="232"/>
      <c r="FH106" s="232"/>
      <c r="FI106" s="232"/>
      <c r="FJ106" s="232"/>
      <c r="FK106" s="232"/>
      <c r="FL106" s="232"/>
      <c r="FM106" s="232"/>
      <c r="FN106" s="232"/>
      <c r="FO106" s="232"/>
      <c r="FP106" s="232"/>
      <c r="FQ106" s="232"/>
      <c r="FR106" s="232"/>
      <c r="FS106" s="232"/>
      <c r="FT106" s="232"/>
      <c r="FU106" s="232"/>
      <c r="FV106" s="232"/>
      <c r="FW106" s="232"/>
      <c r="FX106" s="232"/>
      <c r="FY106" s="232"/>
      <c r="FZ106" s="232"/>
      <c r="GA106" s="232"/>
      <c r="GB106" s="232"/>
      <c r="GC106" s="232"/>
      <c r="GD106" s="232"/>
      <c r="GE106" s="232"/>
      <c r="GF106" s="232"/>
      <c r="GG106" s="232"/>
      <c r="GH106" s="232"/>
      <c r="GI106" s="232"/>
      <c r="GJ106" s="232"/>
      <c r="GK106" s="232"/>
      <c r="GL106" s="232"/>
      <c r="GM106" s="232"/>
      <c r="GN106" s="232"/>
      <c r="GO106" s="232"/>
      <c r="GP106" s="232"/>
      <c r="GQ106" s="232"/>
      <c r="GR106" s="232"/>
      <c r="GS106" s="232"/>
      <c r="GT106" s="232"/>
      <c r="GU106" s="232"/>
      <c r="GV106" s="232"/>
      <c r="GW106" s="232"/>
      <c r="GX106" s="232"/>
      <c r="GY106" s="232"/>
      <c r="GZ106" s="232"/>
      <c r="HA106" s="232"/>
      <c r="HB106" s="232"/>
      <c r="HC106" s="232"/>
      <c r="HD106" s="232"/>
      <c r="HE106" s="232"/>
      <c r="HF106" s="232"/>
      <c r="HG106" s="232"/>
      <c r="HH106" s="232"/>
      <c r="HI106" s="232"/>
      <c r="HJ106" s="232"/>
      <c r="HK106" s="232"/>
      <c r="HL106" s="232"/>
      <c r="HM106" s="232"/>
      <c r="HN106" s="232"/>
      <c r="HO106" s="232"/>
      <c r="HP106" s="232"/>
      <c r="HQ106" s="232"/>
      <c r="HR106" s="232"/>
      <c r="HS106" s="232"/>
      <c r="HT106" s="232"/>
      <c r="HU106" s="232"/>
      <c r="HV106" s="232"/>
      <c r="HW106" s="232"/>
      <c r="HX106" s="232"/>
      <c r="HY106" s="232"/>
      <c r="HZ106" s="232"/>
      <c r="IA106" s="232"/>
      <c r="IB106" s="232"/>
      <c r="IC106" s="232"/>
    </row>
    <row r="107" spans="1:237" ht="14.1" customHeight="1">
      <c r="A107" s="232"/>
      <c r="B107" s="248"/>
      <c r="C107" s="248"/>
      <c r="D107" s="248"/>
      <c r="E107" s="248"/>
      <c r="F107" s="248"/>
      <c r="G107" s="248"/>
      <c r="H107" s="228"/>
      <c r="I107" s="228"/>
      <c r="K107" s="265"/>
      <c r="L107" s="899"/>
      <c r="M107" s="899"/>
      <c r="N107" s="899"/>
      <c r="O107" s="899"/>
      <c r="Q107" s="909"/>
      <c r="R107" s="899"/>
      <c r="S107" s="899"/>
      <c r="T107" s="899"/>
      <c r="U107" s="899"/>
      <c r="V107" s="899"/>
      <c r="W107" s="899"/>
      <c r="X107" s="899"/>
      <c r="Y107" s="899"/>
      <c r="Z107" s="899"/>
      <c r="AA107" s="899"/>
      <c r="AB107" s="899"/>
      <c r="AC107" s="899"/>
      <c r="AD107" s="899"/>
      <c r="AE107" s="899"/>
      <c r="AF107" s="899"/>
      <c r="AG107" s="899"/>
      <c r="AH107" s="899"/>
      <c r="AI107" s="899"/>
      <c r="AJ107" s="899"/>
      <c r="AK107" s="899"/>
      <c r="AL107" s="899"/>
      <c r="AM107" s="232"/>
      <c r="AN107" s="232"/>
      <c r="AO107" s="232"/>
      <c r="AP107" s="232"/>
      <c r="AQ107" s="232"/>
      <c r="AR107" s="232"/>
      <c r="AS107" s="232"/>
      <c r="AT107" s="232"/>
      <c r="AU107" s="232"/>
      <c r="AV107" s="232"/>
      <c r="AW107" s="232"/>
      <c r="AX107" s="232"/>
      <c r="AY107" s="232"/>
      <c r="AZ107" s="232"/>
      <c r="BA107" s="232"/>
      <c r="BB107" s="232"/>
      <c r="BC107" s="232"/>
      <c r="BD107" s="232"/>
      <c r="BE107" s="232"/>
      <c r="BF107" s="232"/>
      <c r="BG107" s="232"/>
      <c r="BH107" s="232"/>
      <c r="BI107" s="232"/>
      <c r="BJ107" s="232"/>
      <c r="BK107" s="232"/>
      <c r="BL107" s="232"/>
      <c r="BM107" s="232"/>
      <c r="BN107" s="232"/>
      <c r="BO107" s="232"/>
      <c r="BP107" s="232"/>
      <c r="BQ107" s="232"/>
      <c r="BR107" s="232"/>
      <c r="BS107" s="232"/>
      <c r="BT107" s="232"/>
      <c r="BU107" s="232"/>
      <c r="BV107" s="232"/>
      <c r="BW107" s="232"/>
      <c r="BX107" s="232"/>
      <c r="BY107" s="232"/>
      <c r="BZ107" s="232"/>
      <c r="CA107" s="232"/>
      <c r="CB107" s="232"/>
      <c r="CC107" s="232"/>
      <c r="CD107" s="232"/>
      <c r="CE107" s="232"/>
      <c r="CF107" s="232"/>
      <c r="CG107" s="232"/>
      <c r="CH107" s="232"/>
      <c r="CI107" s="232"/>
      <c r="CJ107" s="232"/>
      <c r="CK107" s="232"/>
      <c r="CL107" s="232"/>
      <c r="CM107" s="232"/>
      <c r="CN107" s="232"/>
      <c r="CO107" s="232"/>
      <c r="CP107" s="232"/>
      <c r="CQ107" s="232"/>
      <c r="CR107" s="232"/>
      <c r="CS107" s="232"/>
      <c r="CT107" s="232"/>
      <c r="CU107" s="232"/>
      <c r="CV107" s="232"/>
      <c r="CW107" s="232"/>
      <c r="CX107" s="232"/>
      <c r="CY107" s="232"/>
      <c r="CZ107" s="232"/>
      <c r="DA107" s="232"/>
      <c r="DB107" s="232"/>
      <c r="DC107" s="232"/>
      <c r="DD107" s="232"/>
      <c r="DE107" s="232"/>
      <c r="DF107" s="232"/>
      <c r="DG107" s="232"/>
      <c r="DH107" s="232"/>
      <c r="DI107" s="232"/>
      <c r="DJ107" s="232"/>
      <c r="DK107" s="232"/>
      <c r="DL107" s="232"/>
      <c r="DM107" s="232"/>
      <c r="DN107" s="232"/>
      <c r="DO107" s="232"/>
      <c r="DP107" s="232"/>
      <c r="DQ107" s="232"/>
      <c r="DR107" s="232"/>
      <c r="DS107" s="232"/>
      <c r="DT107" s="232"/>
      <c r="DU107" s="232"/>
      <c r="DV107" s="232"/>
      <c r="DW107" s="232"/>
      <c r="DX107" s="232"/>
      <c r="DY107" s="232"/>
      <c r="DZ107" s="232"/>
      <c r="EA107" s="232"/>
      <c r="EB107" s="232"/>
      <c r="EC107" s="232"/>
      <c r="ED107" s="232"/>
      <c r="EE107" s="232"/>
      <c r="EF107" s="232"/>
      <c r="EG107" s="232"/>
      <c r="EH107" s="232"/>
      <c r="EI107" s="232"/>
      <c r="EJ107" s="232"/>
      <c r="EK107" s="232"/>
      <c r="EL107" s="232"/>
      <c r="EM107" s="232"/>
      <c r="EN107" s="232"/>
      <c r="EO107" s="232"/>
      <c r="EP107" s="232"/>
      <c r="EQ107" s="232"/>
      <c r="ER107" s="232"/>
      <c r="ES107" s="232"/>
      <c r="ET107" s="232"/>
      <c r="EU107" s="232"/>
      <c r="EV107" s="232"/>
      <c r="EW107" s="232"/>
      <c r="EX107" s="232"/>
      <c r="EY107" s="232"/>
      <c r="EZ107" s="232"/>
      <c r="FA107" s="232"/>
      <c r="FB107" s="232"/>
      <c r="FC107" s="232"/>
      <c r="FD107" s="232"/>
      <c r="FE107" s="232"/>
      <c r="FF107" s="232"/>
      <c r="FG107" s="232"/>
      <c r="FH107" s="232"/>
      <c r="FI107" s="232"/>
      <c r="FJ107" s="232"/>
      <c r="FK107" s="232"/>
      <c r="FL107" s="232"/>
      <c r="FM107" s="232"/>
      <c r="FN107" s="232"/>
      <c r="FO107" s="232"/>
      <c r="FP107" s="232"/>
      <c r="FQ107" s="232"/>
      <c r="FR107" s="232"/>
      <c r="FS107" s="232"/>
      <c r="FT107" s="232"/>
      <c r="FU107" s="232"/>
      <c r="FV107" s="232"/>
      <c r="FW107" s="232"/>
      <c r="FX107" s="232"/>
      <c r="FY107" s="232"/>
      <c r="FZ107" s="232"/>
      <c r="GA107" s="232"/>
      <c r="GB107" s="232"/>
      <c r="GC107" s="232"/>
      <c r="GD107" s="232"/>
      <c r="GE107" s="232"/>
      <c r="GF107" s="232"/>
      <c r="GG107" s="232"/>
      <c r="GH107" s="232"/>
      <c r="GI107" s="232"/>
      <c r="GJ107" s="232"/>
      <c r="GK107" s="232"/>
      <c r="GL107" s="232"/>
      <c r="GM107" s="232"/>
      <c r="GN107" s="232"/>
      <c r="GO107" s="232"/>
      <c r="GP107" s="232"/>
      <c r="GQ107" s="232"/>
      <c r="GR107" s="232"/>
      <c r="GS107" s="232"/>
      <c r="GT107" s="232"/>
      <c r="GU107" s="232"/>
      <c r="GV107" s="232"/>
      <c r="GW107" s="232"/>
      <c r="GX107" s="232"/>
      <c r="GY107" s="232"/>
      <c r="GZ107" s="232"/>
      <c r="HA107" s="232"/>
      <c r="HB107" s="232"/>
      <c r="HC107" s="232"/>
      <c r="HD107" s="232"/>
      <c r="HE107" s="232"/>
      <c r="HF107" s="232"/>
      <c r="HG107" s="232"/>
      <c r="HH107" s="232"/>
      <c r="HI107" s="232"/>
      <c r="HJ107" s="232"/>
      <c r="HK107" s="232"/>
      <c r="HL107" s="232"/>
      <c r="HM107" s="232"/>
      <c r="HN107" s="232"/>
      <c r="HO107" s="232"/>
      <c r="HP107" s="232"/>
      <c r="HQ107" s="232"/>
      <c r="HR107" s="232"/>
      <c r="HS107" s="232"/>
      <c r="HT107" s="232"/>
      <c r="HU107" s="232"/>
      <c r="HV107" s="232"/>
      <c r="HW107" s="232"/>
      <c r="HX107" s="232"/>
      <c r="HY107" s="232"/>
      <c r="HZ107" s="232"/>
      <c r="IA107" s="232"/>
      <c r="IB107" s="232"/>
      <c r="IC107" s="232"/>
    </row>
    <row r="108" spans="1:237" ht="14.1" customHeight="1">
      <c r="A108" s="232"/>
      <c r="B108" s="248"/>
      <c r="C108" s="248"/>
      <c r="D108" s="248"/>
      <c r="E108" s="248"/>
      <c r="F108" s="248"/>
      <c r="G108" s="248"/>
      <c r="H108" s="228"/>
      <c r="I108" s="228"/>
      <c r="K108" s="265"/>
      <c r="L108" s="899"/>
      <c r="M108" s="899"/>
      <c r="N108" s="899"/>
      <c r="O108" s="899"/>
      <c r="Q108" s="909"/>
      <c r="R108" s="899"/>
      <c r="S108" s="899"/>
      <c r="T108" s="899"/>
      <c r="U108" s="899"/>
      <c r="V108" s="899"/>
      <c r="W108" s="899"/>
      <c r="X108" s="899"/>
      <c r="Y108" s="899"/>
      <c r="Z108" s="899"/>
      <c r="AA108" s="899"/>
      <c r="AB108" s="899"/>
      <c r="AC108" s="899"/>
      <c r="AD108" s="899"/>
      <c r="AE108" s="899"/>
      <c r="AF108" s="899"/>
      <c r="AG108" s="899"/>
      <c r="AH108" s="899"/>
      <c r="AI108" s="899"/>
      <c r="AJ108" s="899"/>
      <c r="AK108" s="899"/>
      <c r="AL108" s="899"/>
      <c r="AM108" s="232"/>
      <c r="AN108" s="232"/>
      <c r="AO108" s="232"/>
      <c r="AP108" s="232"/>
      <c r="AQ108" s="232"/>
      <c r="AR108" s="232"/>
      <c r="AS108" s="232"/>
      <c r="AT108" s="232"/>
      <c r="AU108" s="232"/>
      <c r="AV108" s="232"/>
      <c r="AW108" s="232"/>
      <c r="AX108" s="232"/>
      <c r="AY108" s="232"/>
      <c r="AZ108" s="232"/>
      <c r="BA108" s="232"/>
      <c r="BB108" s="232"/>
      <c r="BC108" s="232"/>
      <c r="BD108" s="232"/>
      <c r="BE108" s="232"/>
      <c r="BF108" s="232"/>
      <c r="BG108" s="232"/>
      <c r="BH108" s="232"/>
      <c r="BI108" s="232"/>
      <c r="BJ108" s="232"/>
      <c r="BK108" s="232"/>
      <c r="BL108" s="232"/>
      <c r="BM108" s="232"/>
      <c r="BN108" s="232"/>
      <c r="BO108" s="232"/>
      <c r="BP108" s="232"/>
      <c r="BQ108" s="232"/>
      <c r="BR108" s="232"/>
      <c r="BS108" s="232"/>
      <c r="BT108" s="232"/>
      <c r="BU108" s="232"/>
      <c r="BV108" s="232"/>
      <c r="BW108" s="232"/>
      <c r="BX108" s="232"/>
      <c r="BY108" s="232"/>
      <c r="BZ108" s="232"/>
      <c r="CA108" s="232"/>
      <c r="CB108" s="232"/>
      <c r="CC108" s="232"/>
      <c r="CD108" s="232"/>
      <c r="CE108" s="232"/>
      <c r="CF108" s="232"/>
      <c r="CG108" s="232"/>
      <c r="CH108" s="232"/>
      <c r="CI108" s="232"/>
      <c r="CJ108" s="232"/>
      <c r="CK108" s="232"/>
      <c r="CL108" s="232"/>
      <c r="CM108" s="232"/>
      <c r="CN108" s="232"/>
      <c r="CO108" s="232"/>
      <c r="CP108" s="232"/>
      <c r="CQ108" s="232"/>
      <c r="CR108" s="232"/>
      <c r="CS108" s="232"/>
      <c r="CT108" s="232"/>
      <c r="CU108" s="232"/>
      <c r="CV108" s="232"/>
      <c r="CW108" s="232"/>
      <c r="CX108" s="232"/>
      <c r="CY108" s="232"/>
      <c r="CZ108" s="232"/>
      <c r="DA108" s="232"/>
      <c r="DB108" s="232"/>
      <c r="DC108" s="232"/>
      <c r="DD108" s="232"/>
      <c r="DE108" s="232"/>
      <c r="DF108" s="232"/>
      <c r="DG108" s="232"/>
      <c r="DH108" s="232"/>
      <c r="DI108" s="232"/>
      <c r="DJ108" s="232"/>
      <c r="DK108" s="232"/>
      <c r="DL108" s="232"/>
      <c r="DM108" s="232"/>
      <c r="DN108" s="232"/>
      <c r="DO108" s="232"/>
      <c r="DP108" s="232"/>
      <c r="DQ108" s="232"/>
      <c r="DR108" s="232"/>
      <c r="DS108" s="232"/>
      <c r="DT108" s="232"/>
      <c r="DU108" s="232"/>
      <c r="DV108" s="232"/>
      <c r="DW108" s="232"/>
      <c r="DX108" s="232"/>
      <c r="DY108" s="232"/>
      <c r="DZ108" s="232"/>
      <c r="EA108" s="232"/>
      <c r="EB108" s="232"/>
      <c r="EC108" s="232"/>
      <c r="ED108" s="232"/>
      <c r="EE108" s="232"/>
      <c r="EF108" s="232"/>
      <c r="EG108" s="232"/>
      <c r="EH108" s="232"/>
      <c r="EI108" s="232"/>
      <c r="EJ108" s="232"/>
      <c r="EK108" s="232"/>
      <c r="EL108" s="232"/>
      <c r="EM108" s="232"/>
      <c r="EN108" s="232"/>
      <c r="EO108" s="232"/>
      <c r="EP108" s="232"/>
      <c r="EQ108" s="232"/>
      <c r="ER108" s="232"/>
      <c r="ES108" s="232"/>
      <c r="ET108" s="232"/>
      <c r="EU108" s="232"/>
      <c r="EV108" s="232"/>
      <c r="EW108" s="232"/>
      <c r="EX108" s="232"/>
      <c r="EY108" s="232"/>
      <c r="EZ108" s="232"/>
      <c r="FA108" s="232"/>
      <c r="FB108" s="232"/>
      <c r="FC108" s="232"/>
      <c r="FD108" s="232"/>
      <c r="FE108" s="232"/>
      <c r="FF108" s="232"/>
      <c r="FG108" s="232"/>
      <c r="FH108" s="232"/>
      <c r="FI108" s="232"/>
      <c r="FJ108" s="232"/>
      <c r="FK108" s="232"/>
      <c r="FL108" s="232"/>
      <c r="FM108" s="232"/>
      <c r="FN108" s="232"/>
      <c r="FO108" s="232"/>
      <c r="FP108" s="232"/>
      <c r="FQ108" s="232"/>
      <c r="FR108" s="232"/>
      <c r="FS108" s="232"/>
      <c r="FT108" s="232"/>
      <c r="FU108" s="232"/>
      <c r="FV108" s="232"/>
      <c r="FW108" s="232"/>
      <c r="FX108" s="232"/>
      <c r="FY108" s="232"/>
      <c r="FZ108" s="232"/>
      <c r="GA108" s="232"/>
      <c r="GB108" s="232"/>
      <c r="GC108" s="232"/>
      <c r="GD108" s="232"/>
      <c r="GE108" s="232"/>
      <c r="GF108" s="232"/>
      <c r="GG108" s="232"/>
      <c r="GH108" s="232"/>
      <c r="GI108" s="232"/>
      <c r="GJ108" s="232"/>
      <c r="GK108" s="232"/>
      <c r="GL108" s="232"/>
      <c r="GM108" s="232"/>
      <c r="GN108" s="232"/>
      <c r="GO108" s="232"/>
      <c r="GP108" s="232"/>
      <c r="GQ108" s="232"/>
      <c r="GR108" s="232"/>
      <c r="GS108" s="232"/>
      <c r="GT108" s="232"/>
      <c r="GU108" s="232"/>
      <c r="GV108" s="232"/>
      <c r="GW108" s="232"/>
      <c r="GX108" s="232"/>
      <c r="GY108" s="232"/>
      <c r="GZ108" s="232"/>
      <c r="HA108" s="232"/>
      <c r="HB108" s="232"/>
      <c r="HC108" s="232"/>
      <c r="HD108" s="232"/>
      <c r="HE108" s="232"/>
      <c r="HF108" s="232"/>
      <c r="HG108" s="232"/>
      <c r="HH108" s="232"/>
      <c r="HI108" s="232"/>
      <c r="HJ108" s="232"/>
      <c r="HK108" s="232"/>
      <c r="HL108" s="232"/>
      <c r="HM108" s="232"/>
      <c r="HN108" s="232"/>
      <c r="HO108" s="232"/>
      <c r="HP108" s="232"/>
      <c r="HQ108" s="232"/>
      <c r="HR108" s="232"/>
      <c r="HS108" s="232"/>
      <c r="HT108" s="232"/>
      <c r="HU108" s="232"/>
      <c r="HV108" s="232"/>
      <c r="HW108" s="232"/>
      <c r="HX108" s="232"/>
      <c r="HY108" s="232"/>
      <c r="HZ108" s="232"/>
      <c r="IA108" s="232"/>
      <c r="IB108" s="232"/>
      <c r="IC108" s="232"/>
    </row>
    <row r="109" spans="1:237" ht="14.1" customHeight="1">
      <c r="L109" s="899"/>
      <c r="M109" s="899"/>
      <c r="N109" s="899"/>
      <c r="O109" s="899"/>
      <c r="Q109" s="909"/>
      <c r="R109" s="899"/>
      <c r="S109" s="899"/>
      <c r="T109" s="899"/>
      <c r="U109" s="899"/>
      <c r="V109" s="899"/>
      <c r="W109" s="899"/>
      <c r="X109" s="899"/>
      <c r="Y109" s="899"/>
      <c r="Z109" s="899"/>
      <c r="AA109" s="899"/>
      <c r="AB109" s="899"/>
      <c r="AC109" s="899"/>
      <c r="AD109" s="899"/>
      <c r="AE109" s="899"/>
      <c r="AF109" s="899"/>
      <c r="AG109" s="899"/>
      <c r="AH109" s="899"/>
      <c r="AI109" s="899"/>
      <c r="AJ109" s="899"/>
      <c r="AK109" s="899"/>
      <c r="AL109" s="899"/>
      <c r="AM109" s="232"/>
      <c r="AN109" s="232"/>
      <c r="AO109" s="232"/>
      <c r="AP109" s="232"/>
      <c r="AQ109" s="232"/>
      <c r="AR109" s="232"/>
      <c r="AS109" s="232"/>
      <c r="AT109" s="232"/>
      <c r="AU109" s="232"/>
      <c r="AV109" s="232"/>
      <c r="AW109" s="232"/>
      <c r="AX109" s="232"/>
      <c r="AY109" s="232"/>
      <c r="AZ109" s="232"/>
      <c r="BA109" s="232"/>
      <c r="BB109" s="232"/>
      <c r="BC109" s="232"/>
      <c r="BD109" s="232"/>
      <c r="BE109" s="232"/>
      <c r="BF109" s="232"/>
      <c r="BG109" s="232"/>
      <c r="BH109" s="232"/>
      <c r="BI109" s="232"/>
      <c r="BJ109" s="232"/>
      <c r="BK109" s="232"/>
      <c r="BL109" s="232"/>
      <c r="BM109" s="232"/>
      <c r="BN109" s="232"/>
      <c r="BO109" s="232"/>
      <c r="BP109" s="232"/>
      <c r="BQ109" s="232"/>
      <c r="BR109" s="232"/>
      <c r="BS109" s="232"/>
      <c r="BT109" s="232"/>
      <c r="BU109" s="232"/>
      <c r="BV109" s="232"/>
      <c r="BW109" s="232"/>
      <c r="BX109" s="232"/>
      <c r="BY109" s="232"/>
      <c r="BZ109" s="232"/>
      <c r="CA109" s="232"/>
      <c r="CB109" s="232"/>
      <c r="CC109" s="232"/>
      <c r="CD109" s="232"/>
      <c r="CE109" s="232"/>
      <c r="CF109" s="232"/>
      <c r="CG109" s="232"/>
      <c r="CH109" s="232"/>
      <c r="CI109" s="232"/>
      <c r="CJ109" s="232"/>
      <c r="CK109" s="232"/>
      <c r="CL109" s="232"/>
      <c r="CM109" s="232"/>
      <c r="CN109" s="232"/>
      <c r="CO109" s="232"/>
      <c r="CP109" s="232"/>
      <c r="CQ109" s="232"/>
      <c r="CR109" s="232"/>
      <c r="CS109" s="232"/>
      <c r="CT109" s="232"/>
      <c r="CU109" s="232"/>
      <c r="CV109" s="232"/>
      <c r="CW109" s="232"/>
      <c r="CX109" s="232"/>
      <c r="CY109" s="232"/>
      <c r="CZ109" s="232"/>
      <c r="DA109" s="232"/>
      <c r="DB109" s="232"/>
      <c r="DC109" s="232"/>
      <c r="DD109" s="232"/>
      <c r="DE109" s="232"/>
      <c r="DF109" s="232"/>
      <c r="DG109" s="232"/>
      <c r="DH109" s="232"/>
      <c r="DI109" s="232"/>
      <c r="DJ109" s="232"/>
      <c r="DK109" s="232"/>
      <c r="DL109" s="232"/>
      <c r="DM109" s="232"/>
      <c r="DN109" s="232"/>
      <c r="DO109" s="232"/>
      <c r="DP109" s="232"/>
      <c r="DQ109" s="232"/>
      <c r="DR109" s="232"/>
      <c r="DS109" s="232"/>
      <c r="DT109" s="232"/>
      <c r="DU109" s="232"/>
      <c r="DV109" s="232"/>
      <c r="DW109" s="232"/>
      <c r="DX109" s="232"/>
      <c r="DY109" s="232"/>
      <c r="DZ109" s="232"/>
      <c r="EA109" s="232"/>
      <c r="EB109" s="232"/>
      <c r="EC109" s="232"/>
      <c r="ED109" s="232"/>
      <c r="EE109" s="232"/>
      <c r="EF109" s="232"/>
      <c r="EG109" s="232"/>
      <c r="EH109" s="232"/>
      <c r="EI109" s="232"/>
      <c r="EJ109" s="232"/>
      <c r="EK109" s="232"/>
      <c r="EL109" s="232"/>
      <c r="EM109" s="232"/>
      <c r="EN109" s="232"/>
      <c r="EO109" s="232"/>
      <c r="EP109" s="232"/>
      <c r="EQ109" s="232"/>
      <c r="ER109" s="232"/>
      <c r="ES109" s="232"/>
      <c r="ET109" s="232"/>
      <c r="EU109" s="232"/>
      <c r="EV109" s="232"/>
      <c r="EW109" s="232"/>
      <c r="EX109" s="232"/>
      <c r="EY109" s="232"/>
      <c r="EZ109" s="232"/>
      <c r="FA109" s="232"/>
      <c r="FB109" s="232"/>
      <c r="FC109" s="232"/>
      <c r="FD109" s="232"/>
      <c r="FE109" s="232"/>
      <c r="FF109" s="232"/>
      <c r="FG109" s="232"/>
      <c r="FH109" s="232"/>
      <c r="FI109" s="232"/>
      <c r="FJ109" s="232"/>
      <c r="FK109" s="232"/>
      <c r="FL109" s="232"/>
      <c r="FM109" s="232"/>
      <c r="FN109" s="232"/>
      <c r="FO109" s="232"/>
      <c r="FP109" s="232"/>
      <c r="FQ109" s="232"/>
      <c r="FR109" s="232"/>
      <c r="FS109" s="232"/>
      <c r="FT109" s="232"/>
      <c r="FU109" s="232"/>
      <c r="FV109" s="232"/>
      <c r="FW109" s="232"/>
      <c r="FX109" s="232"/>
      <c r="FY109" s="232"/>
      <c r="FZ109" s="232"/>
      <c r="GA109" s="232"/>
      <c r="GB109" s="232"/>
      <c r="GC109" s="232"/>
      <c r="GD109" s="232"/>
      <c r="GE109" s="232"/>
      <c r="GF109" s="232"/>
      <c r="GG109" s="232"/>
      <c r="GH109" s="232"/>
      <c r="GI109" s="232"/>
      <c r="GJ109" s="232"/>
      <c r="GK109" s="232"/>
      <c r="GL109" s="232"/>
      <c r="GM109" s="232"/>
      <c r="GN109" s="232"/>
      <c r="GO109" s="232"/>
      <c r="GP109" s="232"/>
      <c r="GQ109" s="232"/>
      <c r="GR109" s="232"/>
      <c r="GS109" s="232"/>
      <c r="GT109" s="232"/>
      <c r="GU109" s="232"/>
      <c r="GV109" s="232"/>
      <c r="GW109" s="232"/>
      <c r="GX109" s="232"/>
      <c r="GY109" s="232"/>
      <c r="GZ109" s="232"/>
      <c r="HA109" s="232"/>
      <c r="HB109" s="232"/>
      <c r="HC109" s="232"/>
      <c r="HD109" s="232"/>
      <c r="HE109" s="232"/>
      <c r="HF109" s="232"/>
      <c r="HG109" s="232"/>
      <c r="HH109" s="232"/>
      <c r="HI109" s="232"/>
      <c r="HJ109" s="232"/>
      <c r="HK109" s="232"/>
      <c r="HL109" s="232"/>
      <c r="HM109" s="232"/>
      <c r="HN109" s="232"/>
      <c r="HO109" s="232"/>
      <c r="HP109" s="232"/>
      <c r="HQ109" s="232"/>
      <c r="HR109" s="232"/>
      <c r="HS109" s="232"/>
      <c r="HT109" s="232"/>
      <c r="HU109" s="232"/>
      <c r="HV109" s="232"/>
      <c r="HW109" s="232"/>
      <c r="HX109" s="232"/>
      <c r="HY109" s="232"/>
      <c r="HZ109" s="232"/>
      <c r="IA109" s="232"/>
      <c r="IB109" s="232"/>
      <c r="IC109" s="232"/>
    </row>
    <row r="110" spans="1:237" ht="14.1" customHeight="1">
      <c r="L110" s="899"/>
      <c r="M110" s="899"/>
      <c r="N110" s="899"/>
      <c r="O110" s="899"/>
      <c r="Q110" s="909"/>
      <c r="R110" s="899"/>
      <c r="S110" s="899"/>
      <c r="T110" s="899"/>
      <c r="U110" s="899"/>
      <c r="V110" s="899"/>
      <c r="W110" s="899"/>
      <c r="X110" s="899"/>
      <c r="Y110" s="899"/>
      <c r="Z110" s="899"/>
      <c r="AA110" s="899"/>
      <c r="AB110" s="899"/>
      <c r="AC110" s="899"/>
      <c r="AD110" s="899"/>
      <c r="AE110" s="899"/>
      <c r="AF110" s="899"/>
      <c r="AG110" s="899"/>
      <c r="AH110" s="899"/>
      <c r="AI110" s="899"/>
      <c r="AJ110" s="899"/>
      <c r="AK110" s="899"/>
      <c r="AL110" s="899"/>
      <c r="AM110" s="232"/>
      <c r="AN110" s="232"/>
      <c r="AO110" s="232"/>
      <c r="AP110" s="232"/>
      <c r="AQ110" s="232"/>
      <c r="AR110" s="232"/>
      <c r="AS110" s="232"/>
      <c r="AT110" s="232"/>
      <c r="AU110" s="232"/>
      <c r="AV110" s="232"/>
      <c r="AW110" s="232"/>
      <c r="AX110" s="232"/>
      <c r="AY110" s="232"/>
      <c r="AZ110" s="232"/>
      <c r="BA110" s="232"/>
      <c r="BB110" s="232"/>
      <c r="BC110" s="232"/>
      <c r="BD110" s="232"/>
      <c r="BE110" s="232"/>
      <c r="BF110" s="232"/>
      <c r="BG110" s="232"/>
      <c r="BH110" s="232"/>
      <c r="BI110" s="232"/>
      <c r="BJ110" s="232"/>
      <c r="BK110" s="232"/>
      <c r="BL110" s="232"/>
      <c r="BM110" s="232"/>
      <c r="BN110" s="232"/>
      <c r="BO110" s="232"/>
      <c r="BP110" s="232"/>
      <c r="BQ110" s="232"/>
      <c r="BR110" s="232"/>
      <c r="BS110" s="232"/>
      <c r="BT110" s="232"/>
      <c r="BU110" s="232"/>
      <c r="BV110" s="232"/>
      <c r="BW110" s="232"/>
      <c r="BX110" s="232"/>
      <c r="BY110" s="232"/>
      <c r="BZ110" s="232"/>
      <c r="CA110" s="232"/>
      <c r="CB110" s="232"/>
      <c r="CC110" s="232"/>
      <c r="CD110" s="232"/>
      <c r="CE110" s="232"/>
      <c r="CF110" s="232"/>
      <c r="CG110" s="232"/>
      <c r="CH110" s="232"/>
      <c r="CI110" s="232"/>
      <c r="CJ110" s="232"/>
      <c r="CK110" s="232"/>
      <c r="CL110" s="232"/>
      <c r="CM110" s="232"/>
      <c r="CN110" s="232"/>
      <c r="CO110" s="232"/>
      <c r="CP110" s="232"/>
      <c r="CQ110" s="232"/>
      <c r="CR110" s="232"/>
      <c r="CS110" s="232"/>
      <c r="CT110" s="232"/>
      <c r="CU110" s="232"/>
      <c r="CV110" s="232"/>
      <c r="CW110" s="232"/>
      <c r="CX110" s="232"/>
      <c r="CY110" s="232"/>
      <c r="CZ110" s="232"/>
      <c r="DA110" s="232"/>
      <c r="DB110" s="232"/>
      <c r="DC110" s="232"/>
      <c r="DD110" s="232"/>
      <c r="DE110" s="232"/>
      <c r="DF110" s="232"/>
      <c r="DG110" s="232"/>
      <c r="DH110" s="232"/>
      <c r="DI110" s="232"/>
      <c r="DJ110" s="232"/>
      <c r="DK110" s="232"/>
      <c r="DL110" s="232"/>
      <c r="DM110" s="232"/>
      <c r="DN110" s="232"/>
      <c r="DO110" s="232"/>
      <c r="DP110" s="232"/>
      <c r="DQ110" s="232"/>
      <c r="DR110" s="232"/>
      <c r="DS110" s="232"/>
      <c r="DT110" s="232"/>
      <c r="DU110" s="232"/>
      <c r="DV110" s="232"/>
      <c r="DW110" s="232"/>
      <c r="DX110" s="232"/>
      <c r="DY110" s="232"/>
      <c r="DZ110" s="232"/>
      <c r="EA110" s="232"/>
      <c r="EB110" s="232"/>
      <c r="EC110" s="232"/>
      <c r="ED110" s="232"/>
      <c r="EE110" s="232"/>
      <c r="EF110" s="232"/>
      <c r="EG110" s="232"/>
      <c r="EH110" s="232"/>
      <c r="EI110" s="232"/>
      <c r="EJ110" s="232"/>
      <c r="EK110" s="232"/>
      <c r="EL110" s="232"/>
      <c r="EM110" s="232"/>
      <c r="EN110" s="232"/>
      <c r="EO110" s="232"/>
      <c r="EP110" s="232"/>
      <c r="EQ110" s="232"/>
      <c r="ER110" s="232"/>
      <c r="ES110" s="232"/>
      <c r="ET110" s="232"/>
      <c r="EU110" s="232"/>
      <c r="EV110" s="232"/>
      <c r="EW110" s="232"/>
      <c r="EX110" s="232"/>
      <c r="EY110" s="232"/>
      <c r="EZ110" s="232"/>
      <c r="FA110" s="232"/>
      <c r="FB110" s="232"/>
      <c r="FC110" s="232"/>
      <c r="FD110" s="232"/>
      <c r="FE110" s="232"/>
      <c r="FF110" s="232"/>
      <c r="FG110" s="232"/>
      <c r="FH110" s="232"/>
      <c r="FI110" s="232"/>
      <c r="FJ110" s="232"/>
      <c r="FK110" s="232"/>
      <c r="FL110" s="232"/>
      <c r="FM110" s="232"/>
      <c r="FN110" s="232"/>
      <c r="FO110" s="232"/>
      <c r="FP110" s="232"/>
      <c r="FQ110" s="232"/>
      <c r="FR110" s="232"/>
      <c r="FS110" s="232"/>
      <c r="FT110" s="232"/>
      <c r="FU110" s="232"/>
      <c r="FV110" s="232"/>
      <c r="FW110" s="232"/>
      <c r="FX110" s="232"/>
      <c r="FY110" s="232"/>
      <c r="FZ110" s="232"/>
      <c r="GA110" s="232"/>
      <c r="GB110" s="232"/>
      <c r="GC110" s="232"/>
      <c r="GD110" s="232"/>
      <c r="GE110" s="232"/>
      <c r="GF110" s="232"/>
      <c r="GG110" s="232"/>
      <c r="GH110" s="232"/>
      <c r="GI110" s="232"/>
      <c r="GJ110" s="232"/>
      <c r="GK110" s="232"/>
      <c r="GL110" s="232"/>
      <c r="GM110" s="232"/>
      <c r="GN110" s="232"/>
      <c r="GO110" s="232"/>
      <c r="GP110" s="232"/>
      <c r="GQ110" s="232"/>
      <c r="GR110" s="232"/>
      <c r="GS110" s="232"/>
      <c r="GT110" s="232"/>
      <c r="GU110" s="232"/>
      <c r="GV110" s="232"/>
      <c r="GW110" s="232"/>
      <c r="GX110" s="232"/>
      <c r="GY110" s="232"/>
      <c r="GZ110" s="232"/>
      <c r="HA110" s="232"/>
      <c r="HB110" s="232"/>
      <c r="HC110" s="232"/>
      <c r="HD110" s="232"/>
      <c r="HE110" s="232"/>
      <c r="HF110" s="232"/>
      <c r="HG110" s="232"/>
      <c r="HH110" s="232"/>
      <c r="HI110" s="232"/>
      <c r="HJ110" s="232"/>
      <c r="HK110" s="232"/>
      <c r="HL110" s="232"/>
      <c r="HM110" s="232"/>
      <c r="HN110" s="232"/>
      <c r="HO110" s="232"/>
      <c r="HP110" s="232"/>
      <c r="HQ110" s="232"/>
      <c r="HR110" s="232"/>
      <c r="HS110" s="232"/>
      <c r="HT110" s="232"/>
      <c r="HU110" s="232"/>
      <c r="HV110" s="232"/>
      <c r="HW110" s="232"/>
      <c r="HX110" s="232"/>
      <c r="HY110" s="232"/>
      <c r="HZ110" s="232"/>
      <c r="IA110" s="232"/>
      <c r="IB110" s="232"/>
      <c r="IC110" s="232"/>
    </row>
  </sheetData>
  <customSheetViews>
    <customSheetView guid="{E6BBE5A7-0B25-4EE8-BA45-5EA5DBAF3AD4}" showPageBreaks="1" printArea="1" topLeftCell="A19">
      <selection activeCell="C9" sqref="C9"/>
      <rowBreaks count="1" manualBreakCount="1">
        <brk id="47" max="9" man="1"/>
      </rowBreaks>
      <pageMargins left="0.5" right="0.5" top="1" bottom="1" header="0.5" footer="0.5"/>
      <printOptions horizontalCentered="1"/>
      <pageSetup scale="62" orientation="landscape" r:id="rId1"/>
      <headerFooter alignWithMargins="0"/>
    </customSheetView>
  </customSheetViews>
  <hyperlinks>
    <hyperlink ref="Q1" location="TOC!A1" display="Back"/>
  </hyperlinks>
  <printOptions horizontalCentered="1"/>
  <pageMargins left="0.4" right="0.25" top="0.5" bottom="0.25" header="0.25" footer="0"/>
  <pageSetup scale="72" orientation="landscape" r:id="rId2"/>
  <headerFooter scaleWithDoc="0">
    <oddHeader>&amp;R&amp;P</oddHeader>
  </headerFooter>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AV57"/>
  <sheetViews>
    <sheetView zoomScaleNormal="100" workbookViewId="0"/>
  </sheetViews>
  <sheetFormatPr defaultColWidth="12.42578125" defaultRowHeight="12.75"/>
  <cols>
    <col min="1" max="1" width="18.7109375" style="138" customWidth="1"/>
    <col min="2" max="2" width="3.7109375" style="138" customWidth="1"/>
    <col min="3" max="3" width="18.7109375" style="138" customWidth="1"/>
    <col min="4" max="4" width="3.7109375" style="138" customWidth="1"/>
    <col min="5" max="5" width="85.7109375" style="138" customWidth="1"/>
    <col min="6" max="6" width="5.28515625" style="138" bestFit="1" customWidth="1"/>
    <col min="7" max="19" width="12.42578125" style="138" customWidth="1"/>
    <col min="20" max="20" width="12.42578125" style="9" customWidth="1"/>
    <col min="21" max="21" width="24.42578125" style="9" customWidth="1"/>
    <col min="22" max="16384" width="12.42578125" style="138"/>
  </cols>
  <sheetData>
    <row r="1" spans="1:48" ht="18">
      <c r="A1" s="139" t="s">
        <v>361</v>
      </c>
      <c r="F1" s="1276" t="s">
        <v>1194</v>
      </c>
      <c r="V1" s="308"/>
      <c r="W1" s="308"/>
      <c r="X1" s="308"/>
      <c r="Y1" s="308"/>
      <c r="Z1" s="308"/>
      <c r="AA1" s="308"/>
      <c r="AB1" s="308"/>
      <c r="AC1" s="308"/>
      <c r="AD1" s="308"/>
      <c r="AE1" s="308"/>
      <c r="AF1" s="308"/>
      <c r="AG1" s="308"/>
      <c r="AH1" s="308"/>
      <c r="AI1" s="308"/>
      <c r="AJ1" s="308"/>
      <c r="AK1" s="308"/>
      <c r="AL1" s="308"/>
      <c r="AM1" s="308"/>
      <c r="AN1" s="308"/>
      <c r="AO1" s="308"/>
      <c r="AP1" s="308"/>
      <c r="AQ1" s="308"/>
      <c r="AR1" s="308"/>
      <c r="AS1" s="308"/>
      <c r="AT1" s="308"/>
      <c r="AU1" s="308"/>
      <c r="AV1" s="308"/>
    </row>
    <row r="2" spans="1:48" ht="15.75">
      <c r="A2" s="10" t="s">
        <v>362</v>
      </c>
      <c r="V2" s="308"/>
      <c r="W2" s="308"/>
      <c r="X2" s="308"/>
      <c r="Y2" s="308"/>
      <c r="Z2" s="308"/>
      <c r="AA2" s="308"/>
      <c r="AB2" s="308"/>
      <c r="AC2" s="308"/>
      <c r="AD2" s="308"/>
      <c r="AE2" s="308"/>
      <c r="AF2" s="308"/>
      <c r="AG2" s="308"/>
      <c r="AH2" s="308"/>
      <c r="AI2" s="308"/>
      <c r="AJ2" s="308"/>
      <c r="AK2" s="308"/>
      <c r="AL2" s="308"/>
      <c r="AM2" s="308"/>
      <c r="AN2" s="308"/>
      <c r="AO2" s="308"/>
      <c r="AP2" s="308"/>
      <c r="AQ2" s="308"/>
      <c r="AR2" s="308"/>
      <c r="AS2" s="308"/>
      <c r="AT2" s="308"/>
      <c r="AU2" s="308"/>
      <c r="AV2" s="308"/>
    </row>
    <row r="3" spans="1:48" ht="15.75">
      <c r="A3" s="10"/>
      <c r="V3" s="308"/>
      <c r="W3" s="308"/>
      <c r="X3" s="308"/>
      <c r="Y3" s="308"/>
      <c r="Z3" s="308"/>
      <c r="AA3" s="308"/>
      <c r="AB3" s="308"/>
      <c r="AC3" s="308"/>
      <c r="AD3" s="308"/>
      <c r="AE3" s="308"/>
      <c r="AF3" s="308"/>
      <c r="AG3" s="308"/>
      <c r="AH3" s="308"/>
      <c r="AI3" s="308"/>
      <c r="AJ3" s="308"/>
      <c r="AK3" s="308"/>
      <c r="AL3" s="308"/>
      <c r="AM3" s="308"/>
      <c r="AN3" s="308"/>
      <c r="AO3" s="308"/>
      <c r="AP3" s="308"/>
      <c r="AQ3" s="308"/>
      <c r="AR3" s="308"/>
      <c r="AS3" s="308"/>
      <c r="AT3" s="308"/>
      <c r="AU3" s="308"/>
      <c r="AV3" s="308"/>
    </row>
    <row r="4" spans="1:48" ht="16.5" thickBot="1">
      <c r="A4" s="10"/>
      <c r="V4" s="308"/>
      <c r="W4" s="308"/>
      <c r="X4" s="308"/>
      <c r="Y4" s="308"/>
      <c r="Z4" s="308"/>
      <c r="AA4" s="308"/>
      <c r="AB4" s="308"/>
      <c r="AC4" s="308"/>
      <c r="AD4" s="308"/>
      <c r="AE4" s="308"/>
      <c r="AF4" s="308"/>
      <c r="AG4" s="308"/>
      <c r="AH4" s="308"/>
      <c r="AI4" s="308"/>
      <c r="AJ4" s="308"/>
      <c r="AK4" s="308"/>
      <c r="AL4" s="308"/>
      <c r="AM4" s="308"/>
      <c r="AN4" s="308"/>
      <c r="AO4" s="308"/>
      <c r="AP4" s="308"/>
      <c r="AQ4" s="308"/>
      <c r="AR4" s="308"/>
      <c r="AS4" s="308"/>
      <c r="AT4" s="308"/>
      <c r="AU4" s="308"/>
      <c r="AV4" s="308"/>
    </row>
    <row r="5" spans="1:48">
      <c r="A5" s="140"/>
      <c r="B5" s="140"/>
      <c r="C5" s="1244"/>
      <c r="D5" s="140"/>
      <c r="V5" s="308"/>
      <c r="W5" s="308"/>
      <c r="X5" s="308"/>
      <c r="Y5" s="308"/>
      <c r="Z5" s="308"/>
      <c r="AA5" s="308"/>
      <c r="AB5" s="308"/>
      <c r="AC5" s="308"/>
      <c r="AD5" s="308"/>
      <c r="AE5" s="308"/>
      <c r="AF5" s="308"/>
      <c r="AG5" s="308"/>
      <c r="AH5" s="308"/>
      <c r="AI5" s="308"/>
      <c r="AJ5" s="308"/>
      <c r="AK5" s="308"/>
      <c r="AL5" s="308"/>
      <c r="AM5" s="308"/>
      <c r="AN5" s="308"/>
      <c r="AO5" s="308"/>
      <c r="AP5" s="308"/>
      <c r="AQ5" s="308"/>
      <c r="AR5" s="308"/>
      <c r="AS5" s="308"/>
      <c r="AT5" s="308"/>
      <c r="AU5" s="308"/>
      <c r="AV5" s="308"/>
    </row>
    <row r="6" spans="1:48" ht="15.75">
      <c r="A6" s="141" t="s">
        <v>363</v>
      </c>
      <c r="B6" s="142"/>
      <c r="C6" s="1245" t="s">
        <v>20</v>
      </c>
      <c r="D6" s="142"/>
      <c r="U6" s="646"/>
      <c r="V6" s="308"/>
      <c r="W6" s="308"/>
      <c r="X6" s="308"/>
      <c r="Y6" s="308"/>
      <c r="Z6" s="308"/>
      <c r="AA6" s="308"/>
      <c r="AB6" s="308"/>
      <c r="AC6" s="308"/>
      <c r="AD6" s="308"/>
      <c r="AE6" s="308"/>
      <c r="AF6" s="308"/>
      <c r="AG6" s="308"/>
      <c r="AH6" s="308"/>
      <c r="AI6" s="308"/>
      <c r="AJ6" s="308"/>
      <c r="AK6" s="308"/>
      <c r="AL6" s="308"/>
      <c r="AM6" s="308"/>
      <c r="AN6" s="308"/>
      <c r="AO6" s="308"/>
      <c r="AP6" s="308"/>
      <c r="AQ6" s="308"/>
      <c r="AR6" s="308"/>
      <c r="AS6" s="308"/>
      <c r="AT6" s="308"/>
      <c r="AU6" s="308"/>
      <c r="AV6" s="308"/>
    </row>
    <row r="7" spans="1:48" ht="15" hidden="1">
      <c r="A7" s="143"/>
      <c r="B7" s="144"/>
      <c r="C7" s="145"/>
      <c r="D7" s="144"/>
      <c r="F7" s="143"/>
      <c r="S7" s="434"/>
      <c r="V7" s="308"/>
      <c r="W7" s="308"/>
      <c r="X7" s="308"/>
      <c r="Y7" s="308"/>
      <c r="Z7" s="308"/>
      <c r="AA7" s="308"/>
      <c r="AB7" s="308"/>
      <c r="AC7" s="308"/>
      <c r="AD7" s="308"/>
      <c r="AE7" s="308"/>
      <c r="AF7" s="308"/>
      <c r="AG7" s="308"/>
      <c r="AH7" s="308"/>
      <c r="AI7" s="308"/>
      <c r="AJ7" s="308"/>
      <c r="AK7" s="308"/>
      <c r="AL7" s="308"/>
      <c r="AM7" s="308"/>
      <c r="AN7" s="308"/>
      <c r="AO7" s="308"/>
      <c r="AP7" s="308"/>
      <c r="AQ7" s="308"/>
      <c r="AR7" s="308"/>
      <c r="AS7" s="308"/>
      <c r="AT7" s="308"/>
      <c r="AU7" s="308"/>
      <c r="AV7" s="308"/>
    </row>
    <row r="8" spans="1:48" hidden="1">
      <c r="A8" s="143">
        <v>2006</v>
      </c>
      <c r="C8" s="401">
        <v>9132261251</v>
      </c>
      <c r="S8" s="434"/>
      <c r="V8" s="308"/>
      <c r="W8" s="693"/>
      <c r="X8" s="693"/>
      <c r="Y8" s="308"/>
      <c r="Z8" s="308"/>
      <c r="AA8" s="308"/>
      <c r="AB8" s="308"/>
      <c r="AC8" s="308"/>
      <c r="AD8" s="308"/>
      <c r="AE8" s="308"/>
      <c r="AF8" s="308"/>
      <c r="AG8" s="308"/>
      <c r="AH8" s="308"/>
      <c r="AI8" s="308"/>
      <c r="AJ8" s="308"/>
      <c r="AK8" s="308"/>
      <c r="AL8" s="308"/>
      <c r="AM8" s="308"/>
      <c r="AN8" s="308"/>
      <c r="AO8" s="308"/>
      <c r="AP8" s="308"/>
      <c r="AQ8" s="308"/>
      <c r="AR8" s="308"/>
      <c r="AS8" s="308"/>
      <c r="AT8" s="308"/>
      <c r="AU8" s="308"/>
      <c r="AV8" s="308"/>
    </row>
    <row r="9" spans="1:48" hidden="1">
      <c r="A9" s="143">
        <v>2007</v>
      </c>
      <c r="C9" s="147">
        <v>9601762403.6699944</v>
      </c>
      <c r="S9" s="434"/>
      <c r="V9" s="308"/>
      <c r="W9" s="693"/>
      <c r="X9" s="693"/>
      <c r="Y9" s="308"/>
      <c r="Z9" s="308"/>
      <c r="AA9" s="308"/>
      <c r="AB9" s="308"/>
      <c r="AC9" s="308"/>
      <c r="AD9" s="308"/>
      <c r="AE9" s="308"/>
      <c r="AF9" s="308"/>
      <c r="AG9" s="308"/>
      <c r="AH9" s="308"/>
      <c r="AI9" s="308"/>
      <c r="AJ9" s="308"/>
      <c r="AK9" s="308"/>
      <c r="AL9" s="308"/>
      <c r="AM9" s="308"/>
      <c r="AN9" s="308"/>
      <c r="AO9" s="308"/>
      <c r="AP9" s="308"/>
      <c r="AQ9" s="308"/>
      <c r="AR9" s="308"/>
      <c r="AS9" s="308"/>
      <c r="AT9" s="308"/>
      <c r="AU9" s="308"/>
      <c r="AV9" s="308"/>
    </row>
    <row r="10" spans="1:48" hidden="1">
      <c r="A10" s="143">
        <v>2008</v>
      </c>
      <c r="C10" s="147">
        <v>9201320075.0499992</v>
      </c>
      <c r="S10" s="434"/>
      <c r="V10" s="308"/>
      <c r="W10" s="693"/>
      <c r="X10" s="693"/>
      <c r="Y10" s="308"/>
      <c r="Z10" s="308"/>
      <c r="AA10" s="308"/>
      <c r="AB10" s="308"/>
      <c r="AC10" s="308"/>
      <c r="AD10" s="308"/>
    </row>
    <row r="11" spans="1:48" ht="24.75" customHeight="1">
      <c r="A11" s="1246">
        <v>2009</v>
      </c>
      <c r="C11" s="1243">
        <v>8838405972.0000038</v>
      </c>
      <c r="S11" s="434"/>
      <c r="V11" s="308"/>
      <c r="W11" s="693"/>
      <c r="X11" s="693"/>
      <c r="Y11" s="308"/>
      <c r="Z11" s="308"/>
      <c r="AA11" s="308"/>
      <c r="AB11" s="308"/>
      <c r="AC11" s="308"/>
      <c r="AD11" s="308"/>
    </row>
    <row r="12" spans="1:48">
      <c r="A12" s="1246">
        <v>2010</v>
      </c>
      <c r="C12" s="146">
        <v>9537700528</v>
      </c>
      <c r="S12" s="434"/>
      <c r="V12" s="308"/>
      <c r="W12" s="693"/>
      <c r="X12" s="693"/>
      <c r="Y12" s="308"/>
      <c r="Z12" s="308"/>
      <c r="AA12" s="308"/>
      <c r="AB12" s="308"/>
      <c r="AC12" s="308"/>
      <c r="AD12" s="308"/>
    </row>
    <row r="13" spans="1:48">
      <c r="A13" s="1246">
        <v>2011</v>
      </c>
      <c r="C13" s="146">
        <v>9846787045</v>
      </c>
      <c r="S13" s="434"/>
      <c r="V13" s="308"/>
      <c r="W13" s="693"/>
      <c r="X13" s="693"/>
      <c r="Y13" s="308"/>
      <c r="Z13" s="308"/>
      <c r="AA13" s="308"/>
      <c r="AB13" s="308"/>
      <c r="AC13" s="308"/>
      <c r="AD13" s="308"/>
    </row>
    <row r="14" spans="1:48">
      <c r="A14" s="1246">
        <v>2012</v>
      </c>
      <c r="C14" s="146">
        <v>10527113882</v>
      </c>
      <c r="S14" s="434"/>
      <c r="V14" s="308"/>
      <c r="W14" s="693"/>
      <c r="X14" s="693"/>
      <c r="Y14" s="308"/>
      <c r="Z14" s="308"/>
      <c r="AA14" s="308"/>
      <c r="AB14" s="308"/>
      <c r="AC14" s="308"/>
      <c r="AD14" s="308"/>
    </row>
    <row r="15" spans="1:48">
      <c r="A15" s="1246">
        <v>2013</v>
      </c>
      <c r="C15" s="146">
        <v>10586343685</v>
      </c>
      <c r="S15" s="434"/>
      <c r="V15" s="308"/>
      <c r="W15" s="693"/>
      <c r="X15" s="693"/>
      <c r="Y15" s="308"/>
      <c r="Z15" s="308"/>
      <c r="AA15" s="308"/>
      <c r="AB15" s="308"/>
      <c r="AC15" s="308"/>
      <c r="AD15" s="308"/>
    </row>
    <row r="16" spans="1:48">
      <c r="A16" s="1246">
        <v>2014</v>
      </c>
      <c r="C16" s="146">
        <v>11623977320</v>
      </c>
      <c r="S16" s="434"/>
      <c r="V16" s="308"/>
      <c r="W16" s="693"/>
      <c r="X16" s="693"/>
      <c r="Y16" s="308"/>
      <c r="Z16" s="308"/>
      <c r="AA16" s="308"/>
      <c r="AB16" s="308"/>
      <c r="AC16" s="308"/>
      <c r="AD16" s="308"/>
    </row>
    <row r="17" spans="1:30">
      <c r="A17" s="1246">
        <v>2015</v>
      </c>
      <c r="C17" s="146">
        <v>12071058964</v>
      </c>
      <c r="S17" s="434"/>
      <c r="V17" s="308"/>
      <c r="W17" s="693"/>
      <c r="X17" s="693"/>
      <c r="Y17" s="308"/>
      <c r="Z17" s="308"/>
      <c r="AA17" s="308"/>
      <c r="AB17" s="308"/>
      <c r="AC17" s="308"/>
      <c r="AD17" s="308"/>
    </row>
    <row r="18" spans="1:30">
      <c r="A18" s="1246">
        <v>2016</v>
      </c>
      <c r="C18" s="146">
        <v>11800977144.559999</v>
      </c>
      <c r="E18" s="610"/>
      <c r="S18" s="434"/>
      <c r="V18" s="308"/>
      <c r="W18" s="693"/>
      <c r="X18" s="693"/>
      <c r="Y18" s="308"/>
      <c r="Z18" s="308"/>
      <c r="AA18" s="308"/>
      <c r="AB18" s="308"/>
      <c r="AC18" s="308"/>
      <c r="AD18" s="308"/>
    </row>
    <row r="19" spans="1:30">
      <c r="A19" s="1246">
        <v>2017</v>
      </c>
      <c r="C19" s="146">
        <v>12342418241.27</v>
      </c>
      <c r="E19" s="757"/>
      <c r="F19" s="148"/>
      <c r="S19" s="434"/>
      <c r="V19" s="308"/>
      <c r="W19" s="693"/>
      <c r="X19" s="693"/>
      <c r="Y19" s="308"/>
      <c r="Z19" s="308"/>
      <c r="AA19" s="308"/>
      <c r="AB19" s="308"/>
      <c r="AC19" s="308"/>
      <c r="AD19" s="308"/>
    </row>
    <row r="20" spans="1:30">
      <c r="A20" s="1246">
        <v>2018</v>
      </c>
      <c r="C20" s="146">
        <v>14112424787.530001</v>
      </c>
      <c r="E20" s="775">
        <f>C20/C19-1</f>
        <v>0.14340840762805573</v>
      </c>
      <c r="F20" s="148"/>
      <c r="S20" s="434"/>
      <c r="V20" s="308"/>
      <c r="W20" s="693"/>
      <c r="X20" s="693"/>
      <c r="Y20" s="308"/>
      <c r="Z20" s="308"/>
      <c r="AA20" s="308"/>
      <c r="AB20" s="308"/>
      <c r="AC20" s="308"/>
      <c r="AD20" s="308"/>
    </row>
    <row r="21" spans="1:30">
      <c r="A21" s="1246">
        <v>2019</v>
      </c>
      <c r="C21" s="146">
        <v>14172033140.65</v>
      </c>
      <c r="E21" s="775"/>
      <c r="F21" s="143"/>
      <c r="S21" s="434"/>
      <c r="V21" s="308"/>
      <c r="W21" s="693"/>
      <c r="X21" s="693"/>
      <c r="Y21" s="308"/>
      <c r="Z21" s="308"/>
      <c r="AA21" s="308"/>
      <c r="AB21" s="308"/>
      <c r="AC21" s="308"/>
      <c r="AD21" s="308"/>
    </row>
    <row r="22" spans="1:30">
      <c r="B22" s="149"/>
      <c r="C22" s="701"/>
      <c r="D22" s="149"/>
      <c r="E22" s="610"/>
      <c r="F22" s="143"/>
      <c r="S22" s="434"/>
      <c r="V22" s="308"/>
      <c r="W22" s="693"/>
      <c r="X22" s="693"/>
      <c r="Y22" s="308"/>
      <c r="Z22" s="308"/>
      <c r="AA22" s="308"/>
      <c r="AB22" s="308"/>
      <c r="AC22" s="308"/>
      <c r="AD22" s="308"/>
    </row>
    <row r="23" spans="1:30">
      <c r="B23" s="149"/>
      <c r="C23" s="701"/>
      <c r="D23" s="149"/>
      <c r="E23" s="610"/>
      <c r="F23" s="143"/>
      <c r="S23" s="434"/>
      <c r="V23" s="308"/>
      <c r="W23" s="693"/>
      <c r="X23" s="693"/>
      <c r="Y23" s="308"/>
      <c r="Z23" s="308"/>
      <c r="AA23" s="308"/>
      <c r="AB23" s="308"/>
      <c r="AC23" s="308"/>
      <c r="AD23" s="308"/>
    </row>
    <row r="24" spans="1:30">
      <c r="B24" s="149"/>
      <c r="C24" s="701"/>
      <c r="D24" s="149"/>
      <c r="E24" s="610"/>
      <c r="F24" s="143"/>
      <c r="S24" s="434"/>
      <c r="V24" s="308"/>
      <c r="W24" s="693"/>
      <c r="X24" s="693"/>
      <c r="Y24" s="308"/>
      <c r="Z24" s="308"/>
      <c r="AA24" s="308"/>
      <c r="AB24" s="308"/>
      <c r="AC24" s="308"/>
      <c r="AD24" s="308"/>
    </row>
    <row r="25" spans="1:30" s="1129" customFormat="1">
      <c r="A25" s="1136" t="s">
        <v>19</v>
      </c>
      <c r="B25" s="1137"/>
      <c r="D25" s="1137"/>
      <c r="F25" s="1138"/>
      <c r="S25" s="1139"/>
      <c r="V25" s="1140"/>
      <c r="W25" s="1141"/>
      <c r="X25" s="1142"/>
      <c r="Y25" s="1140"/>
      <c r="Z25" s="1140"/>
      <c r="AA25" s="1140"/>
      <c r="AB25" s="1140"/>
      <c r="AC25" s="1140"/>
      <c r="AD25" s="1140"/>
    </row>
    <row r="26" spans="1:30" s="1129" customFormat="1">
      <c r="A26" s="1136" t="s">
        <v>937</v>
      </c>
      <c r="B26" s="1137"/>
      <c r="D26" s="1137"/>
      <c r="F26" s="1138"/>
      <c r="T26" s="1143"/>
      <c r="V26" s="1140"/>
      <c r="W26" s="1140"/>
      <c r="X26" s="1140"/>
      <c r="Y26" s="1140"/>
      <c r="Z26" s="1140"/>
      <c r="AA26" s="1140"/>
      <c r="AB26" s="1140"/>
      <c r="AC26" s="1140"/>
      <c r="AD26" s="1140"/>
    </row>
    <row r="27" spans="1:30">
      <c r="A27" s="1120" t="s">
        <v>1157</v>
      </c>
      <c r="B27" s="149"/>
      <c r="D27" s="149"/>
      <c r="F27" s="143"/>
      <c r="T27" s="793"/>
      <c r="V27" s="308"/>
      <c r="W27" s="308"/>
      <c r="X27" s="308"/>
      <c r="Y27" s="308"/>
      <c r="Z27" s="308"/>
      <c r="AA27" s="308"/>
      <c r="AB27" s="308"/>
      <c r="AC27" s="308"/>
      <c r="AD27" s="308"/>
    </row>
    <row r="28" spans="1:30">
      <c r="A28" s="6"/>
      <c r="B28" s="149"/>
      <c r="D28" s="149"/>
      <c r="F28" s="143"/>
      <c r="T28" s="793"/>
      <c r="V28" s="308"/>
      <c r="W28" s="308"/>
      <c r="X28" s="308"/>
      <c r="Y28" s="308"/>
      <c r="Z28" s="308"/>
      <c r="AA28" s="308"/>
      <c r="AB28" s="308"/>
      <c r="AC28" s="308"/>
      <c r="AD28" s="308"/>
    </row>
    <row r="29" spans="1:30">
      <c r="A29" s="143"/>
      <c r="B29" s="150"/>
      <c r="D29" s="150"/>
      <c r="V29" s="308"/>
      <c r="W29" s="308"/>
      <c r="X29" s="308"/>
      <c r="Y29" s="308"/>
      <c r="Z29" s="308"/>
      <c r="AA29" s="308"/>
      <c r="AB29" s="308"/>
      <c r="AC29" s="308"/>
      <c r="AD29" s="308"/>
    </row>
    <row r="30" spans="1:30">
      <c r="A30" s="143"/>
      <c r="B30" s="150"/>
      <c r="D30" s="150"/>
      <c r="V30" s="308"/>
      <c r="W30" s="308"/>
      <c r="X30" s="308"/>
      <c r="Y30" s="308"/>
      <c r="Z30" s="308"/>
      <c r="AA30" s="308"/>
      <c r="AB30" s="308"/>
      <c r="AC30" s="308"/>
      <c r="AD30" s="308"/>
    </row>
    <row r="31" spans="1:30">
      <c r="A31" s="143"/>
      <c r="B31" s="150"/>
      <c r="D31" s="150"/>
      <c r="V31" s="308"/>
      <c r="W31" s="308"/>
      <c r="X31" s="308"/>
      <c r="Y31" s="308"/>
      <c r="Z31" s="308"/>
      <c r="AA31" s="308"/>
      <c r="AB31" s="308"/>
      <c r="AC31" s="308"/>
      <c r="AD31" s="308"/>
    </row>
    <row r="32" spans="1:30">
      <c r="A32" s="143"/>
      <c r="B32" s="150"/>
      <c r="D32" s="150"/>
      <c r="V32" s="308"/>
      <c r="W32" s="308"/>
      <c r="X32" s="308"/>
      <c r="Y32" s="308"/>
      <c r="Z32" s="308"/>
      <c r="AA32" s="308"/>
      <c r="AB32" s="308"/>
      <c r="AC32" s="308"/>
      <c r="AD32" s="308"/>
    </row>
    <row r="33" spans="1:30">
      <c r="A33" s="143"/>
      <c r="B33" s="150"/>
      <c r="D33" s="150"/>
      <c r="V33" s="308"/>
      <c r="W33" s="308"/>
      <c r="X33" s="308"/>
      <c r="Y33" s="308"/>
      <c r="Z33" s="308"/>
      <c r="AA33" s="308"/>
      <c r="AB33" s="308"/>
      <c r="AC33" s="308"/>
      <c r="AD33" s="308"/>
    </row>
    <row r="34" spans="1:30">
      <c r="A34" s="143"/>
      <c r="B34" s="150"/>
      <c r="D34" s="150"/>
      <c r="V34" s="308"/>
      <c r="W34" s="308"/>
      <c r="X34" s="308"/>
      <c r="Y34" s="308"/>
      <c r="Z34" s="308"/>
      <c r="AA34" s="308"/>
      <c r="AB34" s="308"/>
      <c r="AC34" s="308"/>
      <c r="AD34" s="308"/>
    </row>
    <row r="35" spans="1:30">
      <c r="A35" s="143"/>
      <c r="B35" s="150"/>
      <c r="D35" s="150"/>
      <c r="V35" s="308"/>
      <c r="W35" s="308"/>
      <c r="X35" s="308"/>
      <c r="Y35" s="308"/>
      <c r="Z35" s="308"/>
      <c r="AA35" s="308"/>
      <c r="AB35" s="308"/>
      <c r="AC35" s="308"/>
      <c r="AD35" s="308"/>
    </row>
    <row r="36" spans="1:30">
      <c r="A36" s="143"/>
      <c r="B36" s="150"/>
      <c r="D36" s="150"/>
      <c r="V36" s="308"/>
      <c r="W36" s="308"/>
      <c r="X36" s="308"/>
      <c r="Y36" s="308"/>
      <c r="Z36" s="308"/>
      <c r="AA36" s="308"/>
      <c r="AB36" s="308"/>
      <c r="AC36" s="308"/>
      <c r="AD36" s="308"/>
    </row>
    <row r="37" spans="1:30">
      <c r="A37" s="143"/>
      <c r="B37" s="150"/>
      <c r="D37" s="150"/>
      <c r="V37" s="308"/>
      <c r="W37" s="308"/>
      <c r="X37" s="308"/>
      <c r="Y37" s="308"/>
      <c r="Z37" s="308"/>
      <c r="AA37" s="308"/>
      <c r="AB37" s="308"/>
      <c r="AC37" s="308"/>
      <c r="AD37" s="308"/>
    </row>
    <row r="38" spans="1:30">
      <c r="A38" s="143"/>
      <c r="B38" s="150"/>
      <c r="D38" s="150"/>
    </row>
    <row r="39" spans="1:30">
      <c r="A39" s="143"/>
      <c r="B39" s="150"/>
      <c r="D39" s="150"/>
    </row>
    <row r="40" spans="1:30">
      <c r="A40" s="143"/>
      <c r="B40" s="150"/>
      <c r="D40" s="150"/>
    </row>
    <row r="41" spans="1:30">
      <c r="A41" s="143"/>
      <c r="B41" s="150"/>
      <c r="D41" s="150"/>
    </row>
    <row r="42" spans="1:30">
      <c r="E42" s="151"/>
    </row>
    <row r="49" spans="1:5" s="1068" customFormat="1" ht="12.75" customHeight="1">
      <c r="B49" s="1072"/>
      <c r="C49" s="1072"/>
      <c r="D49" s="1072"/>
      <c r="E49" s="1073"/>
    </row>
    <row r="55" spans="1:5" ht="15.75">
      <c r="A55" s="7"/>
      <c r="B55" s="7"/>
      <c r="D55" s="7"/>
    </row>
    <row r="56" spans="1:5" ht="15.75">
      <c r="A56" s="2"/>
      <c r="B56" s="2"/>
      <c r="C56" s="2"/>
      <c r="D56" s="2"/>
      <c r="E56" s="24"/>
    </row>
    <row r="57" spans="1:5" ht="15.75">
      <c r="C57" s="2"/>
      <c r="E57" s="2"/>
    </row>
  </sheetData>
  <customSheetViews>
    <customSheetView guid="{E6BBE5A7-0B25-4EE8-BA45-5EA5DBAF3AD4}" showPageBreaks="1" printArea="1">
      <pageMargins left="0.5" right="0.5" top="1" bottom="1" header="0.5" footer="0.5"/>
      <printOptions horizontalCentered="1"/>
      <pageSetup scale="78" firstPageNumber="3" orientation="landscape" useFirstPageNumber="1" r:id="rId1"/>
    </customSheetView>
  </customSheetViews>
  <hyperlinks>
    <hyperlink ref="F1" location="TOC!A1" display="Back"/>
  </hyperlinks>
  <pageMargins left="0.6" right="0.25" top="0.5" bottom="0.25" header="0.25" footer="0"/>
  <pageSetup firstPageNumber="3" orientation="landscape" r:id="rId2"/>
  <headerFooter scaleWithDoc="0">
    <oddHeader>&amp;R&amp;P</oddHeader>
  </headerFooter>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AJ49"/>
  <sheetViews>
    <sheetView zoomScaleNormal="100" workbookViewId="0"/>
  </sheetViews>
  <sheetFormatPr defaultColWidth="9.140625" defaultRowHeight="12.75"/>
  <cols>
    <col min="1" max="1" width="10.7109375" style="437" customWidth="1"/>
    <col min="2" max="2" width="4.7109375" style="437" customWidth="1"/>
    <col min="3" max="3" width="8" style="437" customWidth="1"/>
    <col min="4" max="4" width="18.7109375" style="437" customWidth="1"/>
    <col min="5" max="5" width="16.7109375" style="437" customWidth="1"/>
    <col min="6" max="8" width="17.7109375" style="437" customWidth="1"/>
    <col min="9" max="9" width="18.7109375" style="437" customWidth="1"/>
    <col min="10" max="10" width="17.7109375" style="437" customWidth="1"/>
    <col min="11" max="11" width="11.7109375" style="1166" customWidth="1"/>
    <col min="12" max="12" width="5.28515625" style="437" bestFit="1" customWidth="1"/>
    <col min="13" max="16384" width="9.140625" style="437"/>
  </cols>
  <sheetData>
    <row r="1" spans="1:12" ht="18">
      <c r="A1" s="435" t="s">
        <v>381</v>
      </c>
      <c r="B1" s="435"/>
      <c r="C1" s="435"/>
      <c r="D1" s="436"/>
      <c r="E1" s="267"/>
      <c r="F1" s="436"/>
      <c r="G1" s="436"/>
      <c r="H1" s="436"/>
      <c r="I1" s="436"/>
      <c r="J1" s="268"/>
      <c r="K1" s="268"/>
      <c r="L1" s="1276" t="s">
        <v>1194</v>
      </c>
    </row>
    <row r="2" spans="1:12" ht="15.75">
      <c r="A2" s="1383" t="s">
        <v>903</v>
      </c>
      <c r="B2" s="1383"/>
      <c r="C2" s="1383"/>
      <c r="D2" s="1383"/>
      <c r="E2" s="1383"/>
      <c r="F2" s="1383"/>
      <c r="G2" s="1383"/>
      <c r="H2" s="1383"/>
      <c r="I2" s="1383"/>
      <c r="J2" s="1383"/>
      <c r="K2" s="1383"/>
      <c r="L2" s="1383"/>
    </row>
    <row r="3" spans="1:12" ht="15" customHeight="1" thickBot="1">
      <c r="A3" s="769" t="s">
        <v>1057</v>
      </c>
      <c r="B3" s="769"/>
      <c r="C3" s="769"/>
      <c r="D3" s="436"/>
      <c r="E3" s="267"/>
      <c r="F3" s="436"/>
      <c r="G3" s="436"/>
      <c r="H3" s="436"/>
      <c r="I3" s="436"/>
      <c r="J3" s="268"/>
      <c r="K3" s="268"/>
      <c r="L3" s="436"/>
    </row>
    <row r="4" spans="1:12" ht="15" customHeight="1">
      <c r="A4" s="438"/>
      <c r="B4" s="438"/>
      <c r="C4" s="438"/>
      <c r="D4" s="438"/>
      <c r="E4" s="439"/>
      <c r="F4" s="440" t="s">
        <v>382</v>
      </c>
      <c r="G4" s="440" t="s">
        <v>383</v>
      </c>
      <c r="H4" s="440" t="s">
        <v>17</v>
      </c>
      <c r="I4" s="439"/>
      <c r="J4" s="439"/>
      <c r="K4" s="440" t="s">
        <v>384</v>
      </c>
    </row>
    <row r="5" spans="1:12" ht="15.75">
      <c r="B5" s="441" t="s">
        <v>366</v>
      </c>
      <c r="C5" s="442"/>
      <c r="D5" s="441" t="s">
        <v>385</v>
      </c>
      <c r="E5" s="441" t="s">
        <v>386</v>
      </c>
      <c r="F5" s="443" t="s">
        <v>387</v>
      </c>
      <c r="G5" s="443" t="s">
        <v>388</v>
      </c>
      <c r="H5" s="443" t="s">
        <v>387</v>
      </c>
      <c r="I5" s="443" t="s">
        <v>389</v>
      </c>
      <c r="J5" s="443" t="s">
        <v>390</v>
      </c>
      <c r="K5" s="443" t="s">
        <v>21</v>
      </c>
    </row>
    <row r="6" spans="1:12" s="447" customFormat="1" ht="15.75">
      <c r="A6" s="444"/>
      <c r="B6" s="445" t="s">
        <v>367</v>
      </c>
      <c r="C6" s="446"/>
      <c r="D6" s="445" t="s">
        <v>391</v>
      </c>
      <c r="E6" s="445" t="s">
        <v>392</v>
      </c>
      <c r="F6" s="445" t="s">
        <v>392</v>
      </c>
      <c r="G6" s="445" t="s">
        <v>392</v>
      </c>
      <c r="H6" s="445" t="s">
        <v>392</v>
      </c>
      <c r="I6" s="445" t="s">
        <v>22</v>
      </c>
      <c r="J6" s="445" t="s">
        <v>393</v>
      </c>
      <c r="K6" s="445" t="s">
        <v>394</v>
      </c>
    </row>
    <row r="7" spans="1:12">
      <c r="A7" s="152"/>
      <c r="B7" s="152"/>
      <c r="C7" s="152"/>
      <c r="D7" s="152"/>
      <c r="E7" s="152"/>
      <c r="F7" s="152"/>
      <c r="G7" s="152"/>
      <c r="H7" s="152"/>
      <c r="I7" s="152"/>
      <c r="J7" s="152"/>
      <c r="K7" s="1163"/>
    </row>
    <row r="8" spans="1:12" ht="15" customHeight="1">
      <c r="A8" s="269">
        <v>0</v>
      </c>
      <c r="B8" s="268" t="s">
        <v>374</v>
      </c>
      <c r="C8" s="270">
        <v>999</v>
      </c>
      <c r="D8" s="797">
        <v>25555992.004500002</v>
      </c>
      <c r="E8" s="797">
        <v>277857122.32999998</v>
      </c>
      <c r="F8" s="797">
        <v>8125068677.0799999</v>
      </c>
      <c r="G8" s="797">
        <v>589262968.79999995</v>
      </c>
      <c r="H8" s="797">
        <v>8714331645.8800106</v>
      </c>
      <c r="I8" s="797">
        <v>4846042.34</v>
      </c>
      <c r="J8" s="797">
        <v>97018.880000000005</v>
      </c>
      <c r="K8" s="1164">
        <f>J8/I8</f>
        <v>2.0020229538481499E-2</v>
      </c>
    </row>
    <row r="9" spans="1:12" ht="15" customHeight="1">
      <c r="A9" s="269">
        <v>1000</v>
      </c>
      <c r="B9" s="268" t="s">
        <v>374</v>
      </c>
      <c r="C9" s="270">
        <v>1999</v>
      </c>
      <c r="D9" s="798">
        <v>85440210.895799994</v>
      </c>
      <c r="E9" s="798">
        <v>71591993.709999993</v>
      </c>
      <c r="F9" s="798">
        <v>114206630.42</v>
      </c>
      <c r="G9" s="798">
        <v>184061914.15000001</v>
      </c>
      <c r="H9" s="798">
        <v>298268544.56999999</v>
      </c>
      <c r="I9" s="798">
        <v>12074814.15</v>
      </c>
      <c r="J9" s="798">
        <v>241576.25</v>
      </c>
      <c r="K9" s="1164">
        <f t="shared" ref="K9:K31" si="0">J9/I9</f>
        <v>2.0006622627810798E-2</v>
      </c>
    </row>
    <row r="10" spans="1:12" ht="15" customHeight="1">
      <c r="A10" s="269">
        <v>2000</v>
      </c>
      <c r="B10" s="268" t="s">
        <v>374</v>
      </c>
      <c r="C10" s="270">
        <v>2999</v>
      </c>
      <c r="D10" s="798">
        <v>146737742.41909999</v>
      </c>
      <c r="E10" s="798">
        <v>72352671.099999994</v>
      </c>
      <c r="F10" s="798">
        <v>110433676.72</v>
      </c>
      <c r="G10" s="798">
        <v>208553634.05000001</v>
      </c>
      <c r="H10" s="798">
        <v>318987310.76999998</v>
      </c>
      <c r="I10" s="798">
        <v>16235065.93</v>
      </c>
      <c r="J10" s="798">
        <v>324724.81</v>
      </c>
      <c r="K10" s="1164">
        <f t="shared" si="0"/>
        <v>2.0001446954394968E-2</v>
      </c>
    </row>
    <row r="11" spans="1:12" ht="15" customHeight="1">
      <c r="A11" s="269">
        <v>3000</v>
      </c>
      <c r="B11" s="268" t="s">
        <v>374</v>
      </c>
      <c r="C11" s="270">
        <v>3999</v>
      </c>
      <c r="D11" s="798">
        <v>201398472.00940001</v>
      </c>
      <c r="E11" s="798">
        <v>71010132.840000004</v>
      </c>
      <c r="F11" s="798">
        <v>105088602.48</v>
      </c>
      <c r="G11" s="798">
        <v>227575854.19999999</v>
      </c>
      <c r="H11" s="798">
        <v>332664456.68000001</v>
      </c>
      <c r="I11" s="798">
        <v>19068387.93</v>
      </c>
      <c r="J11" s="798">
        <v>392446.32</v>
      </c>
      <c r="K11" s="1164">
        <f t="shared" si="0"/>
        <v>2.0580990980499734E-2</v>
      </c>
    </row>
    <row r="12" spans="1:12" ht="15" customHeight="1">
      <c r="A12" s="269">
        <v>4000</v>
      </c>
      <c r="B12" s="268" t="s">
        <v>374</v>
      </c>
      <c r="C12" s="270">
        <v>4999</v>
      </c>
      <c r="D12" s="798">
        <v>250720021.2832</v>
      </c>
      <c r="E12" s="798">
        <v>69634067.069999993</v>
      </c>
      <c r="F12" s="798">
        <v>92583158.040000096</v>
      </c>
      <c r="G12" s="798">
        <v>239716311.5</v>
      </c>
      <c r="H12" s="798">
        <v>332299469.54000002</v>
      </c>
      <c r="I12" s="798">
        <v>21426311.260000002</v>
      </c>
      <c r="J12" s="798">
        <v>475161.86</v>
      </c>
      <c r="K12" s="1164">
        <f t="shared" si="0"/>
        <v>2.2176559195565423E-2</v>
      </c>
    </row>
    <row r="13" spans="1:12" ht="15" customHeight="1">
      <c r="A13" s="269">
        <v>5000</v>
      </c>
      <c r="B13" s="268" t="s">
        <v>374</v>
      </c>
      <c r="C13" s="270">
        <v>5999</v>
      </c>
      <c r="D13" s="798">
        <v>294594066.0219</v>
      </c>
      <c r="E13" s="798">
        <v>68097613.209999993</v>
      </c>
      <c r="F13" s="798">
        <v>75600677.780000001</v>
      </c>
      <c r="G13" s="798">
        <v>235008777.30000001</v>
      </c>
      <c r="H13" s="798">
        <v>310609455.07999998</v>
      </c>
      <c r="I13" s="798">
        <v>22314070.66</v>
      </c>
      <c r="J13" s="798">
        <v>535653.12</v>
      </c>
      <c r="K13" s="1164">
        <f t="shared" si="0"/>
        <v>2.400517270747049E-2</v>
      </c>
    </row>
    <row r="14" spans="1:12" ht="15" customHeight="1">
      <c r="A14" s="269">
        <v>6000</v>
      </c>
      <c r="B14" s="268" t="s">
        <v>374</v>
      </c>
      <c r="C14" s="270">
        <v>6999</v>
      </c>
      <c r="D14" s="798">
        <v>342425343.80180001</v>
      </c>
      <c r="E14" s="798">
        <v>68600101.659999996</v>
      </c>
      <c r="F14" s="798">
        <v>88122318.519999996</v>
      </c>
      <c r="G14" s="798">
        <v>233954400.40000001</v>
      </c>
      <c r="H14" s="798">
        <v>322076718.92000002</v>
      </c>
      <c r="I14" s="798">
        <v>24149738.960000001</v>
      </c>
      <c r="J14" s="798">
        <v>648871.54</v>
      </c>
      <c r="K14" s="1164">
        <f t="shared" si="0"/>
        <v>2.6868677175962322E-2</v>
      </c>
    </row>
    <row r="15" spans="1:12" ht="15" customHeight="1">
      <c r="A15" s="269">
        <v>7000</v>
      </c>
      <c r="B15" s="268" t="s">
        <v>374</v>
      </c>
      <c r="C15" s="270">
        <v>7999</v>
      </c>
      <c r="D15" s="798">
        <v>382792438.89399999</v>
      </c>
      <c r="E15" s="798">
        <v>67672258.519999996</v>
      </c>
      <c r="F15" s="798">
        <v>74331979.790000007</v>
      </c>
      <c r="G15" s="798">
        <v>228307764.84999999</v>
      </c>
      <c r="H15" s="798">
        <v>302639744.63999999</v>
      </c>
      <c r="I15" s="798">
        <v>24986145.59</v>
      </c>
      <c r="J15" s="798">
        <v>737849.63</v>
      </c>
      <c r="K15" s="1164">
        <f>J15/I15</f>
        <v>2.9530350223177421E-2</v>
      </c>
    </row>
    <row r="16" spans="1:12" ht="15" customHeight="1">
      <c r="A16" s="269">
        <v>8000</v>
      </c>
      <c r="B16" s="268" t="s">
        <v>374</v>
      </c>
      <c r="C16" s="270">
        <v>8999</v>
      </c>
      <c r="D16" s="798">
        <v>430210212.38340002</v>
      </c>
      <c r="E16" s="798">
        <v>68790461.459999993</v>
      </c>
      <c r="F16" s="798">
        <v>68501869.269999996</v>
      </c>
      <c r="G16" s="798">
        <v>241689591.65000001</v>
      </c>
      <c r="H16" s="798">
        <v>310191460.92000002</v>
      </c>
      <c r="I16" s="798">
        <v>25545747.949999999</v>
      </c>
      <c r="J16" s="798">
        <v>810758.87</v>
      </c>
      <c r="K16" s="1164">
        <f t="shared" si="0"/>
        <v>3.173752718404943E-2</v>
      </c>
    </row>
    <row r="17" spans="1:11" ht="15" customHeight="1">
      <c r="A17" s="269">
        <v>9000</v>
      </c>
      <c r="B17" s="268" t="s">
        <v>374</v>
      </c>
      <c r="C17" s="270">
        <v>9999</v>
      </c>
      <c r="D17" s="798">
        <v>476802655.95300001</v>
      </c>
      <c r="E17" s="798">
        <v>70009029.519999996</v>
      </c>
      <c r="F17" s="798">
        <v>68449819.040000007</v>
      </c>
      <c r="G17" s="798">
        <v>228405427.94999999</v>
      </c>
      <c r="H17" s="798">
        <v>296855246.99000001</v>
      </c>
      <c r="I17" s="798">
        <v>26354493.489999998</v>
      </c>
      <c r="J17" s="798">
        <v>884744</v>
      </c>
      <c r="K17" s="1164">
        <f t="shared" si="0"/>
        <v>3.3570897514524765E-2</v>
      </c>
    </row>
    <row r="18" spans="1:11" ht="15" customHeight="1">
      <c r="A18" s="269">
        <v>10000</v>
      </c>
      <c r="B18" s="268" t="s">
        <v>374</v>
      </c>
      <c r="C18" s="270">
        <v>10999</v>
      </c>
      <c r="D18" s="798">
        <v>551229282.15190005</v>
      </c>
      <c r="E18" s="798">
        <v>76466918.900000006</v>
      </c>
      <c r="F18" s="798">
        <v>75763817.75</v>
      </c>
      <c r="G18" s="798">
        <v>242838796.44999999</v>
      </c>
      <c r="H18" s="798">
        <v>318602614.19999999</v>
      </c>
      <c r="I18" s="798">
        <v>27503464.329999998</v>
      </c>
      <c r="J18" s="798">
        <v>965279.95</v>
      </c>
      <c r="K18" s="1164">
        <f t="shared" si="0"/>
        <v>3.5096667765853046E-2</v>
      </c>
    </row>
    <row r="19" spans="1:11" ht="15" customHeight="1">
      <c r="A19" s="269">
        <v>11000</v>
      </c>
      <c r="B19" s="268" t="s">
        <v>374</v>
      </c>
      <c r="C19" s="270">
        <v>11999</v>
      </c>
      <c r="D19" s="798">
        <v>601778609.36430001</v>
      </c>
      <c r="E19" s="798">
        <v>77544409.799999997</v>
      </c>
      <c r="F19" s="798">
        <v>72154090.099999994</v>
      </c>
      <c r="G19" s="798">
        <v>242021557.19999999</v>
      </c>
      <c r="H19" s="798">
        <v>314175647.30000001</v>
      </c>
      <c r="I19" s="798">
        <v>40351622.68</v>
      </c>
      <c r="J19" s="798">
        <v>1386090.06</v>
      </c>
      <c r="K19" s="1164">
        <f t="shared" si="0"/>
        <v>3.435029294836775E-2</v>
      </c>
    </row>
    <row r="20" spans="1:11" ht="15" customHeight="1">
      <c r="A20" s="269">
        <v>12000</v>
      </c>
      <c r="B20" s="268" t="s">
        <v>374</v>
      </c>
      <c r="C20" s="270">
        <v>12999</v>
      </c>
      <c r="D20" s="798">
        <v>640348705.59500003</v>
      </c>
      <c r="E20" s="798">
        <v>76798589.040000007</v>
      </c>
      <c r="F20" s="798">
        <v>64391414.469999999</v>
      </c>
      <c r="G20" s="798">
        <v>239006354.69999999</v>
      </c>
      <c r="H20" s="798">
        <v>303397769.17000002</v>
      </c>
      <c r="I20" s="798">
        <v>287056156.17000002</v>
      </c>
      <c r="J20" s="798">
        <v>9143485.1700000092</v>
      </c>
      <c r="K20" s="1164">
        <f t="shared" si="0"/>
        <v>3.1852600870838202E-2</v>
      </c>
    </row>
    <row r="21" spans="1:11" ht="15" customHeight="1">
      <c r="A21" s="269">
        <v>13000</v>
      </c>
      <c r="B21" s="268" t="s">
        <v>374</v>
      </c>
      <c r="C21" s="270">
        <v>13999</v>
      </c>
      <c r="D21" s="798">
        <v>662371139.949</v>
      </c>
      <c r="E21" s="798">
        <v>76130789.519999996</v>
      </c>
      <c r="F21" s="798">
        <v>59278583.75</v>
      </c>
      <c r="G21" s="798">
        <v>230041435.90000001</v>
      </c>
      <c r="H21" s="798">
        <v>289320019.64999998</v>
      </c>
      <c r="I21" s="798">
        <v>302846320.54000002</v>
      </c>
      <c r="J21" s="798">
        <v>10265674.460000001</v>
      </c>
      <c r="K21" s="1164">
        <f t="shared" si="0"/>
        <v>3.3897306203672727E-2</v>
      </c>
    </row>
    <row r="22" spans="1:11" ht="15" customHeight="1">
      <c r="A22" s="269">
        <v>14000</v>
      </c>
      <c r="B22" s="268" t="s">
        <v>374</v>
      </c>
      <c r="C22" s="270">
        <v>14999</v>
      </c>
      <c r="D22" s="798">
        <v>738264528.88059998</v>
      </c>
      <c r="E22" s="798">
        <v>85299974.310000002</v>
      </c>
      <c r="F22" s="798">
        <v>71793269.659999996</v>
      </c>
      <c r="G22" s="798">
        <v>240742726.15000001</v>
      </c>
      <c r="H22" s="798">
        <v>312535995.81</v>
      </c>
      <c r="I22" s="798">
        <v>345334800.33999997</v>
      </c>
      <c r="J22" s="798">
        <v>12221246.039999999</v>
      </c>
      <c r="K22" s="1164">
        <f t="shared" si="0"/>
        <v>3.5389558272052368E-2</v>
      </c>
    </row>
    <row r="23" spans="1:11" ht="15" customHeight="1">
      <c r="A23" s="269">
        <v>15000</v>
      </c>
      <c r="B23" s="268" t="s">
        <v>374</v>
      </c>
      <c r="C23" s="270">
        <v>19999</v>
      </c>
      <c r="D23" s="798">
        <v>4216174246.5332999</v>
      </c>
      <c r="E23" s="798">
        <v>403784177</v>
      </c>
      <c r="F23" s="798">
        <v>407172968.12</v>
      </c>
      <c r="G23" s="798">
        <v>1154788021.1500001</v>
      </c>
      <c r="H23" s="798">
        <v>1561960989.27</v>
      </c>
      <c r="I23" s="798">
        <v>2118555656.9200001</v>
      </c>
      <c r="J23" s="798">
        <v>82573496.769999996</v>
      </c>
      <c r="K23" s="1164">
        <f>J23/I23</f>
        <v>3.8976316954564723E-2</v>
      </c>
    </row>
    <row r="24" spans="1:11" ht="15" customHeight="1">
      <c r="A24" s="269">
        <v>20000</v>
      </c>
      <c r="B24" s="268" t="s">
        <v>374</v>
      </c>
      <c r="C24" s="270">
        <v>24999</v>
      </c>
      <c r="D24" s="798">
        <v>5205527998.0823002</v>
      </c>
      <c r="E24" s="798">
        <v>395961152.17000002</v>
      </c>
      <c r="F24" s="798">
        <v>364496591.31999999</v>
      </c>
      <c r="G24" s="798">
        <v>1137171364.1500001</v>
      </c>
      <c r="H24" s="798">
        <v>1501667955.47</v>
      </c>
      <c r="I24" s="798">
        <v>2878067179.6999998</v>
      </c>
      <c r="J24" s="798">
        <v>121567650.48999999</v>
      </c>
      <c r="K24" s="1164">
        <f t="shared" si="0"/>
        <v>4.2239337339815608E-2</v>
      </c>
    </row>
    <row r="25" spans="1:11" ht="15" customHeight="1">
      <c r="A25" s="269">
        <v>25000</v>
      </c>
      <c r="B25" s="268" t="s">
        <v>374</v>
      </c>
      <c r="C25" s="270">
        <v>29999</v>
      </c>
      <c r="D25" s="798">
        <v>6056103519.5829</v>
      </c>
      <c r="E25" s="798">
        <v>385060161.86000001</v>
      </c>
      <c r="F25" s="798">
        <v>408863565.57999998</v>
      </c>
      <c r="G25" s="798">
        <v>1090643630.8499999</v>
      </c>
      <c r="H25" s="798">
        <v>1499507196.4300001</v>
      </c>
      <c r="I25" s="798">
        <v>3896438147.96</v>
      </c>
      <c r="J25" s="798">
        <v>173503217.56</v>
      </c>
      <c r="K25" s="1164">
        <f>J25/I25</f>
        <v>4.4528672333946452E-2</v>
      </c>
    </row>
    <row r="26" spans="1:11" ht="15" customHeight="1">
      <c r="A26" s="269">
        <v>30000</v>
      </c>
      <c r="B26" s="268" t="s">
        <v>374</v>
      </c>
      <c r="C26" s="270">
        <v>34999</v>
      </c>
      <c r="D26" s="798">
        <v>6653692755.2983999</v>
      </c>
      <c r="E26" s="798">
        <v>364586360.76999998</v>
      </c>
      <c r="F26" s="798">
        <v>460955137.10000002</v>
      </c>
      <c r="G26" s="798">
        <v>1024943325.8</v>
      </c>
      <c r="H26" s="798">
        <v>1485898462.9000001</v>
      </c>
      <c r="I26" s="798">
        <v>4486692987.6099997</v>
      </c>
      <c r="J26" s="798">
        <v>209495428.59999999</v>
      </c>
      <c r="K26" s="1164">
        <f t="shared" si="0"/>
        <v>4.6692615068274455E-2</v>
      </c>
    </row>
    <row r="27" spans="1:11" ht="15" customHeight="1">
      <c r="A27" s="269">
        <v>35000</v>
      </c>
      <c r="B27" s="268" t="s">
        <v>374</v>
      </c>
      <c r="C27" s="270">
        <v>39999</v>
      </c>
      <c r="D27" s="798">
        <v>6854809989.5867004</v>
      </c>
      <c r="E27" s="798">
        <v>330139725.69999999</v>
      </c>
      <c r="F27" s="798">
        <v>446583822.43000001</v>
      </c>
      <c r="G27" s="798">
        <v>923020482.200001</v>
      </c>
      <c r="H27" s="798">
        <v>1369604304.6300001</v>
      </c>
      <c r="I27" s="798">
        <v>4796127946.2200003</v>
      </c>
      <c r="J27" s="798">
        <v>230771245.00999999</v>
      </c>
      <c r="K27" s="1164">
        <f t="shared" si="0"/>
        <v>4.8116156949457332E-2</v>
      </c>
    </row>
    <row r="28" spans="1:11" ht="15" customHeight="1">
      <c r="A28" s="269">
        <v>40000</v>
      </c>
      <c r="B28" s="268" t="s">
        <v>374</v>
      </c>
      <c r="C28" s="270">
        <v>44999</v>
      </c>
      <c r="D28" s="798">
        <v>7001650777.4919996</v>
      </c>
      <c r="E28" s="798">
        <v>301280668.37</v>
      </c>
      <c r="F28" s="798">
        <v>417690444.66000003</v>
      </c>
      <c r="G28" s="798">
        <v>838843908.04999995</v>
      </c>
      <c r="H28" s="798">
        <v>1256534352.71</v>
      </c>
      <c r="I28" s="798">
        <v>5026236263.0200005</v>
      </c>
      <c r="J28" s="798">
        <v>247309381.87</v>
      </c>
      <c r="K28" s="1164">
        <f t="shared" si="0"/>
        <v>4.9203692172123406E-2</v>
      </c>
    </row>
    <row r="29" spans="1:11" ht="15" customHeight="1">
      <c r="A29" s="269">
        <v>45000</v>
      </c>
      <c r="B29" s="268" t="s">
        <v>374</v>
      </c>
      <c r="C29" s="270">
        <v>49999</v>
      </c>
      <c r="D29" s="798">
        <v>7031125359.1227503</v>
      </c>
      <c r="E29" s="798">
        <v>273852876.08999997</v>
      </c>
      <c r="F29" s="798">
        <v>466168232.00999999</v>
      </c>
      <c r="G29" s="798">
        <v>756729635.10000002</v>
      </c>
      <c r="H29" s="798">
        <v>1222897867.1099999</v>
      </c>
      <c r="I29" s="798">
        <v>5181315823.7399998</v>
      </c>
      <c r="J29" s="798">
        <v>258637132.87</v>
      </c>
      <c r="K29" s="1164">
        <f t="shared" si="0"/>
        <v>4.9917268444622513E-2</v>
      </c>
    </row>
    <row r="30" spans="1:11" ht="15" customHeight="1">
      <c r="A30" s="269">
        <v>50000</v>
      </c>
      <c r="B30" s="268" t="s">
        <v>374</v>
      </c>
      <c r="C30" s="270">
        <v>74999</v>
      </c>
      <c r="D30" s="798">
        <v>33073307699.572601</v>
      </c>
      <c r="E30" s="798">
        <v>1064289740.54</v>
      </c>
      <c r="F30" s="798">
        <v>2230949110.8699999</v>
      </c>
      <c r="G30" s="798">
        <v>2833772816.4499998</v>
      </c>
      <c r="H30" s="798">
        <v>5064721927.3199997</v>
      </c>
      <c r="I30" s="798">
        <v>25911069067.09</v>
      </c>
      <c r="J30" s="798">
        <v>1327208948.8699999</v>
      </c>
      <c r="K30" s="1164">
        <f t="shared" si="0"/>
        <v>5.1221697778410305E-2</v>
      </c>
    </row>
    <row r="31" spans="1:11">
      <c r="A31" s="269">
        <v>75000</v>
      </c>
      <c r="B31" s="268" t="s">
        <v>374</v>
      </c>
      <c r="C31" s="270">
        <v>99999</v>
      </c>
      <c r="D31" s="798">
        <v>30351452973.525902</v>
      </c>
      <c r="E31" s="798">
        <v>785430925.88999999</v>
      </c>
      <c r="F31" s="798">
        <v>2261292774.6799998</v>
      </c>
      <c r="G31" s="798">
        <v>1931308244.25</v>
      </c>
      <c r="H31" s="798">
        <v>4192601018.9299998</v>
      </c>
      <c r="I31" s="798">
        <v>25224504456.490002</v>
      </c>
      <c r="J31" s="798">
        <v>1326938493.3399999</v>
      </c>
      <c r="K31" s="1164">
        <f t="shared" si="0"/>
        <v>5.2605136232858382E-2</v>
      </c>
    </row>
    <row r="32" spans="1:11">
      <c r="A32" s="269">
        <v>100000</v>
      </c>
      <c r="B32" s="268" t="s">
        <v>372</v>
      </c>
      <c r="C32" s="1170" t="s">
        <v>395</v>
      </c>
      <c r="D32" s="798">
        <v>204108259642.569</v>
      </c>
      <c r="E32" s="798">
        <v>2377161966.3099999</v>
      </c>
      <c r="F32" s="798">
        <v>16934016667.65</v>
      </c>
      <c r="G32" s="798">
        <v>3959962893</v>
      </c>
      <c r="H32" s="798">
        <v>20893979560.650002</v>
      </c>
      <c r="I32" s="798">
        <v>183033918091.73999</v>
      </c>
      <c r="J32" s="798">
        <v>10154897564.309999</v>
      </c>
      <c r="K32" s="1164">
        <f>J32/I32</f>
        <v>5.5480960415326831E-2</v>
      </c>
    </row>
    <row r="33" spans="1:36">
      <c r="A33" s="269"/>
      <c r="B33" s="268"/>
      <c r="C33" s="267"/>
      <c r="D33" s="266"/>
      <c r="E33" s="266"/>
      <c r="F33" s="266"/>
      <c r="G33" s="266"/>
      <c r="H33" s="266"/>
      <c r="I33" s="266"/>
      <c r="J33" s="266"/>
      <c r="K33" s="1164"/>
    </row>
    <row r="34" spans="1:36">
      <c r="A34" s="153" t="s">
        <v>17</v>
      </c>
      <c r="B34" s="153"/>
      <c r="C34" s="153"/>
      <c r="D34" s="155">
        <f>SUM(D8:D32)</f>
        <v>316382774382.97278</v>
      </c>
      <c r="E34" s="155">
        <f t="shared" ref="E34:J34" si="1">SUM(E8:E32)</f>
        <v>7979403887.6900005</v>
      </c>
      <c r="F34" s="155">
        <f t="shared" si="1"/>
        <v>33663957899.290001</v>
      </c>
      <c r="G34" s="155">
        <f t="shared" si="1"/>
        <v>19462371836.25</v>
      </c>
      <c r="H34" s="155">
        <f>SUM(H8:H32)</f>
        <v>53126329735.540009</v>
      </c>
      <c r="I34" s="155">
        <f t="shared" si="1"/>
        <v>263753018802.81</v>
      </c>
      <c r="J34" s="155">
        <f t="shared" si="1"/>
        <v>14172033140.65</v>
      </c>
      <c r="K34" s="1165">
        <f>J34/I34</f>
        <v>5.3732212070889906E-2</v>
      </c>
    </row>
    <row r="35" spans="1:36">
      <c r="D35" s="457"/>
    </row>
    <row r="36" spans="1:36" s="1144" customFormat="1">
      <c r="A36" s="1161" t="s">
        <v>1</v>
      </c>
      <c r="B36" s="1150"/>
      <c r="C36" s="1151"/>
      <c r="D36" s="1152"/>
      <c r="E36" s="1152"/>
      <c r="F36" s="1152"/>
      <c r="G36" s="1152"/>
      <c r="H36" s="1153"/>
      <c r="I36" s="1152"/>
      <c r="J36" s="1154"/>
      <c r="K36" s="1167"/>
      <c r="P36" s="1155"/>
      <c r="Q36" s="1156"/>
      <c r="R36" s="1157"/>
      <c r="S36" s="1158"/>
      <c r="T36" s="1158"/>
      <c r="U36" s="1158"/>
      <c r="V36" s="1158"/>
      <c r="W36" s="1159"/>
      <c r="X36" s="1158"/>
      <c r="Y36" s="1158"/>
      <c r="Z36" s="1158"/>
      <c r="AC36" s="1145"/>
      <c r="AD36" s="1145"/>
      <c r="AE36" s="1145"/>
      <c r="AF36" s="1145"/>
      <c r="AG36" s="1145"/>
      <c r="AH36" s="1145"/>
      <c r="AI36" s="1145"/>
      <c r="AJ36" s="1145"/>
    </row>
    <row r="37" spans="1:36" s="1144" customFormat="1">
      <c r="A37" s="1162" t="s">
        <v>931</v>
      </c>
      <c r="B37" s="1146"/>
      <c r="C37" s="1147"/>
      <c r="D37" s="1146"/>
      <c r="E37" s="1146"/>
      <c r="F37" s="1146"/>
      <c r="G37" s="1146"/>
      <c r="H37" s="1148"/>
      <c r="I37" s="1146"/>
      <c r="J37" s="1146"/>
      <c r="K37" s="1148"/>
    </row>
    <row r="38" spans="1:36" s="1144" customFormat="1">
      <c r="A38" s="1144" t="s">
        <v>932</v>
      </c>
      <c r="C38" s="1147"/>
      <c r="H38" s="1148"/>
      <c r="K38" s="1148"/>
    </row>
    <row r="39" spans="1:36" s="1144" customFormat="1">
      <c r="A39" s="1144" t="s">
        <v>933</v>
      </c>
      <c r="C39" s="1147"/>
      <c r="H39" s="1148"/>
      <c r="K39" s="1148"/>
    </row>
    <row r="40" spans="1:36" s="1144" customFormat="1" ht="12.75" customHeight="1">
      <c r="A40" s="1162" t="s">
        <v>934</v>
      </c>
      <c r="F40" s="1156"/>
      <c r="K40" s="1148"/>
    </row>
    <row r="41" spans="1:36" s="1144" customFormat="1" ht="12.75" customHeight="1">
      <c r="A41" s="1162" t="s">
        <v>935</v>
      </c>
      <c r="B41" s="1160"/>
      <c r="C41" s="1160"/>
      <c r="D41" s="1160"/>
      <c r="E41" s="1160"/>
      <c r="F41" s="1160"/>
      <c r="G41" s="1160"/>
      <c r="H41" s="1160"/>
      <c r="I41" s="1160"/>
      <c r="J41" s="1160"/>
      <c r="K41" s="1160"/>
    </row>
    <row r="42" spans="1:36" s="1149" customFormat="1">
      <c r="A42" s="1162" t="s">
        <v>936</v>
      </c>
      <c r="K42" s="1168"/>
    </row>
    <row r="43" spans="1:36" s="1149" customFormat="1">
      <c r="A43" s="1162" t="s">
        <v>1166</v>
      </c>
      <c r="K43" s="1168"/>
    </row>
    <row r="44" spans="1:36" s="1068" customFormat="1" ht="12.75" customHeight="1">
      <c r="A44" s="1120" t="s">
        <v>1157</v>
      </c>
      <c r="B44" s="1072"/>
      <c r="C44" s="1072"/>
      <c r="D44" s="1072"/>
      <c r="E44" s="1073"/>
      <c r="K44" s="1169"/>
    </row>
    <row r="49" spans="6:6">
      <c r="F49" s="449"/>
    </row>
  </sheetData>
  <customSheetViews>
    <customSheetView guid="{E6BBE5A7-0B25-4EE8-BA45-5EA5DBAF3AD4}" showPageBreaks="1" printArea="1" topLeftCell="A19">
      <pageMargins left="0.5" right="0.5" top="0.5" bottom="0.5" header="0.5" footer="0.5"/>
      <printOptions horizontalCentered="1"/>
      <pageSetup scale="65" orientation="landscape" r:id="rId1"/>
      <headerFooter alignWithMargins="0"/>
    </customSheetView>
  </customSheetViews>
  <mergeCells count="1">
    <mergeCell ref="A2:L2"/>
  </mergeCells>
  <hyperlinks>
    <hyperlink ref="L1" location="TOC!A1" display="Back"/>
  </hyperlinks>
  <pageMargins left="0.4" right="0.25" top="0.5" bottom="0.25" header="0.25" footer="0"/>
  <pageSetup scale="84" orientation="landscape" r:id="rId2"/>
  <headerFooter scaleWithDoc="0">
    <oddHeader>&amp;R&amp;P</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AD35"/>
  <sheetViews>
    <sheetView zoomScaleNormal="100" workbookViewId="0"/>
  </sheetViews>
  <sheetFormatPr defaultColWidth="9.140625" defaultRowHeight="12.75"/>
  <cols>
    <col min="1" max="1" width="12.42578125" style="437" customWidth="1"/>
    <col min="2" max="2" width="4.7109375" style="437" customWidth="1"/>
    <col min="3" max="3" width="8" style="437" customWidth="1"/>
    <col min="4" max="4" width="11.7109375" style="437" customWidth="1"/>
    <col min="5" max="5" width="14.7109375" style="437" customWidth="1"/>
    <col min="6" max="7" width="13.7109375" style="437" customWidth="1"/>
    <col min="8" max="8" width="52.7109375" style="437" customWidth="1"/>
    <col min="9" max="10" width="9.140625" style="437"/>
    <col min="11" max="11" width="5.28515625" style="437" bestFit="1" customWidth="1"/>
    <col min="12" max="24" width="9.140625" style="437"/>
    <col min="25" max="25" width="16.42578125" style="597" customWidth="1"/>
    <col min="26" max="26" width="9.140625" style="597"/>
    <col min="27" max="16384" width="9.140625" style="437"/>
  </cols>
  <sheetData>
    <row r="1" spans="1:11" ht="17.100000000000001" customHeight="1">
      <c r="A1" s="450" t="s">
        <v>376</v>
      </c>
      <c r="B1" s="450"/>
      <c r="C1" s="450"/>
      <c r="K1" s="1276" t="s">
        <v>1194</v>
      </c>
    </row>
    <row r="2" spans="1:11" ht="15" customHeight="1">
      <c r="A2" s="448" t="s">
        <v>377</v>
      </c>
      <c r="B2" s="448"/>
      <c r="C2" s="448"/>
    </row>
    <row r="3" spans="1:11" ht="15" customHeight="1">
      <c r="A3" s="769" t="str">
        <f>'1.2'!A3</f>
        <v>Taxable Year 2019</v>
      </c>
      <c r="B3" s="448"/>
      <c r="C3" s="448"/>
    </row>
    <row r="4" spans="1:11" ht="6" customHeight="1"/>
    <row r="5" spans="1:11" ht="47.25">
      <c r="A5" s="799" t="s">
        <v>1058</v>
      </c>
      <c r="B5" s="800"/>
      <c r="C5" s="800"/>
      <c r="D5" s="801" t="s">
        <v>1059</v>
      </c>
      <c r="E5" s="801" t="s">
        <v>1061</v>
      </c>
      <c r="F5" s="801" t="s">
        <v>1062</v>
      </c>
      <c r="G5" s="801" t="s">
        <v>1060</v>
      </c>
    </row>
    <row r="6" spans="1:11" ht="21" customHeight="1">
      <c r="A6" s="270">
        <v>999</v>
      </c>
      <c r="B6" s="268" t="s">
        <v>372</v>
      </c>
      <c r="C6" s="267" t="s">
        <v>373</v>
      </c>
      <c r="D6" s="802">
        <v>99160</v>
      </c>
      <c r="E6" s="802">
        <v>50644</v>
      </c>
      <c r="F6" s="802">
        <v>13275</v>
      </c>
      <c r="G6" s="802">
        <v>163079</v>
      </c>
    </row>
    <row r="7" spans="1:11" ht="12.75" customHeight="1">
      <c r="A7" s="270">
        <v>1000</v>
      </c>
      <c r="B7" s="268" t="s">
        <v>374</v>
      </c>
      <c r="C7" s="270">
        <v>1999</v>
      </c>
      <c r="D7" s="802">
        <v>47837</v>
      </c>
      <c r="E7" s="802">
        <v>6689</v>
      </c>
      <c r="F7" s="802">
        <v>2245</v>
      </c>
      <c r="G7" s="802">
        <v>56771</v>
      </c>
    </row>
    <row r="8" spans="1:11" ht="12.75" customHeight="1">
      <c r="A8" s="270">
        <v>2000</v>
      </c>
      <c r="B8" s="268" t="s">
        <v>374</v>
      </c>
      <c r="C8" s="270">
        <v>2999</v>
      </c>
      <c r="D8" s="802">
        <v>50868</v>
      </c>
      <c r="E8" s="802">
        <v>5964</v>
      </c>
      <c r="F8" s="802">
        <v>1945</v>
      </c>
      <c r="G8" s="802">
        <v>58777</v>
      </c>
    </row>
    <row r="9" spans="1:11" ht="12.75" customHeight="1">
      <c r="A9" s="270">
        <v>3000</v>
      </c>
      <c r="B9" s="268" t="s">
        <v>374</v>
      </c>
      <c r="C9" s="270">
        <v>3999</v>
      </c>
      <c r="D9" s="802">
        <v>50095</v>
      </c>
      <c r="E9" s="802">
        <v>5604</v>
      </c>
      <c r="F9" s="802">
        <v>1946</v>
      </c>
      <c r="G9" s="802">
        <v>57645</v>
      </c>
    </row>
    <row r="10" spans="1:11" ht="12.75" customHeight="1">
      <c r="A10" s="270">
        <v>4000</v>
      </c>
      <c r="B10" s="268" t="s">
        <v>374</v>
      </c>
      <c r="C10" s="270">
        <v>4999</v>
      </c>
      <c r="D10" s="802">
        <v>48544</v>
      </c>
      <c r="E10" s="802">
        <v>5443</v>
      </c>
      <c r="F10" s="802">
        <v>1786</v>
      </c>
      <c r="G10" s="802">
        <v>55773</v>
      </c>
    </row>
    <row r="11" spans="1:11" ht="12.75" customHeight="1">
      <c r="A11" s="270">
        <v>5000</v>
      </c>
      <c r="B11" s="268" t="s">
        <v>374</v>
      </c>
      <c r="C11" s="270">
        <v>5999</v>
      </c>
      <c r="D11" s="802">
        <v>46756</v>
      </c>
      <c r="E11" s="802">
        <v>5175</v>
      </c>
      <c r="F11" s="802">
        <v>1698</v>
      </c>
      <c r="G11" s="802">
        <v>53629</v>
      </c>
    </row>
    <row r="12" spans="1:11" ht="12.75" customHeight="1">
      <c r="A12" s="270">
        <v>6000</v>
      </c>
      <c r="B12" s="268" t="s">
        <v>374</v>
      </c>
      <c r="C12" s="270">
        <v>6999</v>
      </c>
      <c r="D12" s="802">
        <v>45740</v>
      </c>
      <c r="E12" s="802">
        <v>5236</v>
      </c>
      <c r="F12" s="802">
        <v>1761</v>
      </c>
      <c r="G12" s="802">
        <v>52737</v>
      </c>
    </row>
    <row r="13" spans="1:11" ht="12.75" customHeight="1">
      <c r="A13" s="270">
        <v>7000</v>
      </c>
      <c r="B13" s="268" t="s">
        <v>374</v>
      </c>
      <c r="C13" s="270">
        <v>7999</v>
      </c>
      <c r="D13" s="802">
        <v>44203</v>
      </c>
      <c r="E13" s="802">
        <v>5247</v>
      </c>
      <c r="F13" s="802">
        <v>1617</v>
      </c>
      <c r="G13" s="802">
        <v>51067</v>
      </c>
    </row>
    <row r="14" spans="1:11" ht="12.75" customHeight="1">
      <c r="A14" s="270">
        <v>8000</v>
      </c>
      <c r="B14" s="268" t="s">
        <v>374</v>
      </c>
      <c r="C14" s="270">
        <v>8999</v>
      </c>
      <c r="D14" s="802">
        <v>43820</v>
      </c>
      <c r="E14" s="802">
        <v>5179</v>
      </c>
      <c r="F14" s="802">
        <v>1640</v>
      </c>
      <c r="G14" s="802">
        <v>50639</v>
      </c>
    </row>
    <row r="15" spans="1:11" ht="12.75" customHeight="1">
      <c r="A15" s="270">
        <v>9000</v>
      </c>
      <c r="B15" s="268" t="s">
        <v>374</v>
      </c>
      <c r="C15" s="270">
        <v>9999</v>
      </c>
      <c r="D15" s="802">
        <v>43207</v>
      </c>
      <c r="E15" s="802">
        <v>5324</v>
      </c>
      <c r="F15" s="802">
        <v>1676</v>
      </c>
      <c r="G15" s="802">
        <v>50207</v>
      </c>
    </row>
    <row r="16" spans="1:11" ht="12.75" customHeight="1">
      <c r="A16" s="270">
        <v>10000</v>
      </c>
      <c r="B16" s="268" t="s">
        <v>374</v>
      </c>
      <c r="C16" s="270">
        <v>10999</v>
      </c>
      <c r="D16" s="802">
        <v>45126</v>
      </c>
      <c r="E16" s="802">
        <v>5675</v>
      </c>
      <c r="F16" s="802">
        <v>1722</v>
      </c>
      <c r="G16" s="802">
        <v>52523</v>
      </c>
    </row>
    <row r="17" spans="1:30" ht="12.75" customHeight="1">
      <c r="A17" s="270">
        <v>11000</v>
      </c>
      <c r="B17" s="268" t="s">
        <v>374</v>
      </c>
      <c r="C17" s="270">
        <v>11999</v>
      </c>
      <c r="D17" s="802">
        <v>44680</v>
      </c>
      <c r="E17" s="802">
        <v>5916</v>
      </c>
      <c r="F17" s="802">
        <v>1732</v>
      </c>
      <c r="G17" s="802">
        <v>52328</v>
      </c>
      <c r="X17" s="453"/>
      <c r="AA17" s="451"/>
      <c r="AB17" s="451"/>
      <c r="AC17" s="455"/>
    </row>
    <row r="18" spans="1:30" ht="12.75" customHeight="1">
      <c r="A18" s="270">
        <v>12000</v>
      </c>
      <c r="B18" s="268" t="s">
        <v>374</v>
      </c>
      <c r="C18" s="270">
        <v>12999</v>
      </c>
      <c r="D18" s="802">
        <v>43642</v>
      </c>
      <c r="E18" s="802">
        <v>5981</v>
      </c>
      <c r="F18" s="802">
        <v>1669</v>
      </c>
      <c r="G18" s="802">
        <v>51292</v>
      </c>
      <c r="X18" s="597"/>
      <c r="AA18" s="451"/>
      <c r="AB18" s="597"/>
      <c r="AC18" s="597"/>
      <c r="AD18" s="597"/>
    </row>
    <row r="19" spans="1:30" ht="12.75" customHeight="1">
      <c r="A19" s="270">
        <v>13000</v>
      </c>
      <c r="B19" s="268" t="s">
        <v>374</v>
      </c>
      <c r="C19" s="270">
        <v>13999</v>
      </c>
      <c r="D19" s="802">
        <v>41444</v>
      </c>
      <c r="E19" s="802">
        <v>5960</v>
      </c>
      <c r="F19" s="802">
        <v>1666</v>
      </c>
      <c r="G19" s="802">
        <v>49070</v>
      </c>
      <c r="X19" s="597"/>
      <c r="AA19" s="776" t="e">
        <f>#REF!/#REF!</f>
        <v>#REF!</v>
      </c>
      <c r="AB19" s="597"/>
      <c r="AC19" s="597"/>
      <c r="AD19" s="597"/>
    </row>
    <row r="20" spans="1:30" ht="12.75" customHeight="1">
      <c r="A20" s="270">
        <v>14000</v>
      </c>
      <c r="B20" s="268" t="s">
        <v>374</v>
      </c>
      <c r="C20" s="270">
        <v>14999</v>
      </c>
      <c r="D20" s="802">
        <v>42556</v>
      </c>
      <c r="E20" s="802">
        <v>6692</v>
      </c>
      <c r="F20" s="802">
        <v>1654</v>
      </c>
      <c r="G20" s="802">
        <v>50902</v>
      </c>
      <c r="X20" s="597"/>
      <c r="AA20" s="776" t="e">
        <f>#REF!/#REF!</f>
        <v>#REF!</v>
      </c>
      <c r="AB20" s="597"/>
      <c r="AC20" s="597"/>
      <c r="AD20" s="597"/>
    </row>
    <row r="21" spans="1:30" ht="12.75" customHeight="1">
      <c r="A21" s="270">
        <v>15000</v>
      </c>
      <c r="B21" s="268" t="s">
        <v>374</v>
      </c>
      <c r="C21" s="270">
        <v>19999</v>
      </c>
      <c r="D21" s="802">
        <v>197725</v>
      </c>
      <c r="E21" s="802">
        <v>34823</v>
      </c>
      <c r="F21" s="802">
        <v>8653</v>
      </c>
      <c r="G21" s="802">
        <v>241201</v>
      </c>
      <c r="X21" s="597"/>
      <c r="AA21" s="776" t="e">
        <f>#REF!/#REF!</f>
        <v>#REF!</v>
      </c>
      <c r="AB21" s="597"/>
      <c r="AC21" s="597"/>
      <c r="AD21" s="597"/>
    </row>
    <row r="22" spans="1:30" ht="12.75" customHeight="1">
      <c r="A22" s="270">
        <v>20000</v>
      </c>
      <c r="B22" s="268" t="s">
        <v>374</v>
      </c>
      <c r="C22" s="270">
        <v>24999</v>
      </c>
      <c r="D22" s="802">
        <v>182751</v>
      </c>
      <c r="E22" s="802">
        <v>39958</v>
      </c>
      <c r="F22" s="802">
        <v>8775</v>
      </c>
      <c r="G22" s="802">
        <v>231484</v>
      </c>
      <c r="X22" s="597"/>
      <c r="AA22" s="777" t="e">
        <f>SUM(AA19:AA21)</f>
        <v>#REF!</v>
      </c>
      <c r="AB22" s="597"/>
      <c r="AC22" s="597"/>
      <c r="AD22" s="597"/>
    </row>
    <row r="23" spans="1:30" ht="12.75" customHeight="1">
      <c r="A23" s="270">
        <v>25000</v>
      </c>
      <c r="B23" s="268" t="s">
        <v>374</v>
      </c>
      <c r="C23" s="270">
        <v>29999</v>
      </c>
      <c r="D23" s="802">
        <v>170119</v>
      </c>
      <c r="E23" s="802">
        <v>41102</v>
      </c>
      <c r="F23" s="802">
        <v>9242</v>
      </c>
      <c r="G23" s="802">
        <v>220463</v>
      </c>
      <c r="H23" s="655"/>
      <c r="X23" s="597"/>
      <c r="AA23" s="451"/>
      <c r="AB23" s="597"/>
      <c r="AC23" s="597"/>
      <c r="AD23" s="597"/>
    </row>
    <row r="24" spans="1:30" ht="12.75" customHeight="1">
      <c r="A24" s="270">
        <v>30000</v>
      </c>
      <c r="B24" s="268" t="s">
        <v>374</v>
      </c>
      <c r="C24" s="270">
        <v>34999</v>
      </c>
      <c r="D24" s="802">
        <v>153086</v>
      </c>
      <c r="E24" s="802">
        <v>42549</v>
      </c>
      <c r="F24" s="802">
        <v>9411</v>
      </c>
      <c r="G24" s="802">
        <v>205046</v>
      </c>
      <c r="X24" s="597"/>
      <c r="AA24" s="451"/>
      <c r="AB24" s="597"/>
      <c r="AC24" s="597"/>
      <c r="AD24" s="597"/>
    </row>
    <row r="25" spans="1:30" ht="12.75" customHeight="1">
      <c r="A25" s="270">
        <v>35000</v>
      </c>
      <c r="B25" s="268" t="s">
        <v>374</v>
      </c>
      <c r="C25" s="270">
        <v>39999</v>
      </c>
      <c r="D25" s="802">
        <v>131787</v>
      </c>
      <c r="E25" s="802">
        <v>42293</v>
      </c>
      <c r="F25" s="802">
        <v>8931</v>
      </c>
      <c r="G25" s="802">
        <v>183011</v>
      </c>
      <c r="X25" s="597"/>
      <c r="AA25" s="597"/>
      <c r="AB25" s="597"/>
      <c r="AC25" s="597"/>
      <c r="AD25" s="597"/>
    </row>
    <row r="26" spans="1:30" ht="12.75" customHeight="1">
      <c r="A26" s="270">
        <v>40000</v>
      </c>
      <c r="B26" s="268" t="s">
        <v>374</v>
      </c>
      <c r="C26" s="270">
        <v>44999</v>
      </c>
      <c r="D26" s="802">
        <v>114021</v>
      </c>
      <c r="E26" s="802">
        <v>42470</v>
      </c>
      <c r="F26" s="802">
        <v>8460</v>
      </c>
      <c r="G26" s="802">
        <v>164951</v>
      </c>
      <c r="H26" s="655"/>
    </row>
    <row r="27" spans="1:30" ht="12.75" customHeight="1">
      <c r="A27" s="270">
        <v>45000</v>
      </c>
      <c r="B27" s="268" t="s">
        <v>374</v>
      </c>
      <c r="C27" s="270">
        <v>49999</v>
      </c>
      <c r="D27" s="802">
        <v>98223</v>
      </c>
      <c r="E27" s="802">
        <v>41994</v>
      </c>
      <c r="F27" s="802">
        <v>7971</v>
      </c>
      <c r="G27" s="802">
        <v>148188</v>
      </c>
    </row>
    <row r="28" spans="1:30" ht="12.75" customHeight="1">
      <c r="A28" s="270">
        <v>50000</v>
      </c>
      <c r="B28" s="268" t="s">
        <v>374</v>
      </c>
      <c r="C28" s="270">
        <v>74999</v>
      </c>
      <c r="D28" s="802">
        <v>306590</v>
      </c>
      <c r="E28" s="802">
        <v>204546</v>
      </c>
      <c r="F28" s="802">
        <v>27280</v>
      </c>
      <c r="G28" s="802">
        <v>538416</v>
      </c>
    </row>
    <row r="29" spans="1:30" ht="12.75" customHeight="1">
      <c r="A29" s="270">
        <v>75000</v>
      </c>
      <c r="B29" s="268" t="s">
        <v>374</v>
      </c>
      <c r="C29" s="270">
        <v>99999</v>
      </c>
      <c r="D29" s="802">
        <v>142723</v>
      </c>
      <c r="E29" s="802">
        <v>192784</v>
      </c>
      <c r="F29" s="802">
        <v>14430</v>
      </c>
      <c r="G29" s="802">
        <v>349937</v>
      </c>
      <c r="H29" s="655"/>
    </row>
    <row r="30" spans="1:30" ht="21" customHeight="1">
      <c r="A30" s="1247">
        <v>100000</v>
      </c>
      <c r="B30" s="803" t="s">
        <v>372</v>
      </c>
      <c r="C30" s="803" t="s">
        <v>395</v>
      </c>
      <c r="D30" s="804">
        <v>178717</v>
      </c>
      <c r="E30" s="804">
        <v>684755</v>
      </c>
      <c r="F30" s="804">
        <v>23359</v>
      </c>
      <c r="G30" s="804">
        <v>886831</v>
      </c>
    </row>
    <row r="31" spans="1:30" ht="12.75" customHeight="1">
      <c r="A31" s="153" t="s">
        <v>375</v>
      </c>
      <c r="B31" s="153"/>
      <c r="C31" s="153"/>
      <c r="D31" s="154">
        <f>SUM(D6:D30)</f>
        <v>2413420</v>
      </c>
      <c r="E31" s="154">
        <f>SUM(E6:E30)</f>
        <v>1498003</v>
      </c>
      <c r="F31" s="154">
        <f>SUM(F6:F30)</f>
        <v>164544</v>
      </c>
      <c r="G31" s="154">
        <f>SUM(G6:G30)</f>
        <v>4075967</v>
      </c>
    </row>
    <row r="32" spans="1:30" ht="9" customHeight="1"/>
    <row r="34" spans="1:5">
      <c r="A34" s="1120" t="s">
        <v>1157</v>
      </c>
    </row>
    <row r="35" spans="1:5" s="1068" customFormat="1" ht="12.75" customHeight="1">
      <c r="B35" s="1072"/>
      <c r="C35" s="1072"/>
      <c r="D35" s="1072"/>
      <c r="E35" s="1073"/>
    </row>
  </sheetData>
  <customSheetViews>
    <customSheetView guid="{E6BBE5A7-0B25-4EE8-BA45-5EA5DBAF3AD4}" showPageBreaks="1" printArea="1">
      <selection activeCell="J41" sqref="J41"/>
      <pageMargins left="0.34901960784313701" right="0.331372549019608" top="0.61960784313725503" bottom="0.44313725490196099" header="0.50980392156862797" footer="0.50980392156862797"/>
      <printOptions horizontalCentered="1"/>
      <pageSetup scale="82" orientation="landscape" r:id="rId1"/>
      <headerFooter alignWithMargins="0"/>
    </customSheetView>
  </customSheetViews>
  <hyperlinks>
    <hyperlink ref="K1" location="TOC!A1" display="Back"/>
  </hyperlinks>
  <pageMargins left="0.5" right="0.25" top="0.5" bottom="0.25" header="0.25" footer="9.8039219999999996E-3"/>
  <pageSetup orientation="landscape" r:id="rId2"/>
  <headerFooter scaleWithDoc="0">
    <oddHeader>&amp;R&amp;P</oddHeader>
  </headerFooter>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M34"/>
  <sheetViews>
    <sheetView zoomScaleNormal="100" workbookViewId="0"/>
  </sheetViews>
  <sheetFormatPr defaultColWidth="9.140625" defaultRowHeight="12.75"/>
  <cols>
    <col min="1" max="1" width="10.7109375" style="437" customWidth="1"/>
    <col min="2" max="2" width="4.42578125" style="437" bestFit="1" customWidth="1"/>
    <col min="3" max="3" width="8" style="437" customWidth="1"/>
    <col min="4" max="4" width="14.85546875" style="437" bestFit="1" customWidth="1"/>
    <col min="5" max="5" width="10.7109375" style="437" customWidth="1"/>
    <col min="6" max="6" width="12.7109375" style="437" customWidth="1"/>
    <col min="7" max="7" width="10.7109375" style="437" customWidth="1"/>
    <col min="8" max="8" width="11.140625" style="437" bestFit="1" customWidth="1"/>
    <col min="9" max="9" width="15.7109375" style="437" customWidth="1"/>
    <col min="10" max="10" width="48.7109375" style="437" customWidth="1"/>
    <col min="11" max="12" width="9.140625" style="437"/>
    <col min="13" max="13" width="5.28515625" style="437" bestFit="1" customWidth="1"/>
    <col min="14" max="16384" width="9.140625" style="437"/>
  </cols>
  <sheetData>
    <row r="1" spans="1:13" s="436" customFormat="1" ht="17.100000000000001" customHeight="1">
      <c r="A1" s="450" t="s">
        <v>364</v>
      </c>
      <c r="B1" s="268"/>
      <c r="C1" s="452"/>
      <c r="D1" s="452"/>
      <c r="M1" s="1276" t="s">
        <v>1194</v>
      </c>
    </row>
    <row r="2" spans="1:13" s="436" customFormat="1" ht="15" customHeight="1">
      <c r="A2" s="448" t="s">
        <v>365</v>
      </c>
      <c r="B2" s="268"/>
      <c r="C2" s="452"/>
      <c r="D2" s="452"/>
    </row>
    <row r="3" spans="1:13" s="436" customFormat="1" ht="15" customHeight="1">
      <c r="A3" s="791" t="str">
        <f>'1.2'!A3</f>
        <v>Taxable Year 2019</v>
      </c>
      <c r="B3" s="268"/>
      <c r="C3" s="452"/>
      <c r="D3" s="452"/>
    </row>
    <row r="4" spans="1:13" ht="6" customHeight="1"/>
    <row r="5" spans="1:13" s="454" customFormat="1" ht="33" customHeight="1">
      <c r="A5" s="1248" t="s">
        <v>1063</v>
      </c>
      <c r="B5" s="1248"/>
      <c r="C5" s="1248"/>
      <c r="D5" s="1249" t="s">
        <v>1064</v>
      </c>
      <c r="E5" s="1250" t="s">
        <v>368</v>
      </c>
      <c r="F5" s="1250" t="s">
        <v>369</v>
      </c>
      <c r="G5" s="1251" t="s">
        <v>370</v>
      </c>
      <c r="H5" s="1250" t="s">
        <v>371</v>
      </c>
      <c r="I5" s="1249" t="s">
        <v>1065</v>
      </c>
    </row>
    <row r="6" spans="1:13" s="454" customFormat="1" ht="21" customHeight="1">
      <c r="A6" s="270">
        <v>999</v>
      </c>
      <c r="B6" s="268" t="s">
        <v>372</v>
      </c>
      <c r="C6" s="267" t="s">
        <v>373</v>
      </c>
      <c r="D6" s="802">
        <v>163079</v>
      </c>
      <c r="E6" s="802">
        <v>212305</v>
      </c>
      <c r="F6" s="802">
        <v>61465</v>
      </c>
      <c r="G6" s="802">
        <v>49305</v>
      </c>
      <c r="H6" s="802">
        <v>408</v>
      </c>
      <c r="I6" s="802">
        <v>323483</v>
      </c>
      <c r="J6" s="437"/>
    </row>
    <row r="7" spans="1:13" ht="12.75" customHeight="1">
      <c r="A7" s="270">
        <v>1000</v>
      </c>
      <c r="B7" s="268" t="s">
        <v>374</v>
      </c>
      <c r="C7" s="270">
        <v>1999</v>
      </c>
      <c r="D7" s="266">
        <v>56771</v>
      </c>
      <c r="E7" s="266">
        <v>63216</v>
      </c>
      <c r="F7" s="266">
        <v>11647</v>
      </c>
      <c r="G7" s="266">
        <v>7252</v>
      </c>
      <c r="H7" s="266">
        <v>104</v>
      </c>
      <c r="I7" s="266">
        <v>82219</v>
      </c>
    </row>
    <row r="8" spans="1:13" ht="12.75" customHeight="1">
      <c r="A8" s="270">
        <v>2000</v>
      </c>
      <c r="B8" s="268" t="s">
        <v>374</v>
      </c>
      <c r="C8" s="270">
        <v>2999</v>
      </c>
      <c r="D8" s="266">
        <v>58777</v>
      </c>
      <c r="E8" s="266">
        <v>64583</v>
      </c>
      <c r="F8" s="266">
        <v>11167</v>
      </c>
      <c r="G8" s="371">
        <v>7154</v>
      </c>
      <c r="H8" s="266">
        <v>106</v>
      </c>
      <c r="I8" s="266">
        <v>83010</v>
      </c>
    </row>
    <row r="9" spans="1:13" ht="12.75" customHeight="1">
      <c r="A9" s="270">
        <v>3000</v>
      </c>
      <c r="B9" s="268" t="s">
        <v>374</v>
      </c>
      <c r="C9" s="270">
        <v>3999</v>
      </c>
      <c r="D9" s="266">
        <v>57645</v>
      </c>
      <c r="E9" s="266">
        <v>63147</v>
      </c>
      <c r="F9" s="266">
        <v>11129</v>
      </c>
      <c r="G9" s="266">
        <v>7096</v>
      </c>
      <c r="H9" s="266">
        <v>100</v>
      </c>
      <c r="I9" s="266">
        <v>81472</v>
      </c>
    </row>
    <row r="10" spans="1:13" ht="12.75" customHeight="1">
      <c r="A10" s="270">
        <v>4000</v>
      </c>
      <c r="B10" s="268" t="s">
        <v>374</v>
      </c>
      <c r="C10" s="270">
        <v>4999</v>
      </c>
      <c r="D10" s="266">
        <v>55773</v>
      </c>
      <c r="E10" s="266">
        <v>61164</v>
      </c>
      <c r="F10" s="266">
        <v>11347</v>
      </c>
      <c r="G10" s="266">
        <v>7114</v>
      </c>
      <c r="H10" s="266">
        <v>92</v>
      </c>
      <c r="I10" s="266">
        <v>79717</v>
      </c>
    </row>
    <row r="11" spans="1:13" ht="12.75" customHeight="1">
      <c r="A11" s="270">
        <v>5000</v>
      </c>
      <c r="B11" s="268" t="s">
        <v>374</v>
      </c>
      <c r="C11" s="270">
        <v>5999</v>
      </c>
      <c r="D11" s="266">
        <v>53629</v>
      </c>
      <c r="E11" s="266">
        <v>58739</v>
      </c>
      <c r="F11" s="266">
        <v>11516</v>
      </c>
      <c r="G11" s="266">
        <v>7636</v>
      </c>
      <c r="H11" s="266">
        <v>116</v>
      </c>
      <c r="I11" s="266">
        <v>78007</v>
      </c>
    </row>
    <row r="12" spans="1:13" ht="12.75" customHeight="1">
      <c r="A12" s="270">
        <v>6000</v>
      </c>
      <c r="B12" s="268" t="s">
        <v>374</v>
      </c>
      <c r="C12" s="270">
        <v>6999</v>
      </c>
      <c r="D12" s="266">
        <v>52737</v>
      </c>
      <c r="E12" s="266">
        <v>57957</v>
      </c>
      <c r="F12" s="266">
        <v>12286</v>
      </c>
      <c r="G12" s="266">
        <v>8033</v>
      </c>
      <c r="H12" s="266">
        <v>94</v>
      </c>
      <c r="I12" s="266">
        <v>78370</v>
      </c>
    </row>
    <row r="13" spans="1:13" ht="12.75" customHeight="1">
      <c r="A13" s="270">
        <v>7000</v>
      </c>
      <c r="B13" s="268" t="s">
        <v>374</v>
      </c>
      <c r="C13" s="270">
        <v>7999</v>
      </c>
      <c r="D13" s="266">
        <v>51067</v>
      </c>
      <c r="E13" s="266">
        <v>56274</v>
      </c>
      <c r="F13" s="266">
        <v>12736</v>
      </c>
      <c r="G13" s="266">
        <v>8236</v>
      </c>
      <c r="H13" s="266">
        <v>111</v>
      </c>
      <c r="I13" s="266">
        <v>77357</v>
      </c>
    </row>
    <row r="14" spans="1:13" ht="12.75" customHeight="1">
      <c r="A14" s="270">
        <v>8000</v>
      </c>
      <c r="B14" s="268" t="s">
        <v>374</v>
      </c>
      <c r="C14" s="270">
        <v>8999</v>
      </c>
      <c r="D14" s="266">
        <v>50639</v>
      </c>
      <c r="E14" s="266">
        <v>55830</v>
      </c>
      <c r="F14" s="266">
        <v>13669</v>
      </c>
      <c r="G14" s="266">
        <v>8671</v>
      </c>
      <c r="H14" s="266">
        <v>114</v>
      </c>
      <c r="I14" s="266">
        <v>78284</v>
      </c>
    </row>
    <row r="15" spans="1:13" ht="12.75" customHeight="1">
      <c r="A15" s="270">
        <v>9000</v>
      </c>
      <c r="B15" s="268" t="s">
        <v>374</v>
      </c>
      <c r="C15" s="270">
        <v>9999</v>
      </c>
      <c r="D15" s="266">
        <v>50207</v>
      </c>
      <c r="E15" s="266">
        <v>55540</v>
      </c>
      <c r="F15" s="266">
        <v>14868</v>
      </c>
      <c r="G15" s="266">
        <v>9075</v>
      </c>
      <c r="H15" s="266">
        <v>101</v>
      </c>
      <c r="I15" s="266">
        <v>79584</v>
      </c>
    </row>
    <row r="16" spans="1:13" ht="12.75" customHeight="1">
      <c r="A16" s="270">
        <v>10000</v>
      </c>
      <c r="B16" s="268" t="s">
        <v>374</v>
      </c>
      <c r="C16" s="270">
        <v>10999</v>
      </c>
      <c r="D16" s="266">
        <v>52523</v>
      </c>
      <c r="E16" s="266">
        <v>58212</v>
      </c>
      <c r="F16" s="266">
        <v>18769</v>
      </c>
      <c r="G16" s="266">
        <v>9321</v>
      </c>
      <c r="H16" s="266">
        <v>103</v>
      </c>
      <c r="I16" s="266">
        <v>86405</v>
      </c>
    </row>
    <row r="17" spans="1:9" ht="12.75" customHeight="1">
      <c r="A17" s="270">
        <v>11000</v>
      </c>
      <c r="B17" s="268" t="s">
        <v>374</v>
      </c>
      <c r="C17" s="270">
        <v>11999</v>
      </c>
      <c r="D17" s="266">
        <v>52328</v>
      </c>
      <c r="E17" s="266">
        <v>58278</v>
      </c>
      <c r="F17" s="266">
        <v>19195</v>
      </c>
      <c r="G17" s="266">
        <v>9884</v>
      </c>
      <c r="H17" s="266">
        <v>115</v>
      </c>
      <c r="I17" s="266">
        <v>87472</v>
      </c>
    </row>
    <row r="18" spans="1:9" ht="12.75" customHeight="1">
      <c r="A18" s="270">
        <v>12000</v>
      </c>
      <c r="B18" s="268" t="s">
        <v>374</v>
      </c>
      <c r="C18" s="270">
        <v>12999</v>
      </c>
      <c r="D18" s="266">
        <v>51292</v>
      </c>
      <c r="E18" s="266">
        <v>57314</v>
      </c>
      <c r="F18" s="266">
        <v>18951</v>
      </c>
      <c r="G18" s="266">
        <v>10258</v>
      </c>
      <c r="H18" s="266">
        <v>120</v>
      </c>
      <c r="I18" s="266">
        <v>86643</v>
      </c>
    </row>
    <row r="19" spans="1:9" ht="12.75" customHeight="1">
      <c r="A19" s="270">
        <v>13000</v>
      </c>
      <c r="B19" s="268" t="s">
        <v>374</v>
      </c>
      <c r="C19" s="270">
        <v>13999</v>
      </c>
      <c r="D19" s="266">
        <v>49070</v>
      </c>
      <c r="E19" s="266">
        <v>55085</v>
      </c>
      <c r="F19" s="266">
        <v>19896</v>
      </c>
      <c r="G19" s="266">
        <v>10836</v>
      </c>
      <c r="H19" s="266">
        <v>102</v>
      </c>
      <c r="I19" s="266">
        <v>85919</v>
      </c>
    </row>
    <row r="20" spans="1:9" ht="12.75" customHeight="1">
      <c r="A20" s="270">
        <v>14000</v>
      </c>
      <c r="B20" s="268" t="s">
        <v>374</v>
      </c>
      <c r="C20" s="270">
        <v>14999</v>
      </c>
      <c r="D20" s="266">
        <v>50902</v>
      </c>
      <c r="E20" s="266">
        <v>57651</v>
      </c>
      <c r="F20" s="266">
        <v>27093</v>
      </c>
      <c r="G20" s="266">
        <v>10905</v>
      </c>
      <c r="H20" s="266">
        <v>112</v>
      </c>
      <c r="I20" s="266">
        <v>95761</v>
      </c>
    </row>
    <row r="21" spans="1:9" ht="12.75" customHeight="1">
      <c r="A21" s="270">
        <v>15000</v>
      </c>
      <c r="B21" s="268" t="s">
        <v>374</v>
      </c>
      <c r="C21" s="270">
        <v>19999</v>
      </c>
      <c r="D21" s="266">
        <v>241201</v>
      </c>
      <c r="E21" s="266">
        <v>276366</v>
      </c>
      <c r="F21" s="266">
        <v>120590</v>
      </c>
      <c r="G21" s="266">
        <v>55701</v>
      </c>
      <c r="H21" s="266">
        <v>639</v>
      </c>
      <c r="I21" s="266">
        <v>453296</v>
      </c>
    </row>
    <row r="22" spans="1:9" ht="12.75" customHeight="1">
      <c r="A22" s="270">
        <v>20000</v>
      </c>
      <c r="B22" s="268" t="s">
        <v>374</v>
      </c>
      <c r="C22" s="270">
        <v>24999</v>
      </c>
      <c r="D22" s="266">
        <v>231484</v>
      </c>
      <c r="E22" s="266">
        <v>271833</v>
      </c>
      <c r="F22" s="266">
        <v>114679</v>
      </c>
      <c r="G22" s="266">
        <v>55607</v>
      </c>
      <c r="H22" s="266">
        <v>535</v>
      </c>
      <c r="I22" s="266">
        <v>442654</v>
      </c>
    </row>
    <row r="23" spans="1:9" ht="12.75" customHeight="1">
      <c r="A23" s="270">
        <v>25000</v>
      </c>
      <c r="B23" s="268" t="s">
        <v>374</v>
      </c>
      <c r="C23" s="270">
        <v>29999</v>
      </c>
      <c r="D23" s="266">
        <v>220463</v>
      </c>
      <c r="E23" s="266">
        <v>262194</v>
      </c>
      <c r="F23" s="266">
        <v>113382</v>
      </c>
      <c r="G23" s="266">
        <v>53315</v>
      </c>
      <c r="H23" s="266">
        <v>553</v>
      </c>
      <c r="I23" s="266">
        <v>429444</v>
      </c>
    </row>
    <row r="24" spans="1:9" ht="12.75" customHeight="1">
      <c r="A24" s="270">
        <v>30000</v>
      </c>
      <c r="B24" s="268" t="s">
        <v>374</v>
      </c>
      <c r="C24" s="270">
        <v>34999</v>
      </c>
      <c r="D24" s="266">
        <v>205046</v>
      </c>
      <c r="E24" s="266">
        <v>248167</v>
      </c>
      <c r="F24" s="266">
        <v>107566</v>
      </c>
      <c r="G24" s="266">
        <v>49670</v>
      </c>
      <c r="H24" s="266">
        <v>480</v>
      </c>
      <c r="I24" s="266">
        <v>405883</v>
      </c>
    </row>
    <row r="25" spans="1:9" ht="12.75" customHeight="1">
      <c r="A25" s="270">
        <v>35000</v>
      </c>
      <c r="B25" s="268" t="s">
        <v>374</v>
      </c>
      <c r="C25" s="270">
        <v>39999</v>
      </c>
      <c r="D25" s="266">
        <v>183011</v>
      </c>
      <c r="E25" s="266">
        <v>225918</v>
      </c>
      <c r="F25" s="266">
        <v>94810</v>
      </c>
      <c r="G25" s="266">
        <v>45891</v>
      </c>
      <c r="H25" s="266">
        <v>436</v>
      </c>
      <c r="I25" s="266">
        <v>367055</v>
      </c>
    </row>
    <row r="26" spans="1:9" ht="12.75" customHeight="1">
      <c r="A26" s="270">
        <v>40000</v>
      </c>
      <c r="B26" s="268" t="s">
        <v>374</v>
      </c>
      <c r="C26" s="270">
        <v>44999</v>
      </c>
      <c r="D26" s="266">
        <v>164951</v>
      </c>
      <c r="E26" s="266">
        <v>208038</v>
      </c>
      <c r="F26" s="266">
        <v>84212</v>
      </c>
      <c r="G26" s="266">
        <v>42109</v>
      </c>
      <c r="H26" s="266">
        <v>385</v>
      </c>
      <c r="I26" s="266">
        <v>334744</v>
      </c>
    </row>
    <row r="27" spans="1:9" ht="12.75" customHeight="1">
      <c r="A27" s="270">
        <v>45000</v>
      </c>
      <c r="B27" s="268" t="s">
        <v>374</v>
      </c>
      <c r="C27" s="270">
        <v>49999</v>
      </c>
      <c r="D27" s="266">
        <v>148188</v>
      </c>
      <c r="E27" s="266">
        <v>190850</v>
      </c>
      <c r="F27" s="266">
        <v>74601</v>
      </c>
      <c r="G27" s="266">
        <v>38388</v>
      </c>
      <c r="H27" s="266">
        <v>365</v>
      </c>
      <c r="I27" s="266">
        <v>304204</v>
      </c>
    </row>
    <row r="28" spans="1:9" ht="12.75" customHeight="1">
      <c r="A28" s="270">
        <v>50000</v>
      </c>
      <c r="B28" s="268" t="s">
        <v>374</v>
      </c>
      <c r="C28" s="270">
        <v>74999</v>
      </c>
      <c r="D28" s="266">
        <v>538416</v>
      </c>
      <c r="E28" s="266">
        <v>745678</v>
      </c>
      <c r="F28" s="266">
        <v>282437</v>
      </c>
      <c r="G28" s="266">
        <v>150496</v>
      </c>
      <c r="H28" s="266">
        <v>1298</v>
      </c>
      <c r="I28" s="266">
        <v>1179909</v>
      </c>
    </row>
    <row r="29" spans="1:9" ht="12.75" customHeight="1">
      <c r="A29" s="270">
        <v>75000</v>
      </c>
      <c r="B29" s="268" t="s">
        <v>374</v>
      </c>
      <c r="C29" s="270">
        <v>99999</v>
      </c>
      <c r="D29" s="266">
        <v>349937</v>
      </c>
      <c r="E29" s="266">
        <v>544835</v>
      </c>
      <c r="F29" s="266">
        <v>220917</v>
      </c>
      <c r="G29" s="266">
        <v>100485</v>
      </c>
      <c r="H29" s="266">
        <v>713</v>
      </c>
      <c r="I29" s="266">
        <v>866950</v>
      </c>
    </row>
    <row r="30" spans="1:9" ht="21" customHeight="1">
      <c r="A30" s="1247">
        <v>100000</v>
      </c>
      <c r="B30" s="803" t="s">
        <v>372</v>
      </c>
      <c r="C30" s="803" t="s">
        <v>395</v>
      </c>
      <c r="D30" s="804">
        <v>886831</v>
      </c>
      <c r="E30" s="804">
        <v>1576312</v>
      </c>
      <c r="F30" s="804">
        <v>777853</v>
      </c>
      <c r="G30" s="804">
        <v>250070</v>
      </c>
      <c r="H30" s="804">
        <v>1536</v>
      </c>
      <c r="I30" s="804">
        <v>2605771</v>
      </c>
    </row>
    <row r="31" spans="1:9" ht="15" customHeight="1">
      <c r="A31" s="153" t="s">
        <v>375</v>
      </c>
      <c r="B31" s="153"/>
      <c r="C31" s="153"/>
      <c r="D31" s="154">
        <f t="shared" ref="D31:I31" si="0">SUM(D6:D30)</f>
        <v>4075967</v>
      </c>
      <c r="E31" s="154">
        <f t="shared" si="0"/>
        <v>5585486</v>
      </c>
      <c r="F31" s="154">
        <f t="shared" si="0"/>
        <v>2266781</v>
      </c>
      <c r="G31" s="154">
        <f t="shared" si="0"/>
        <v>1012508</v>
      </c>
      <c r="H31" s="154">
        <f t="shared" si="0"/>
        <v>8838</v>
      </c>
      <c r="I31" s="154">
        <f t="shared" si="0"/>
        <v>8873613</v>
      </c>
    </row>
    <row r="32" spans="1:9" ht="6" customHeight="1"/>
    <row r="34" spans="1:5" s="1068" customFormat="1" ht="12.75" customHeight="1">
      <c r="A34" s="1120" t="s">
        <v>1157</v>
      </c>
      <c r="B34" s="1072"/>
      <c r="C34" s="1072"/>
      <c r="D34" s="1072"/>
      <c r="E34" s="1073"/>
    </row>
  </sheetData>
  <customSheetViews>
    <customSheetView guid="{E6BBE5A7-0B25-4EE8-BA45-5EA5DBAF3AD4}" showPageBreaks="1" printArea="1" topLeftCell="A10">
      <selection activeCell="A3" sqref="A3"/>
      <pageMargins left="0.5" right="0.5" top="1" bottom="1" header="0.5" footer="0.5"/>
      <printOptions horizontalCentered="1"/>
      <pageSetup scale="66" orientation="landscape" r:id="rId1"/>
      <headerFooter alignWithMargins="0"/>
    </customSheetView>
  </customSheetViews>
  <hyperlinks>
    <hyperlink ref="M1" location="TOC!A1" display="Back"/>
  </hyperlinks>
  <pageMargins left="0.4" right="0.25" top="0.5" bottom="0.25" header="0.25" footer="0"/>
  <pageSetup scale="91" orientation="landscape" r:id="rId2"/>
  <headerFooter scaleWithDoc="0">
    <oddHeader>&amp;R&amp;P</oddHeader>
  </headerFooter>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N176"/>
  <sheetViews>
    <sheetView showOutlineSymbols="0" zoomScale="90" zoomScaleNormal="90" workbookViewId="0">
      <pane ySplit="3285" topLeftCell="A147"/>
      <selection pane="bottomLeft" activeCell="C163" sqref="C163"/>
    </sheetView>
  </sheetViews>
  <sheetFormatPr defaultColWidth="10.7109375" defaultRowHeight="17.100000000000001" customHeight="1"/>
  <cols>
    <col min="1" max="3" width="13.7109375" style="315" customWidth="1"/>
    <col min="4" max="11" width="14.7109375" style="315" customWidth="1"/>
    <col min="12" max="12" width="15.7109375" style="315" customWidth="1"/>
    <col min="13" max="13" width="15.7109375" style="376" customWidth="1"/>
    <col min="14" max="16384" width="10.7109375" style="315"/>
  </cols>
  <sheetData>
    <row r="1" spans="1:14" ht="18">
      <c r="A1" s="314" t="s">
        <v>674</v>
      </c>
      <c r="C1" s="316"/>
      <c r="D1" s="316"/>
      <c r="E1" s="316"/>
      <c r="F1" s="316"/>
      <c r="G1" s="316"/>
      <c r="H1" s="316"/>
      <c r="I1" s="316"/>
      <c r="J1" s="316"/>
      <c r="K1" s="316"/>
      <c r="L1" s="316"/>
      <c r="N1" s="1276" t="s">
        <v>1194</v>
      </c>
    </row>
    <row r="2" spans="1:14" ht="17.100000000000001" customHeight="1">
      <c r="A2" s="317" t="s">
        <v>675</v>
      </c>
      <c r="C2" s="316"/>
      <c r="D2" s="316"/>
      <c r="E2" s="316"/>
      <c r="F2" s="316"/>
      <c r="G2" s="316"/>
      <c r="H2" s="316"/>
      <c r="I2" s="316"/>
      <c r="J2" s="316"/>
      <c r="K2" s="316"/>
      <c r="L2" s="316"/>
    </row>
    <row r="3" spans="1:14" ht="17.100000000000001" customHeight="1">
      <c r="A3" s="318" t="str">
        <f>'1.4'!$A$3</f>
        <v>Taxable Year 2019</v>
      </c>
      <c r="C3" s="319"/>
      <c r="D3" s="319"/>
      <c r="E3" s="319"/>
      <c r="F3" s="319"/>
      <c r="G3" s="319"/>
      <c r="H3" s="319"/>
      <c r="I3" s="319"/>
      <c r="J3" s="319"/>
      <c r="K3" s="319"/>
      <c r="L3" s="319"/>
    </row>
    <row r="4" spans="1:14" ht="17.100000000000001" customHeight="1" thickBot="1">
      <c r="A4" s="317"/>
      <c r="C4" s="319"/>
      <c r="D4" s="319"/>
      <c r="E4" s="319"/>
      <c r="F4" s="319"/>
      <c r="G4" s="319"/>
      <c r="H4" s="319"/>
      <c r="I4" s="319"/>
      <c r="J4" s="319"/>
      <c r="K4" s="319"/>
      <c r="L4" s="319"/>
    </row>
    <row r="5" spans="1:14" s="323" customFormat="1" ht="17.100000000000001" customHeight="1">
      <c r="A5" s="320"/>
      <c r="B5" s="321"/>
      <c r="C5" s="322"/>
      <c r="D5" s="322"/>
      <c r="E5" s="322"/>
      <c r="F5" s="322"/>
      <c r="G5" s="322"/>
      <c r="H5" s="322"/>
      <c r="I5" s="322"/>
      <c r="J5" s="322"/>
      <c r="K5" s="322"/>
      <c r="L5" s="322"/>
      <c r="M5" s="377" t="s">
        <v>17</v>
      </c>
    </row>
    <row r="6" spans="1:14" s="323" customFormat="1" ht="17.100000000000001" customHeight="1">
      <c r="A6" s="324"/>
      <c r="B6" s="325"/>
      <c r="C6" s="325" t="s">
        <v>676</v>
      </c>
      <c r="D6" s="325" t="s">
        <v>677</v>
      </c>
      <c r="E6" s="325" t="s">
        <v>678</v>
      </c>
      <c r="F6" s="325" t="s">
        <v>679</v>
      </c>
      <c r="G6" s="325" t="s">
        <v>680</v>
      </c>
      <c r="H6" s="325" t="s">
        <v>681</v>
      </c>
      <c r="I6" s="325" t="s">
        <v>682</v>
      </c>
      <c r="J6" s="325" t="s">
        <v>683</v>
      </c>
      <c r="K6" s="325" t="s">
        <v>684</v>
      </c>
      <c r="L6" s="325" t="s">
        <v>685</v>
      </c>
      <c r="M6" s="378" t="s">
        <v>366</v>
      </c>
    </row>
    <row r="7" spans="1:14" s="323" customFormat="1" ht="17.100000000000001" customHeight="1">
      <c r="A7" s="758" t="s">
        <v>23</v>
      </c>
      <c r="B7" s="805" t="s">
        <v>686</v>
      </c>
      <c r="C7" s="805" t="s">
        <v>687</v>
      </c>
      <c r="D7" s="805" t="s">
        <v>688</v>
      </c>
      <c r="E7" s="805" t="s">
        <v>689</v>
      </c>
      <c r="F7" s="805" t="s">
        <v>690</v>
      </c>
      <c r="G7" s="805" t="s">
        <v>691</v>
      </c>
      <c r="H7" s="805" t="s">
        <v>692</v>
      </c>
      <c r="I7" s="805" t="s">
        <v>693</v>
      </c>
      <c r="J7" s="805" t="s">
        <v>694</v>
      </c>
      <c r="K7" s="805" t="s">
        <v>695</v>
      </c>
      <c r="L7" s="805" t="s">
        <v>696</v>
      </c>
      <c r="M7" s="806" t="s">
        <v>22</v>
      </c>
    </row>
    <row r="8" spans="1:14" s="327" customFormat="1" ht="33.950000000000003" customHeight="1">
      <c r="A8" s="284" t="s">
        <v>398</v>
      </c>
      <c r="B8" s="283">
        <v>4870901.6347999983</v>
      </c>
      <c r="C8" s="283">
        <v>12130714.300000004</v>
      </c>
      <c r="D8" s="283">
        <v>20614239.438000005</v>
      </c>
      <c r="E8" s="283">
        <v>26526485.207000002</v>
      </c>
      <c r="F8" s="283">
        <v>33189838.162999999</v>
      </c>
      <c r="G8" s="283">
        <v>38409665.600000001</v>
      </c>
      <c r="H8" s="283">
        <v>71007254.222000003</v>
      </c>
      <c r="I8" s="283">
        <v>60759444.316000007</v>
      </c>
      <c r="J8" s="283">
        <v>124021308.61199999</v>
      </c>
      <c r="K8" s="283">
        <v>93716922.789000005</v>
      </c>
      <c r="L8" s="283">
        <v>275476808.00900006</v>
      </c>
      <c r="M8" s="456">
        <f t="shared" ref="M8:M42" si="0">SUM(B8:L8)</f>
        <v>760723582.29080009</v>
      </c>
    </row>
    <row r="9" spans="1:14" s="323" customFormat="1" ht="17.100000000000001" customHeight="1">
      <c r="A9" s="309" t="s">
        <v>402</v>
      </c>
      <c r="B9" s="328">
        <v>8178541.1969999969</v>
      </c>
      <c r="C9" s="328">
        <v>19011741.438000001</v>
      </c>
      <c r="D9" s="328">
        <v>30690100.982000005</v>
      </c>
      <c r="E9" s="328">
        <v>43204683.164999999</v>
      </c>
      <c r="F9" s="328">
        <v>56326036.278999999</v>
      </c>
      <c r="G9" s="328">
        <v>71222067.652999997</v>
      </c>
      <c r="H9" s="328">
        <v>158261700.604</v>
      </c>
      <c r="I9" s="328">
        <v>161945887.05199999</v>
      </c>
      <c r="J9" s="328">
        <v>407070740.78600001</v>
      </c>
      <c r="K9" s="328">
        <v>375628824.21399999</v>
      </c>
      <c r="L9" s="328">
        <v>3943772355.8920002</v>
      </c>
      <c r="M9" s="808">
        <f t="shared" si="0"/>
        <v>5275312679.2620001</v>
      </c>
    </row>
    <row r="10" spans="1:14" s="323" customFormat="1" ht="17.100000000000001" customHeight="1">
      <c r="A10" s="309" t="s">
        <v>406</v>
      </c>
      <c r="B10" s="328">
        <v>1483968.1379999998</v>
      </c>
      <c r="C10" s="328">
        <v>4074550.1850000005</v>
      </c>
      <c r="D10" s="328">
        <v>6618729.4129999997</v>
      </c>
      <c r="E10" s="328">
        <v>9120649.2430000007</v>
      </c>
      <c r="F10" s="328">
        <v>12760886.142999999</v>
      </c>
      <c r="G10" s="328">
        <v>13019183.136</v>
      </c>
      <c r="H10" s="328">
        <v>27705951.675999999</v>
      </c>
      <c r="I10" s="328">
        <v>26900795.633000001</v>
      </c>
      <c r="J10" s="328">
        <v>60848352.458999999</v>
      </c>
      <c r="K10" s="328">
        <v>50042605.291999996</v>
      </c>
      <c r="L10" s="328">
        <v>124264091.713</v>
      </c>
      <c r="M10" s="808">
        <f t="shared" si="0"/>
        <v>336839763.03100002</v>
      </c>
    </row>
    <row r="11" spans="1:14" s="323" customFormat="1" ht="17.100000000000001" customHeight="1">
      <c r="A11" s="309" t="s">
        <v>410</v>
      </c>
      <c r="B11" s="328">
        <v>846467.62540000002</v>
      </c>
      <c r="C11" s="328">
        <v>2961329.3449999997</v>
      </c>
      <c r="D11" s="328">
        <v>5461094.1960000005</v>
      </c>
      <c r="E11" s="328">
        <v>7482963.7089999998</v>
      </c>
      <c r="F11" s="328">
        <v>8623585.959999999</v>
      </c>
      <c r="G11" s="328">
        <v>10242786.347999999</v>
      </c>
      <c r="H11" s="328">
        <v>26277157.195</v>
      </c>
      <c r="I11" s="328">
        <v>23861492.706</v>
      </c>
      <c r="J11" s="328">
        <v>55251394.109999999</v>
      </c>
      <c r="K11" s="328">
        <v>48642114.431999996</v>
      </c>
      <c r="L11" s="328">
        <v>141092800.57999998</v>
      </c>
      <c r="M11" s="808">
        <f t="shared" si="0"/>
        <v>330743186.20639998</v>
      </c>
    </row>
    <row r="12" spans="1:14" s="323" customFormat="1" ht="17.100000000000001" customHeight="1">
      <c r="A12" s="309" t="s">
        <v>414</v>
      </c>
      <c r="B12" s="328">
        <v>2230889.9340000004</v>
      </c>
      <c r="C12" s="328">
        <v>6250216.5279999999</v>
      </c>
      <c r="D12" s="328">
        <v>12956047.824000001</v>
      </c>
      <c r="E12" s="328">
        <v>17479064.640000001</v>
      </c>
      <c r="F12" s="328">
        <v>22537982.480999999</v>
      </c>
      <c r="G12" s="328">
        <v>27327711.057999998</v>
      </c>
      <c r="H12" s="328">
        <v>56755351.049000002</v>
      </c>
      <c r="I12" s="328">
        <v>56380693.909999996</v>
      </c>
      <c r="J12" s="328">
        <v>124772607.097</v>
      </c>
      <c r="K12" s="328">
        <v>114427116.031</v>
      </c>
      <c r="L12" s="328">
        <v>232112118.43700001</v>
      </c>
      <c r="M12" s="808">
        <f t="shared" si="0"/>
        <v>673229798.98900008</v>
      </c>
    </row>
    <row r="13" spans="1:14" s="323" customFormat="1" ht="33.950000000000003" customHeight="1">
      <c r="A13" s="309" t="s">
        <v>418</v>
      </c>
      <c r="B13" s="328">
        <v>1408819.537</v>
      </c>
      <c r="C13" s="328">
        <v>3712152.99</v>
      </c>
      <c r="D13" s="328">
        <v>6504421.3169999998</v>
      </c>
      <c r="E13" s="328">
        <v>8647956.3120000008</v>
      </c>
      <c r="F13" s="328">
        <v>11517501.35</v>
      </c>
      <c r="G13" s="328">
        <v>13000176.959000001</v>
      </c>
      <c r="H13" s="328">
        <v>29061065.59</v>
      </c>
      <c r="I13" s="328">
        <v>26010301.987</v>
      </c>
      <c r="J13" s="328">
        <v>60733589.217</v>
      </c>
      <c r="K13" s="328">
        <v>54590167.688000001</v>
      </c>
      <c r="L13" s="328">
        <v>127895150.866</v>
      </c>
      <c r="M13" s="808">
        <f t="shared" si="0"/>
        <v>343081303.81299996</v>
      </c>
    </row>
    <row r="14" spans="1:14" s="323" customFormat="1" ht="17.100000000000001" customHeight="1">
      <c r="A14" s="309" t="s">
        <v>422</v>
      </c>
      <c r="B14" s="328">
        <v>16143521.206899984</v>
      </c>
      <c r="C14" s="328">
        <v>39668361.5</v>
      </c>
      <c r="D14" s="328">
        <v>62478119.159999982</v>
      </c>
      <c r="E14" s="328">
        <v>79451552.477000028</v>
      </c>
      <c r="F14" s="328">
        <v>102950037.55079997</v>
      </c>
      <c r="G14" s="328">
        <v>124036952.02899998</v>
      </c>
      <c r="H14" s="328">
        <v>284945806.49119997</v>
      </c>
      <c r="I14" s="328">
        <v>361264110.76200002</v>
      </c>
      <c r="J14" s="328">
        <v>1274151239.2169998</v>
      </c>
      <c r="K14" s="328">
        <v>1324369800.5859997</v>
      </c>
      <c r="L14" s="328">
        <v>12157818851.726997</v>
      </c>
      <c r="M14" s="808">
        <f t="shared" si="0"/>
        <v>15827278352.706898</v>
      </c>
    </row>
    <row r="15" spans="1:14" s="323" customFormat="1" ht="17.100000000000001" customHeight="1">
      <c r="A15" s="309" t="s">
        <v>426</v>
      </c>
      <c r="B15" s="328">
        <v>5589990.5089999996</v>
      </c>
      <c r="C15" s="328">
        <v>16103506.383999998</v>
      </c>
      <c r="D15" s="328">
        <v>28731561.431000002</v>
      </c>
      <c r="E15" s="328">
        <v>37793132.450000003</v>
      </c>
      <c r="F15" s="328">
        <v>48380809.857999995</v>
      </c>
      <c r="G15" s="328">
        <v>59506652.397</v>
      </c>
      <c r="H15" s="328">
        <v>140156335.10499999</v>
      </c>
      <c r="I15" s="328">
        <v>156177191.13500002</v>
      </c>
      <c r="J15" s="328">
        <v>338730455.12199998</v>
      </c>
      <c r="K15" s="328">
        <v>320236488.69800001</v>
      </c>
      <c r="L15" s="328">
        <v>874888972.99300003</v>
      </c>
      <c r="M15" s="808">
        <f t="shared" si="0"/>
        <v>2026295096.082</v>
      </c>
    </row>
    <row r="16" spans="1:14" s="323" customFormat="1" ht="17.100000000000001" customHeight="1">
      <c r="A16" s="309" t="s">
        <v>430</v>
      </c>
      <c r="B16" s="328">
        <v>460530.21399999998</v>
      </c>
      <c r="C16" s="328">
        <v>1711512.0639999998</v>
      </c>
      <c r="D16" s="328">
        <v>2387078.909</v>
      </c>
      <c r="E16" s="328">
        <v>3092507.1910000001</v>
      </c>
      <c r="F16" s="328">
        <v>4104355.5630000001</v>
      </c>
      <c r="G16" s="328">
        <v>4970282.7680000002</v>
      </c>
      <c r="H16" s="328">
        <v>9911706.5969999991</v>
      </c>
      <c r="I16" s="328">
        <v>9278587.5130000003</v>
      </c>
      <c r="J16" s="328">
        <v>18386064.873999998</v>
      </c>
      <c r="K16" s="328">
        <v>15420887.274</v>
      </c>
      <c r="L16" s="328">
        <v>50587601.739000008</v>
      </c>
      <c r="M16" s="808">
        <f t="shared" si="0"/>
        <v>120311114.706</v>
      </c>
    </row>
    <row r="17" spans="1:13" s="323" customFormat="1" ht="17.100000000000001" customHeight="1">
      <c r="A17" s="309" t="s">
        <v>882</v>
      </c>
      <c r="B17" s="328">
        <v>6338238.0259999996</v>
      </c>
      <c r="C17" s="328">
        <v>17330732.947000001</v>
      </c>
      <c r="D17" s="328">
        <v>27519189.340399995</v>
      </c>
      <c r="E17" s="328">
        <v>37810978.376000002</v>
      </c>
      <c r="F17" s="328">
        <v>49651674.387999997</v>
      </c>
      <c r="G17" s="328">
        <v>54860750.909000002</v>
      </c>
      <c r="H17" s="328">
        <v>132635469.557</v>
      </c>
      <c r="I17" s="328">
        <v>132324513.605</v>
      </c>
      <c r="J17" s="328">
        <v>312161815.33499998</v>
      </c>
      <c r="K17" s="328">
        <v>297300549.18400002</v>
      </c>
      <c r="L17" s="328">
        <v>1395647805.0350001</v>
      </c>
      <c r="M17" s="808">
        <f t="shared" si="0"/>
        <v>2463581716.7024002</v>
      </c>
    </row>
    <row r="18" spans="1:13" s="323" customFormat="1" ht="33.950000000000003" customHeight="1">
      <c r="A18" s="309" t="s">
        <v>438</v>
      </c>
      <c r="B18" s="328">
        <v>433989.5</v>
      </c>
      <c r="C18" s="328">
        <v>1257762.446</v>
      </c>
      <c r="D18" s="328">
        <v>2183215.6260000002</v>
      </c>
      <c r="E18" s="328">
        <v>2808476.4679999999</v>
      </c>
      <c r="F18" s="328">
        <v>3775829.557</v>
      </c>
      <c r="G18" s="328">
        <v>4724136.5439999998</v>
      </c>
      <c r="H18" s="328">
        <v>10229705.115</v>
      </c>
      <c r="I18" s="328">
        <v>10401289.075999999</v>
      </c>
      <c r="J18" s="328">
        <v>24161819.343000002</v>
      </c>
      <c r="K18" s="328">
        <v>18228426.559</v>
      </c>
      <c r="L18" s="328">
        <v>41427558.406999998</v>
      </c>
      <c r="M18" s="808">
        <f t="shared" si="0"/>
        <v>119632208.641</v>
      </c>
    </row>
    <row r="19" spans="1:13" s="323" customFormat="1" ht="17.100000000000001" customHeight="1">
      <c r="A19" s="309" t="s">
        <v>442</v>
      </c>
      <c r="B19" s="328">
        <v>2638080.2850000001</v>
      </c>
      <c r="C19" s="328">
        <v>6720644.6109999996</v>
      </c>
      <c r="D19" s="328">
        <v>10789154.797</v>
      </c>
      <c r="E19" s="328">
        <v>15087529.877</v>
      </c>
      <c r="F19" s="328">
        <v>18524863.934999999</v>
      </c>
      <c r="G19" s="328">
        <v>21300758.947999999</v>
      </c>
      <c r="H19" s="328">
        <v>52918357.549999997</v>
      </c>
      <c r="I19" s="328">
        <v>58277238.784000002</v>
      </c>
      <c r="J19" s="328">
        <v>135044616.68099999</v>
      </c>
      <c r="K19" s="328">
        <v>134303093.704</v>
      </c>
      <c r="L19" s="328">
        <v>600607356.79200006</v>
      </c>
      <c r="M19" s="808">
        <f t="shared" si="0"/>
        <v>1056211695.964</v>
      </c>
    </row>
    <row r="20" spans="1:13" s="323" customFormat="1" ht="17.100000000000001" customHeight="1">
      <c r="A20" s="309" t="s">
        <v>446</v>
      </c>
      <c r="B20" s="328">
        <v>1243043.1430000002</v>
      </c>
      <c r="C20" s="328">
        <v>3902058.1379999998</v>
      </c>
      <c r="D20" s="328">
        <v>7145093.8959999997</v>
      </c>
      <c r="E20" s="328">
        <v>10394839.5</v>
      </c>
      <c r="F20" s="328">
        <v>11998934.822999999</v>
      </c>
      <c r="G20" s="328">
        <v>12575872.637</v>
      </c>
      <c r="H20" s="328">
        <v>27536918.909000002</v>
      </c>
      <c r="I20" s="328">
        <v>25169974.649999999</v>
      </c>
      <c r="J20" s="328">
        <v>50316759.862999998</v>
      </c>
      <c r="K20" s="328">
        <v>32887025.677000001</v>
      </c>
      <c r="L20" s="328">
        <v>77469914.761999995</v>
      </c>
      <c r="M20" s="808">
        <f t="shared" si="0"/>
        <v>260640435.998</v>
      </c>
    </row>
    <row r="21" spans="1:13" s="323" customFormat="1" ht="17.100000000000001" customHeight="1">
      <c r="A21" s="309" t="s">
        <v>450</v>
      </c>
      <c r="B21" s="328">
        <v>1314013.7490000001</v>
      </c>
      <c r="C21" s="328">
        <v>4101157.497</v>
      </c>
      <c r="D21" s="328">
        <v>7164524.0779999997</v>
      </c>
      <c r="E21" s="328">
        <v>10958519.6801</v>
      </c>
      <c r="F21" s="328">
        <v>10658595.173</v>
      </c>
      <c r="G21" s="328">
        <v>11714174.541999999</v>
      </c>
      <c r="H21" s="328">
        <v>24204755.710000001</v>
      </c>
      <c r="I21" s="328">
        <v>23225927.719000001</v>
      </c>
      <c r="J21" s="328">
        <v>55996238.189999998</v>
      </c>
      <c r="K21" s="328">
        <v>46602570.045999996</v>
      </c>
      <c r="L21" s="328">
        <v>97021988.458999991</v>
      </c>
      <c r="M21" s="808">
        <f t="shared" si="0"/>
        <v>292962464.84310001</v>
      </c>
    </row>
    <row r="22" spans="1:13" s="323" customFormat="1" ht="17.100000000000001" customHeight="1">
      <c r="A22" s="309" t="s">
        <v>454</v>
      </c>
      <c r="B22" s="328">
        <v>1019641.816</v>
      </c>
      <c r="C22" s="328">
        <v>3250138.26</v>
      </c>
      <c r="D22" s="328">
        <v>5825856.0310000004</v>
      </c>
      <c r="E22" s="328">
        <v>8561566.2809999995</v>
      </c>
      <c r="F22" s="328">
        <v>10793714.558</v>
      </c>
      <c r="G22" s="328">
        <v>13105852.058</v>
      </c>
      <c r="H22" s="328">
        <v>31472936.125</v>
      </c>
      <c r="I22" s="328">
        <v>27534384.274</v>
      </c>
      <c r="J22" s="328">
        <v>46783255.806999996</v>
      </c>
      <c r="K22" s="328">
        <v>35938201.938000001</v>
      </c>
      <c r="L22" s="328">
        <v>88589590.181999996</v>
      </c>
      <c r="M22" s="808">
        <f t="shared" si="0"/>
        <v>272875137.32999998</v>
      </c>
    </row>
    <row r="23" spans="1:13" s="323" customFormat="1" ht="33.950000000000003" customHeight="1">
      <c r="A23" s="309" t="s">
        <v>458</v>
      </c>
      <c r="B23" s="328">
        <v>4315141.6980000008</v>
      </c>
      <c r="C23" s="328">
        <v>12613999.755000001</v>
      </c>
      <c r="D23" s="328">
        <v>22968727.473999999</v>
      </c>
      <c r="E23" s="328">
        <v>29948653.848000001</v>
      </c>
      <c r="F23" s="328">
        <v>42098169.423</v>
      </c>
      <c r="G23" s="328">
        <v>44498321.872999996</v>
      </c>
      <c r="H23" s="328">
        <v>101049698.215</v>
      </c>
      <c r="I23" s="328">
        <v>97510545.312999994</v>
      </c>
      <c r="J23" s="328">
        <v>210959697.78600001</v>
      </c>
      <c r="K23" s="328">
        <v>173114888.03200001</v>
      </c>
      <c r="L23" s="328">
        <v>482985791.44000006</v>
      </c>
      <c r="M23" s="808">
        <f t="shared" si="0"/>
        <v>1222063634.8570001</v>
      </c>
    </row>
    <row r="24" spans="1:13" s="323" customFormat="1" ht="17.100000000000001" customHeight="1">
      <c r="A24" s="309" t="s">
        <v>460</v>
      </c>
      <c r="B24" s="328">
        <v>2057194.2599999998</v>
      </c>
      <c r="C24" s="328">
        <v>6531713.0759999994</v>
      </c>
      <c r="D24" s="328">
        <v>11287739.607000001</v>
      </c>
      <c r="E24" s="328">
        <v>14923581.25</v>
      </c>
      <c r="F24" s="328">
        <v>19509640.147</v>
      </c>
      <c r="G24" s="328">
        <v>22726611.237999998</v>
      </c>
      <c r="H24" s="328">
        <v>55474957.329999998</v>
      </c>
      <c r="I24" s="328">
        <v>59058755.414000005</v>
      </c>
      <c r="J24" s="328">
        <v>134739004.465</v>
      </c>
      <c r="K24" s="328">
        <v>122689945.193</v>
      </c>
      <c r="L24" s="328">
        <v>326264261.52399999</v>
      </c>
      <c r="M24" s="808">
        <f t="shared" si="0"/>
        <v>775263403.50400007</v>
      </c>
    </row>
    <row r="25" spans="1:13" s="323" customFormat="1" ht="17.100000000000001" customHeight="1">
      <c r="A25" s="309" t="s">
        <v>463</v>
      </c>
      <c r="B25" s="328">
        <v>2650491.4009999996</v>
      </c>
      <c r="C25" s="328">
        <v>6919491.4680000003</v>
      </c>
      <c r="D25" s="328">
        <v>12428619.355999999</v>
      </c>
      <c r="E25" s="328">
        <v>17568439.583999999</v>
      </c>
      <c r="F25" s="328">
        <v>23246763.977000002</v>
      </c>
      <c r="G25" s="328">
        <v>25689705.681000002</v>
      </c>
      <c r="H25" s="328">
        <v>51772078.637000002</v>
      </c>
      <c r="I25" s="328">
        <v>49229682.269000001</v>
      </c>
      <c r="J25" s="328">
        <v>107899317.60699999</v>
      </c>
      <c r="K25" s="328">
        <v>71863371.914999992</v>
      </c>
      <c r="L25" s="328">
        <v>138025388.91499999</v>
      </c>
      <c r="M25" s="808">
        <f t="shared" si="0"/>
        <v>507293350.80999994</v>
      </c>
    </row>
    <row r="26" spans="1:13" s="323" customFormat="1" ht="17.100000000000001" customHeight="1">
      <c r="A26" s="309" t="s">
        <v>466</v>
      </c>
      <c r="B26" s="328">
        <v>466275.66599999997</v>
      </c>
      <c r="C26" s="328">
        <v>1482809.3570000001</v>
      </c>
      <c r="D26" s="328">
        <v>3041642.4790000003</v>
      </c>
      <c r="E26" s="328">
        <v>4239586.7819999997</v>
      </c>
      <c r="F26" s="328">
        <v>5245470.3039999995</v>
      </c>
      <c r="G26" s="328">
        <v>7187145.0820000004</v>
      </c>
      <c r="H26" s="328">
        <v>14598741.927999999</v>
      </c>
      <c r="I26" s="328">
        <v>14167298.143999999</v>
      </c>
      <c r="J26" s="328">
        <v>30253972.923999999</v>
      </c>
      <c r="K26" s="328">
        <v>25768477.666000001</v>
      </c>
      <c r="L26" s="328">
        <v>85870924.024000004</v>
      </c>
      <c r="M26" s="808">
        <f t="shared" si="0"/>
        <v>192322344.35600001</v>
      </c>
    </row>
    <row r="27" spans="1:13" s="323" customFormat="1" ht="17.100000000000001" customHeight="1">
      <c r="A27" s="309" t="s">
        <v>469</v>
      </c>
      <c r="B27" s="328">
        <v>960320.62099999993</v>
      </c>
      <c r="C27" s="328">
        <v>2940400.4040000001</v>
      </c>
      <c r="D27" s="328">
        <v>5229489.68</v>
      </c>
      <c r="E27" s="328">
        <v>7714925.8880000003</v>
      </c>
      <c r="F27" s="328">
        <v>8269936.0630000001</v>
      </c>
      <c r="G27" s="328">
        <v>9980952.3909999989</v>
      </c>
      <c r="H27" s="328">
        <v>22528045.664000001</v>
      </c>
      <c r="I27" s="328">
        <v>20222250.131999999</v>
      </c>
      <c r="J27" s="328">
        <v>38662793.239</v>
      </c>
      <c r="K27" s="328">
        <v>32483071.185000002</v>
      </c>
      <c r="L27" s="328">
        <v>65038966.358999997</v>
      </c>
      <c r="M27" s="808">
        <f t="shared" si="0"/>
        <v>214031151.62600002</v>
      </c>
    </row>
    <row r="28" spans="1:13" s="323" customFormat="1" ht="33.950000000000003" customHeight="1">
      <c r="A28" s="309" t="s">
        <v>471</v>
      </c>
      <c r="B28" s="328">
        <v>24866207.034400001</v>
      </c>
      <c r="C28" s="328">
        <v>68986088.058000013</v>
      </c>
      <c r="D28" s="328">
        <v>115837329.76200001</v>
      </c>
      <c r="E28" s="328">
        <v>154141304.736</v>
      </c>
      <c r="F28" s="328">
        <v>196949484.19799998</v>
      </c>
      <c r="G28" s="328">
        <v>236789041.757</v>
      </c>
      <c r="H28" s="328">
        <v>566835084.58080006</v>
      </c>
      <c r="I28" s="328">
        <v>627840532.41400003</v>
      </c>
      <c r="J28" s="328">
        <v>1470333757.027</v>
      </c>
      <c r="K28" s="328">
        <v>1395435001.027</v>
      </c>
      <c r="L28" s="328">
        <v>7531193589.3180008</v>
      </c>
      <c r="M28" s="808">
        <f t="shared" si="0"/>
        <v>12389207419.912201</v>
      </c>
    </row>
    <row r="29" spans="1:13" s="323" customFormat="1" ht="17.100000000000001" customHeight="1">
      <c r="A29" s="309" t="s">
        <v>474</v>
      </c>
      <c r="B29" s="328">
        <v>1199165.074</v>
      </c>
      <c r="C29" s="328">
        <v>3140982.608</v>
      </c>
      <c r="D29" s="328">
        <v>4628226.0770000005</v>
      </c>
      <c r="E29" s="328">
        <v>5964899.3710000003</v>
      </c>
      <c r="F29" s="328">
        <v>7652015.267</v>
      </c>
      <c r="G29" s="328">
        <v>9553004.8800000008</v>
      </c>
      <c r="H29" s="328">
        <v>21928177.291000001</v>
      </c>
      <c r="I29" s="328">
        <v>22651828.765999999</v>
      </c>
      <c r="J29" s="328">
        <v>62977611.730000004</v>
      </c>
      <c r="K29" s="328">
        <v>61083801.107999995</v>
      </c>
      <c r="L29" s="328">
        <v>425124991.04699999</v>
      </c>
      <c r="M29" s="808">
        <f t="shared" si="0"/>
        <v>625904703.21899998</v>
      </c>
    </row>
    <row r="30" spans="1:13" s="323" customFormat="1" ht="17.100000000000001" customHeight="1">
      <c r="A30" s="309" t="s">
        <v>476</v>
      </c>
      <c r="B30" s="328">
        <v>357068.478</v>
      </c>
      <c r="C30" s="328">
        <v>1263137.274</v>
      </c>
      <c r="D30" s="328">
        <v>1857537.63</v>
      </c>
      <c r="E30" s="328">
        <v>2556251.9640000002</v>
      </c>
      <c r="F30" s="328">
        <v>3263067</v>
      </c>
      <c r="G30" s="328">
        <v>4932288.0999999996</v>
      </c>
      <c r="H30" s="328">
        <v>9050439.2410000004</v>
      </c>
      <c r="I30" s="328">
        <v>9855779.4639999997</v>
      </c>
      <c r="J30" s="328">
        <v>20070799.101999998</v>
      </c>
      <c r="K30" s="328">
        <v>18297395.824000001</v>
      </c>
      <c r="L30" s="328">
        <v>36171674.100999996</v>
      </c>
      <c r="M30" s="808">
        <f t="shared" si="0"/>
        <v>107675438.17799999</v>
      </c>
    </row>
    <row r="31" spans="1:13" s="323" customFormat="1" ht="17.100000000000001" customHeight="1">
      <c r="A31" s="309" t="s">
        <v>479</v>
      </c>
      <c r="B31" s="328">
        <v>3541945.409</v>
      </c>
      <c r="C31" s="328">
        <v>9942758.4270000011</v>
      </c>
      <c r="D31" s="328">
        <v>17757737.310000002</v>
      </c>
      <c r="E31" s="328">
        <v>24978976.287</v>
      </c>
      <c r="F31" s="328">
        <v>30235602.704</v>
      </c>
      <c r="G31" s="328">
        <v>36173811.458000004</v>
      </c>
      <c r="H31" s="328">
        <v>77849564.954999998</v>
      </c>
      <c r="I31" s="328">
        <v>86701151.372999996</v>
      </c>
      <c r="J31" s="328">
        <v>198742424.808</v>
      </c>
      <c r="K31" s="328">
        <v>200672585.80399999</v>
      </c>
      <c r="L31" s="328">
        <v>848225898.60800004</v>
      </c>
      <c r="M31" s="808">
        <f t="shared" si="0"/>
        <v>1534822457.1430001</v>
      </c>
    </row>
    <row r="32" spans="1:13" s="323" customFormat="1" ht="17.100000000000001" customHeight="1">
      <c r="A32" s="309" t="s">
        <v>482</v>
      </c>
      <c r="B32" s="328">
        <v>747108.75800000003</v>
      </c>
      <c r="C32" s="328">
        <v>2074232.628</v>
      </c>
      <c r="D32" s="328">
        <v>4318661.8550000004</v>
      </c>
      <c r="E32" s="328">
        <v>5525339.9110000003</v>
      </c>
      <c r="F32" s="328">
        <v>7359142.1689999998</v>
      </c>
      <c r="G32" s="328">
        <v>8859298.7850000001</v>
      </c>
      <c r="H32" s="328">
        <v>20649480.458999999</v>
      </c>
      <c r="I32" s="328">
        <v>18719246.123999998</v>
      </c>
      <c r="J32" s="328">
        <v>33410716.254999999</v>
      </c>
      <c r="K32" s="328">
        <v>25931343.171999998</v>
      </c>
      <c r="L32" s="328">
        <v>56854232.548</v>
      </c>
      <c r="M32" s="808">
        <f t="shared" si="0"/>
        <v>184448802.664</v>
      </c>
    </row>
    <row r="33" spans="1:13" s="323" customFormat="1" ht="33.950000000000003" customHeight="1">
      <c r="A33" s="309" t="s">
        <v>485</v>
      </c>
      <c r="B33" s="328">
        <v>969252.35600000003</v>
      </c>
      <c r="C33" s="328">
        <v>3311016.2769999998</v>
      </c>
      <c r="D33" s="328">
        <v>4792485.2829999998</v>
      </c>
      <c r="E33" s="328">
        <v>7288552.6430000002</v>
      </c>
      <c r="F33" s="328">
        <v>8045982.2860000003</v>
      </c>
      <c r="G33" s="328">
        <v>8453419.381000001</v>
      </c>
      <c r="H33" s="328">
        <v>19981014.260000002</v>
      </c>
      <c r="I33" s="328">
        <v>15594596.375</v>
      </c>
      <c r="J33" s="328">
        <v>40200603.891000003</v>
      </c>
      <c r="K33" s="328">
        <v>31359569.024</v>
      </c>
      <c r="L33" s="328">
        <v>49350966.659999996</v>
      </c>
      <c r="M33" s="808">
        <f t="shared" si="0"/>
        <v>189347458.43599999</v>
      </c>
    </row>
    <row r="34" spans="1:13" s="323" customFormat="1" ht="17.100000000000001" customHeight="1">
      <c r="A34" s="309" t="s">
        <v>488</v>
      </c>
      <c r="B34" s="328">
        <v>1688337.7849999999</v>
      </c>
      <c r="C34" s="328">
        <v>5724155.7300000004</v>
      </c>
      <c r="D34" s="328">
        <v>10648604.324999999</v>
      </c>
      <c r="E34" s="328">
        <v>15201783.175000001</v>
      </c>
      <c r="F34" s="328">
        <v>18433009.035999998</v>
      </c>
      <c r="G34" s="328">
        <v>22950919.328000002</v>
      </c>
      <c r="H34" s="328">
        <v>56092315.627000004</v>
      </c>
      <c r="I34" s="328">
        <v>53907214.277999997</v>
      </c>
      <c r="J34" s="328">
        <v>116382356.435</v>
      </c>
      <c r="K34" s="328">
        <v>99185947.272</v>
      </c>
      <c r="L34" s="328">
        <v>244242699.178</v>
      </c>
      <c r="M34" s="808">
        <f t="shared" si="0"/>
        <v>644457342.16900003</v>
      </c>
    </row>
    <row r="35" spans="1:13" s="323" customFormat="1" ht="17.100000000000001" customHeight="1">
      <c r="A35" s="309" t="s">
        <v>491</v>
      </c>
      <c r="B35" s="328">
        <v>879094.87199999997</v>
      </c>
      <c r="C35" s="328">
        <v>2368017.7209999999</v>
      </c>
      <c r="D35" s="328">
        <v>5106952.6090000002</v>
      </c>
      <c r="E35" s="328">
        <v>6641064.4440000001</v>
      </c>
      <c r="F35" s="328">
        <v>8802463.7819999997</v>
      </c>
      <c r="G35" s="328">
        <v>10466815.964</v>
      </c>
      <c r="H35" s="328">
        <v>20697247.572000001</v>
      </c>
      <c r="I35" s="328">
        <v>21417179.243999999</v>
      </c>
      <c r="J35" s="328">
        <v>43704042.028999999</v>
      </c>
      <c r="K35" s="328">
        <v>34642105.399999999</v>
      </c>
      <c r="L35" s="328">
        <v>95868371.743000001</v>
      </c>
      <c r="M35" s="808">
        <f t="shared" si="0"/>
        <v>250593355.38</v>
      </c>
    </row>
    <row r="36" spans="1:13" s="323" customFormat="1" ht="17.100000000000001" customHeight="1">
      <c r="A36" s="310" t="s">
        <v>883</v>
      </c>
      <c r="B36" s="328">
        <v>82557077.324399978</v>
      </c>
      <c r="C36" s="328">
        <v>203239074.20299995</v>
      </c>
      <c r="D36" s="328">
        <v>319402624.36399984</v>
      </c>
      <c r="E36" s="328">
        <v>397432123.171</v>
      </c>
      <c r="F36" s="328">
        <v>490918470.01700002</v>
      </c>
      <c r="G36" s="328">
        <v>556781772.3628999</v>
      </c>
      <c r="H36" s="328">
        <v>1290596764.0000002</v>
      </c>
      <c r="I36" s="328">
        <v>1430481490.5561001</v>
      </c>
      <c r="J36" s="328">
        <v>4098447993.9629998</v>
      </c>
      <c r="K36" s="328">
        <v>4366663434.552598</v>
      </c>
      <c r="L36" s="328">
        <v>52892496041.496399</v>
      </c>
      <c r="M36" s="808">
        <f t="shared" si="0"/>
        <v>66129016866.010391</v>
      </c>
    </row>
    <row r="37" spans="1:13" s="323" customFormat="1" ht="17.100000000000001" customHeight="1">
      <c r="A37" s="310" t="s">
        <v>497</v>
      </c>
      <c r="B37" s="329">
        <v>5284427.2570000002</v>
      </c>
      <c r="C37" s="329">
        <v>13548190.91</v>
      </c>
      <c r="D37" s="329">
        <v>20600703.403000001</v>
      </c>
      <c r="E37" s="329">
        <v>26713714.539000001</v>
      </c>
      <c r="F37" s="329">
        <v>34333740.796999998</v>
      </c>
      <c r="G37" s="329">
        <v>39648586.743000001</v>
      </c>
      <c r="H37" s="329">
        <v>96053824.673999995</v>
      </c>
      <c r="I37" s="329">
        <v>99990152.443000004</v>
      </c>
      <c r="J37" s="329">
        <v>270105071.33700001</v>
      </c>
      <c r="K37" s="329">
        <v>278757700.59200001</v>
      </c>
      <c r="L37" s="329">
        <v>2609828580.8909998</v>
      </c>
      <c r="M37" s="808">
        <f t="shared" si="0"/>
        <v>3494864693.5859995</v>
      </c>
    </row>
    <row r="38" spans="1:13" s="323" customFormat="1" ht="33.950000000000003" customHeight="1">
      <c r="A38" s="309" t="s">
        <v>500</v>
      </c>
      <c r="B38" s="283">
        <v>1136283.784</v>
      </c>
      <c r="C38" s="283">
        <v>3441566.9809999997</v>
      </c>
      <c r="D38" s="283">
        <v>5772096.0920000002</v>
      </c>
      <c r="E38" s="283">
        <v>7686299.0590000004</v>
      </c>
      <c r="F38" s="283">
        <v>10442481.969000001</v>
      </c>
      <c r="G38" s="283">
        <v>11813975.890000001</v>
      </c>
      <c r="H38" s="283">
        <v>25327480.550000001</v>
      </c>
      <c r="I38" s="283">
        <v>26986578.098999999</v>
      </c>
      <c r="J38" s="283">
        <v>58964992.688000001</v>
      </c>
      <c r="K38" s="283">
        <v>55092775.303000003</v>
      </c>
      <c r="L38" s="283">
        <v>115245881.93700001</v>
      </c>
      <c r="M38" s="456">
        <f t="shared" si="0"/>
        <v>321910412.352</v>
      </c>
    </row>
    <row r="39" spans="1:13" s="323" customFormat="1" ht="17.100000000000001" customHeight="1">
      <c r="A39" s="309" t="s">
        <v>502</v>
      </c>
      <c r="B39" s="328">
        <v>1729733.2969999998</v>
      </c>
      <c r="C39" s="328">
        <v>5146628.5010000002</v>
      </c>
      <c r="D39" s="328">
        <v>8368652.4950000001</v>
      </c>
      <c r="E39" s="328">
        <v>12142949.050999999</v>
      </c>
      <c r="F39" s="328">
        <v>15821481.700999999</v>
      </c>
      <c r="G39" s="328">
        <v>18417711.901999999</v>
      </c>
      <c r="H39" s="328">
        <v>45632840.549999997</v>
      </c>
      <c r="I39" s="328">
        <v>50455440.446000002</v>
      </c>
      <c r="J39" s="328">
        <v>115037134.47499999</v>
      </c>
      <c r="K39" s="328">
        <v>114444935.331</v>
      </c>
      <c r="L39" s="328">
        <v>404566780.32099998</v>
      </c>
      <c r="M39" s="808">
        <f t="shared" si="0"/>
        <v>791764288.06999993</v>
      </c>
    </row>
    <row r="40" spans="1:13" s="323" customFormat="1" ht="17.100000000000001" customHeight="1">
      <c r="A40" s="309" t="s">
        <v>505</v>
      </c>
      <c r="B40" s="328">
        <v>4375311.1400000006</v>
      </c>
      <c r="C40" s="328">
        <v>12518409.058999998</v>
      </c>
      <c r="D40" s="328">
        <v>21735167.373</v>
      </c>
      <c r="E40" s="328">
        <v>26209080.013</v>
      </c>
      <c r="F40" s="328">
        <v>37199555.048</v>
      </c>
      <c r="G40" s="328">
        <v>43814682.739</v>
      </c>
      <c r="H40" s="328">
        <v>95013782.090000004</v>
      </c>
      <c r="I40" s="328">
        <v>94756138.899000004</v>
      </c>
      <c r="J40" s="328">
        <v>202362964.16300002</v>
      </c>
      <c r="K40" s="328">
        <v>172527092.98800001</v>
      </c>
      <c r="L40" s="328">
        <v>606836621.71800005</v>
      </c>
      <c r="M40" s="808">
        <f t="shared" si="0"/>
        <v>1317348805.23</v>
      </c>
    </row>
    <row r="41" spans="1:13" s="323" customFormat="1" ht="17.100000000000001" customHeight="1">
      <c r="A41" s="309" t="s">
        <v>507</v>
      </c>
      <c r="B41" s="328">
        <v>6994738.277400001</v>
      </c>
      <c r="C41" s="328">
        <v>18795007.140000001</v>
      </c>
      <c r="D41" s="328">
        <v>32483003.908999998</v>
      </c>
      <c r="E41" s="328">
        <v>41857031.811999999</v>
      </c>
      <c r="F41" s="328">
        <v>51222273.806999996</v>
      </c>
      <c r="G41" s="328">
        <v>64362764.305</v>
      </c>
      <c r="H41" s="328">
        <v>151085038.245</v>
      </c>
      <c r="I41" s="328">
        <v>155456960.73199999</v>
      </c>
      <c r="J41" s="328">
        <v>398130618.35699999</v>
      </c>
      <c r="K41" s="328">
        <v>374965780.48100001</v>
      </c>
      <c r="L41" s="328">
        <v>1685593271.8799999</v>
      </c>
      <c r="M41" s="808">
        <f t="shared" si="0"/>
        <v>2980946488.9453998</v>
      </c>
    </row>
    <row r="42" spans="1:13" s="323" customFormat="1" ht="17.100000000000001" customHeight="1">
      <c r="A42" s="309" t="s">
        <v>510</v>
      </c>
      <c r="B42" s="328">
        <v>1289124.8559999999</v>
      </c>
      <c r="C42" s="328">
        <v>4098233.0049999999</v>
      </c>
      <c r="D42" s="328">
        <v>6427115.1919999998</v>
      </c>
      <c r="E42" s="328">
        <v>10012419.617000001</v>
      </c>
      <c r="F42" s="328">
        <v>11840443.009</v>
      </c>
      <c r="G42" s="328">
        <v>13284391.241</v>
      </c>
      <c r="H42" s="328">
        <v>29206123.677000001</v>
      </c>
      <c r="I42" s="328">
        <v>31253565.789000001</v>
      </c>
      <c r="J42" s="328">
        <v>70647108.540000007</v>
      </c>
      <c r="K42" s="328">
        <v>62227149.395999998</v>
      </c>
      <c r="L42" s="328">
        <v>120280387.30400001</v>
      </c>
      <c r="M42" s="808">
        <f t="shared" si="0"/>
        <v>360566061.62599999</v>
      </c>
    </row>
    <row r="43" spans="1:13" ht="18">
      <c r="A43" s="330" t="s">
        <v>697</v>
      </c>
      <c r="B43" s="331"/>
      <c r="C43" s="331"/>
      <c r="D43" s="331"/>
      <c r="E43" s="331"/>
      <c r="F43" s="331"/>
      <c r="G43" s="331"/>
      <c r="H43" s="331"/>
      <c r="I43" s="331"/>
      <c r="J43" s="331"/>
      <c r="K43" s="331"/>
      <c r="L43" s="331"/>
      <c r="M43" s="809"/>
    </row>
    <row r="44" spans="1:13" ht="17.100000000000001" customHeight="1">
      <c r="A44" s="317" t="s">
        <v>675</v>
      </c>
      <c r="B44" s="316"/>
      <c r="C44" s="316"/>
      <c r="D44" s="316"/>
      <c r="E44" s="316"/>
      <c r="F44" s="316"/>
      <c r="G44" s="316"/>
      <c r="H44" s="316"/>
      <c r="I44" s="316"/>
      <c r="J44" s="316"/>
      <c r="K44" s="316"/>
      <c r="L44" s="316"/>
      <c r="M44" s="810"/>
    </row>
    <row r="45" spans="1:13" ht="17.100000000000001" customHeight="1">
      <c r="A45" s="318" t="str">
        <f>A3</f>
        <v>Taxable Year 2019</v>
      </c>
      <c r="B45" s="316"/>
      <c r="C45" s="316"/>
      <c r="D45" s="316"/>
      <c r="E45" s="316"/>
      <c r="F45" s="316"/>
      <c r="G45" s="316"/>
      <c r="H45" s="316"/>
      <c r="I45" s="316"/>
      <c r="J45" s="316"/>
      <c r="K45" s="316"/>
      <c r="L45" s="316"/>
      <c r="M45" s="810"/>
    </row>
    <row r="46" spans="1:13" ht="17.100000000000001" customHeight="1" thickBot="1">
      <c r="B46" s="332">
        <f t="shared" ref="B46:M46" si="1">SUM(B8:B37)</f>
        <v>186739744.50889996</v>
      </c>
      <c r="C46" s="332">
        <f t="shared" si="1"/>
        <v>486272646.52900004</v>
      </c>
      <c r="D46" s="332">
        <f t="shared" si="1"/>
        <v>796975507.6523999</v>
      </c>
      <c r="E46" s="332">
        <f t="shared" si="1"/>
        <v>1039260102.1691002</v>
      </c>
      <c r="F46" s="332">
        <f t="shared" si="1"/>
        <v>1310157602.9517999</v>
      </c>
      <c r="G46" s="332">
        <f t="shared" si="1"/>
        <v>1524708718.6099</v>
      </c>
      <c r="H46" s="332">
        <f t="shared" si="1"/>
        <v>3508237905.9289999</v>
      </c>
      <c r="I46" s="332">
        <f t="shared" si="1"/>
        <v>3786859535.4310999</v>
      </c>
      <c r="J46" s="332">
        <f t="shared" si="1"/>
        <v>9965320419.3109989</v>
      </c>
      <c r="K46" s="332">
        <f t="shared" si="1"/>
        <v>9900283431.8785973</v>
      </c>
      <c r="L46" s="332">
        <f t="shared" si="1"/>
        <v>86116215343.445404</v>
      </c>
      <c r="M46" s="811">
        <f t="shared" si="1"/>
        <v>118621030958.4162</v>
      </c>
    </row>
    <row r="47" spans="1:13" s="323" customFormat="1" ht="17.100000000000001" customHeight="1">
      <c r="A47" s="320"/>
      <c r="B47" s="333"/>
      <c r="C47" s="322"/>
      <c r="D47" s="322"/>
      <c r="E47" s="322"/>
      <c r="F47" s="322"/>
      <c r="G47" s="322"/>
      <c r="H47" s="322"/>
      <c r="I47" s="322"/>
      <c r="J47" s="322"/>
      <c r="K47" s="322"/>
      <c r="L47" s="322"/>
      <c r="M47" s="377" t="s">
        <v>17</v>
      </c>
    </row>
    <row r="48" spans="1:13" s="323" customFormat="1" ht="17.100000000000001" customHeight="1">
      <c r="A48" s="324"/>
      <c r="B48" s="325"/>
      <c r="C48" s="325" t="s">
        <v>676</v>
      </c>
      <c r="D48" s="325" t="s">
        <v>677</v>
      </c>
      <c r="E48" s="325" t="s">
        <v>678</v>
      </c>
      <c r="F48" s="325" t="s">
        <v>679</v>
      </c>
      <c r="G48" s="325" t="s">
        <v>680</v>
      </c>
      <c r="H48" s="325" t="s">
        <v>681</v>
      </c>
      <c r="I48" s="325" t="s">
        <v>682</v>
      </c>
      <c r="J48" s="325" t="s">
        <v>683</v>
      </c>
      <c r="K48" s="325" t="s">
        <v>684</v>
      </c>
      <c r="L48" s="325" t="s">
        <v>685</v>
      </c>
      <c r="M48" s="378" t="s">
        <v>366</v>
      </c>
    </row>
    <row r="49" spans="1:13" s="323" customFormat="1" ht="17.100000000000001" customHeight="1">
      <c r="A49" s="758" t="s">
        <v>23</v>
      </c>
      <c r="B49" s="805" t="s">
        <v>686</v>
      </c>
      <c r="C49" s="805" t="s">
        <v>687</v>
      </c>
      <c r="D49" s="805" t="s">
        <v>688</v>
      </c>
      <c r="E49" s="805" t="s">
        <v>689</v>
      </c>
      <c r="F49" s="805" t="s">
        <v>690</v>
      </c>
      <c r="G49" s="805" t="s">
        <v>691</v>
      </c>
      <c r="H49" s="805" t="s">
        <v>692</v>
      </c>
      <c r="I49" s="805" t="s">
        <v>693</v>
      </c>
      <c r="J49" s="805" t="s">
        <v>694</v>
      </c>
      <c r="K49" s="805" t="s">
        <v>695</v>
      </c>
      <c r="L49" s="805" t="s">
        <v>696</v>
      </c>
      <c r="M49" s="806" t="s">
        <v>22</v>
      </c>
    </row>
    <row r="50" spans="1:13" s="323" customFormat="1" ht="33.950000000000003" customHeight="1">
      <c r="A50" s="309" t="s">
        <v>513</v>
      </c>
      <c r="B50" s="328">
        <v>2648643.1329999999</v>
      </c>
      <c r="C50" s="328">
        <v>8076651.3829999994</v>
      </c>
      <c r="D50" s="328">
        <v>13849625.963</v>
      </c>
      <c r="E50" s="328">
        <v>18886022.293000001</v>
      </c>
      <c r="F50" s="328">
        <v>24016710.991</v>
      </c>
      <c r="G50" s="328">
        <v>28626524.84</v>
      </c>
      <c r="H50" s="328">
        <v>63005802.901000001</v>
      </c>
      <c r="I50" s="328">
        <v>68537820.089000002</v>
      </c>
      <c r="J50" s="328">
        <v>164913941.19499999</v>
      </c>
      <c r="K50" s="328">
        <v>153154570.87400001</v>
      </c>
      <c r="L50" s="328">
        <v>536503655.60699999</v>
      </c>
      <c r="M50" s="808">
        <f t="shared" ref="M50:M84" si="2">SUM(B50:L50)</f>
        <v>1082219969.2690001</v>
      </c>
    </row>
    <row r="51" spans="1:13" s="323" customFormat="1" ht="17.100000000000001" customHeight="1">
      <c r="A51" s="309" t="s">
        <v>515</v>
      </c>
      <c r="B51" s="328">
        <v>1812153.5596</v>
      </c>
      <c r="C51" s="328">
        <v>4443017.5419999994</v>
      </c>
      <c r="D51" s="328">
        <v>6187375.0690000001</v>
      </c>
      <c r="E51" s="328">
        <v>8701449.188000001</v>
      </c>
      <c r="F51" s="328">
        <v>10523418.736</v>
      </c>
      <c r="G51" s="328">
        <v>14892332.465</v>
      </c>
      <c r="H51" s="328">
        <v>32559506.43</v>
      </c>
      <c r="I51" s="328">
        <v>36690897.450999998</v>
      </c>
      <c r="J51" s="328">
        <v>90175809.251000002</v>
      </c>
      <c r="K51" s="328">
        <v>90520306.731999993</v>
      </c>
      <c r="L51" s="328">
        <v>1386636759.368</v>
      </c>
      <c r="M51" s="808">
        <f t="shared" si="2"/>
        <v>1683143025.7916</v>
      </c>
    </row>
    <row r="52" spans="1:13" s="323" customFormat="1" ht="17.100000000000001" customHeight="1">
      <c r="A52" s="309" t="s">
        <v>517</v>
      </c>
      <c r="B52" s="328">
        <v>1400256.9060000002</v>
      </c>
      <c r="C52" s="328">
        <v>3761337.6040000003</v>
      </c>
      <c r="D52" s="328">
        <v>6443385.9390000002</v>
      </c>
      <c r="E52" s="328">
        <v>9200475.6099999994</v>
      </c>
      <c r="F52" s="328">
        <v>12430047.6</v>
      </c>
      <c r="G52" s="328">
        <v>14380431.909</v>
      </c>
      <c r="H52" s="328">
        <v>28741065.751000002</v>
      </c>
      <c r="I52" s="328">
        <v>25967454.677999999</v>
      </c>
      <c r="J52" s="328">
        <v>51595346.178000003</v>
      </c>
      <c r="K52" s="328">
        <v>37752543.166000001</v>
      </c>
      <c r="L52" s="328">
        <v>64195202.739</v>
      </c>
      <c r="M52" s="808">
        <f t="shared" si="2"/>
        <v>255867548.08000001</v>
      </c>
    </row>
    <row r="53" spans="1:13" s="323" customFormat="1" ht="17.100000000000001" customHeight="1">
      <c r="A53" s="309" t="s">
        <v>520</v>
      </c>
      <c r="B53" s="328">
        <v>1235617.2889999999</v>
      </c>
      <c r="C53" s="328">
        <v>3959805.9920000001</v>
      </c>
      <c r="D53" s="328">
        <v>6716935.7980000004</v>
      </c>
      <c r="E53" s="328">
        <v>10013546.598000001</v>
      </c>
      <c r="F53" s="328">
        <v>12256352.789999999</v>
      </c>
      <c r="G53" s="328">
        <v>15079159.549000001</v>
      </c>
      <c r="H53" s="328">
        <v>34753159.115000002</v>
      </c>
      <c r="I53" s="328">
        <v>36239787.469999999</v>
      </c>
      <c r="J53" s="328">
        <v>79248754.814999998</v>
      </c>
      <c r="K53" s="328">
        <v>81509377.333000004</v>
      </c>
      <c r="L53" s="328">
        <v>252882600.37200001</v>
      </c>
      <c r="M53" s="808">
        <f t="shared" si="2"/>
        <v>533895097.12100005</v>
      </c>
    </row>
    <row r="54" spans="1:13" s="323" customFormat="1" ht="17.100000000000001" customHeight="1">
      <c r="A54" s="309" t="s">
        <v>523</v>
      </c>
      <c r="B54" s="328">
        <v>970695.33199999994</v>
      </c>
      <c r="C54" s="328">
        <v>3420133.9510000004</v>
      </c>
      <c r="D54" s="328">
        <v>5539382.6569999997</v>
      </c>
      <c r="E54" s="328">
        <v>7554653.5559999999</v>
      </c>
      <c r="F54" s="328">
        <v>8262080.1270000003</v>
      </c>
      <c r="G54" s="328">
        <v>10009302.391000001</v>
      </c>
      <c r="H54" s="328">
        <v>26737580.573999997</v>
      </c>
      <c r="I54" s="328">
        <v>24096985.395</v>
      </c>
      <c r="J54" s="328">
        <v>36120484.241000004</v>
      </c>
      <c r="K54" s="328">
        <v>27133515.600000001</v>
      </c>
      <c r="L54" s="328">
        <v>98718232.880999997</v>
      </c>
      <c r="M54" s="808">
        <f t="shared" si="2"/>
        <v>248563046.70499998</v>
      </c>
    </row>
    <row r="55" spans="1:13" s="323" customFormat="1" ht="33.950000000000003" customHeight="1">
      <c r="A55" s="309" t="s">
        <v>399</v>
      </c>
      <c r="B55" s="328">
        <v>2727254.8049999997</v>
      </c>
      <c r="C55" s="276">
        <v>8833129.2999999989</v>
      </c>
      <c r="D55" s="328">
        <v>15701969.296999998</v>
      </c>
      <c r="E55" s="328">
        <v>20767427.410999998</v>
      </c>
      <c r="F55" s="328">
        <v>26988675.403000001</v>
      </c>
      <c r="G55" s="328">
        <v>30333861.605</v>
      </c>
      <c r="H55" s="328">
        <v>64840307.935000002</v>
      </c>
      <c r="I55" s="328">
        <v>61552883.144000001</v>
      </c>
      <c r="J55" s="276">
        <v>114886983.47399999</v>
      </c>
      <c r="K55" s="328">
        <v>87572558.133000001</v>
      </c>
      <c r="L55" s="328">
        <v>227692877.62</v>
      </c>
      <c r="M55" s="808">
        <f t="shared" si="2"/>
        <v>661897928.12699997</v>
      </c>
    </row>
    <row r="56" spans="1:13" s="323" customFormat="1" ht="17.100000000000001" customHeight="1">
      <c r="A56" s="309" t="s">
        <v>403</v>
      </c>
      <c r="B56" s="328">
        <v>8571491.8020000011</v>
      </c>
      <c r="C56" s="328">
        <v>21683899.879999999</v>
      </c>
      <c r="D56" s="328">
        <v>32095156.548</v>
      </c>
      <c r="E56" s="328">
        <v>43663498.737000003</v>
      </c>
      <c r="F56" s="328">
        <v>53305427.798</v>
      </c>
      <c r="G56" s="328">
        <v>66322555.217999995</v>
      </c>
      <c r="H56" s="328">
        <v>155996476.92399999</v>
      </c>
      <c r="I56" s="328">
        <v>179604783.167</v>
      </c>
      <c r="J56" s="276">
        <v>433953545.75</v>
      </c>
      <c r="K56" s="328">
        <v>443886454.736</v>
      </c>
      <c r="L56" s="328">
        <v>2839524725.118</v>
      </c>
      <c r="M56" s="808">
        <f t="shared" si="2"/>
        <v>4278608015.678</v>
      </c>
    </row>
    <row r="57" spans="1:13" s="323" customFormat="1" ht="17.100000000000001" customHeight="1">
      <c r="A57" s="309" t="s">
        <v>407</v>
      </c>
      <c r="B57" s="328">
        <v>24782537.613599997</v>
      </c>
      <c r="C57" s="328">
        <v>67714453.794</v>
      </c>
      <c r="D57" s="328">
        <v>120894282.35699999</v>
      </c>
      <c r="E57" s="328">
        <v>165769012.748</v>
      </c>
      <c r="F57" s="328">
        <v>214096895.90799999</v>
      </c>
      <c r="G57" s="328">
        <v>255958581.48800001</v>
      </c>
      <c r="H57" s="328">
        <v>604538389.06700003</v>
      </c>
      <c r="I57" s="328">
        <v>649762162.7069999</v>
      </c>
      <c r="J57" s="276">
        <v>1389909863.2119999</v>
      </c>
      <c r="K57" s="328">
        <v>1181492442.342</v>
      </c>
      <c r="L57" s="328">
        <v>7601897797.5839996</v>
      </c>
      <c r="M57" s="808">
        <f t="shared" si="2"/>
        <v>12276816418.820599</v>
      </c>
    </row>
    <row r="58" spans="1:13" s="323" customFormat="1" ht="17.100000000000001" customHeight="1">
      <c r="A58" s="309" t="s">
        <v>411</v>
      </c>
      <c r="B58" s="328">
        <v>4460720.5219999999</v>
      </c>
      <c r="C58" s="328">
        <v>14057161.726</v>
      </c>
      <c r="D58" s="328">
        <v>24105333.988000002</v>
      </c>
      <c r="E58" s="328">
        <v>36131539.251999997</v>
      </c>
      <c r="F58" s="328">
        <v>44511903.269999996</v>
      </c>
      <c r="G58" s="328">
        <v>51134081.945</v>
      </c>
      <c r="H58" s="328">
        <v>104004230.226</v>
      </c>
      <c r="I58" s="328">
        <v>91859043.613999993</v>
      </c>
      <c r="J58" s="276">
        <v>163781895.104</v>
      </c>
      <c r="K58" s="328">
        <v>122838626.15899999</v>
      </c>
      <c r="L58" s="328">
        <v>269819189.50400001</v>
      </c>
      <c r="M58" s="808">
        <f t="shared" si="2"/>
        <v>926703725.30999994</v>
      </c>
    </row>
    <row r="59" spans="1:13" s="323" customFormat="1" ht="17.100000000000001" customHeight="1">
      <c r="A59" s="309" t="s">
        <v>415</v>
      </c>
      <c r="B59" s="328">
        <v>195779.13500000001</v>
      </c>
      <c r="C59" s="328">
        <v>477336.07799999998</v>
      </c>
      <c r="D59" s="328">
        <v>976917.89</v>
      </c>
      <c r="E59" s="328">
        <v>1281637.9950000001</v>
      </c>
      <c r="F59" s="328">
        <v>1442969.8940000001</v>
      </c>
      <c r="G59" s="328">
        <v>2378065.08</v>
      </c>
      <c r="H59" s="328">
        <v>3856642.0359999998</v>
      </c>
      <c r="I59" s="328">
        <v>4554700.6179999998</v>
      </c>
      <c r="J59" s="328">
        <v>9236006.0299999993</v>
      </c>
      <c r="K59" s="328">
        <v>6651937.8859999999</v>
      </c>
      <c r="L59" s="328">
        <v>19933984</v>
      </c>
      <c r="M59" s="808">
        <f t="shared" si="2"/>
        <v>50985976.641999997</v>
      </c>
    </row>
    <row r="60" spans="1:13" s="323" customFormat="1" ht="33.950000000000003" customHeight="1">
      <c r="A60" s="309" t="s">
        <v>419</v>
      </c>
      <c r="B60" s="328">
        <v>2544243.5929999999</v>
      </c>
      <c r="C60" s="328">
        <v>7437551.693</v>
      </c>
      <c r="D60" s="328">
        <v>12397660.283</v>
      </c>
      <c r="E60" s="328">
        <v>18288425.166000001</v>
      </c>
      <c r="F60" s="328">
        <v>22271882.454</v>
      </c>
      <c r="G60" s="328">
        <v>24224323.620999999</v>
      </c>
      <c r="H60" s="328">
        <v>57374019.222000003</v>
      </c>
      <c r="I60" s="328">
        <v>63247581.765999995</v>
      </c>
      <c r="J60" s="328">
        <v>154366275.02700001</v>
      </c>
      <c r="K60" s="328">
        <v>151960111.961</v>
      </c>
      <c r="L60" s="328">
        <v>701938926.34899998</v>
      </c>
      <c r="M60" s="808">
        <f t="shared" si="2"/>
        <v>1216051001.135</v>
      </c>
    </row>
    <row r="61" spans="1:13" s="323" customFormat="1" ht="17.100000000000001" customHeight="1">
      <c r="A61" s="309" t="s">
        <v>423</v>
      </c>
      <c r="B61" s="328">
        <v>6130848.0946000014</v>
      </c>
      <c r="C61" s="328">
        <v>15739958.795</v>
      </c>
      <c r="D61" s="328">
        <v>22954196.278999999</v>
      </c>
      <c r="E61" s="328">
        <v>31616113.504999999</v>
      </c>
      <c r="F61" s="328">
        <v>40823005.247000001</v>
      </c>
      <c r="G61" s="328">
        <v>45562937.531999998</v>
      </c>
      <c r="H61" s="328">
        <v>104037925.95900001</v>
      </c>
      <c r="I61" s="328">
        <v>103032530.73199999</v>
      </c>
      <c r="J61" s="328">
        <v>289873812.81700003</v>
      </c>
      <c r="K61" s="328">
        <v>314416609.99900001</v>
      </c>
      <c r="L61" s="328">
        <v>2210639087.632</v>
      </c>
      <c r="M61" s="808">
        <f t="shared" si="2"/>
        <v>3184827026.5915999</v>
      </c>
    </row>
    <row r="62" spans="1:13" s="323" customFormat="1" ht="17.100000000000001" customHeight="1">
      <c r="A62" s="309" t="s">
        <v>427</v>
      </c>
      <c r="B62" s="328">
        <v>538035.38500000001</v>
      </c>
      <c r="C62" s="328">
        <v>1496317.37</v>
      </c>
      <c r="D62" s="328">
        <v>2997437.7880000002</v>
      </c>
      <c r="E62" s="328">
        <v>4126045.2489999998</v>
      </c>
      <c r="F62" s="328">
        <v>4841755.4000000004</v>
      </c>
      <c r="G62" s="328">
        <v>6493171.5789999999</v>
      </c>
      <c r="H62" s="328">
        <v>13846710.105</v>
      </c>
      <c r="I62" s="328">
        <v>16556385.443</v>
      </c>
      <c r="J62" s="328">
        <v>30248389.931000002</v>
      </c>
      <c r="K62" s="328">
        <v>23786269.662999999</v>
      </c>
      <c r="L62" s="328">
        <v>72589812.827999994</v>
      </c>
      <c r="M62" s="808">
        <f t="shared" si="2"/>
        <v>177520330.741</v>
      </c>
    </row>
    <row r="63" spans="1:13" s="323" customFormat="1" ht="17.100000000000001" customHeight="1">
      <c r="A63" s="309" t="s">
        <v>431</v>
      </c>
      <c r="B63" s="328">
        <v>1982296.5440000002</v>
      </c>
      <c r="C63" s="328">
        <v>5089645.7660000008</v>
      </c>
      <c r="D63" s="328">
        <v>8008008.2190000005</v>
      </c>
      <c r="E63" s="328">
        <v>10852085.438000001</v>
      </c>
      <c r="F63" s="328">
        <v>13060215.829999998</v>
      </c>
      <c r="G63" s="328">
        <v>14697890.01</v>
      </c>
      <c r="H63" s="328">
        <v>32798565.859999999</v>
      </c>
      <c r="I63" s="328">
        <v>36555416.237000003</v>
      </c>
      <c r="J63" s="328">
        <v>95175474.068999991</v>
      </c>
      <c r="K63" s="328">
        <v>104701948.692</v>
      </c>
      <c r="L63" s="328">
        <v>581059685.70500004</v>
      </c>
      <c r="M63" s="808">
        <f t="shared" si="2"/>
        <v>903981232.37</v>
      </c>
    </row>
    <row r="64" spans="1:13" s="323" customFormat="1" ht="17.100000000000001" customHeight="1">
      <c r="A64" s="309" t="s">
        <v>435</v>
      </c>
      <c r="B64" s="328">
        <v>1356352.594</v>
      </c>
      <c r="C64" s="328">
        <v>3445166.463</v>
      </c>
      <c r="D64" s="328">
        <v>5520242.8300000001</v>
      </c>
      <c r="E64" s="328">
        <v>8041849.9819999998</v>
      </c>
      <c r="F64" s="328">
        <v>11424523.936000001</v>
      </c>
      <c r="G64" s="328">
        <v>13346514.408</v>
      </c>
      <c r="H64" s="328">
        <v>28263289.787</v>
      </c>
      <c r="I64" s="328">
        <v>35040767.434</v>
      </c>
      <c r="J64" s="328">
        <v>84694801.746999994</v>
      </c>
      <c r="K64" s="328">
        <v>82773111.974999994</v>
      </c>
      <c r="L64" s="328">
        <v>214158106.345</v>
      </c>
      <c r="M64" s="808">
        <f t="shared" si="2"/>
        <v>488064727.50100005</v>
      </c>
    </row>
    <row r="65" spans="1:13" s="323" customFormat="1" ht="33.950000000000003" customHeight="1">
      <c r="A65" s="309" t="s">
        <v>439</v>
      </c>
      <c r="B65" s="328">
        <v>882463.20600000001</v>
      </c>
      <c r="C65" s="276">
        <v>2597801.6549999998</v>
      </c>
      <c r="D65" s="328">
        <v>4937671.1119999997</v>
      </c>
      <c r="E65" s="276">
        <v>6476870.0980000002</v>
      </c>
      <c r="F65" s="328">
        <v>8914073.0899999999</v>
      </c>
      <c r="G65" s="276">
        <v>9700371.6420000009</v>
      </c>
      <c r="H65" s="328">
        <v>19034141.714000002</v>
      </c>
      <c r="I65" s="276">
        <v>19058852.199000001</v>
      </c>
      <c r="J65" s="328">
        <v>41438053.517999999</v>
      </c>
      <c r="K65" s="328">
        <v>38270570.035999998</v>
      </c>
      <c r="L65" s="328">
        <v>220783121.803</v>
      </c>
      <c r="M65" s="808">
        <f t="shared" si="2"/>
        <v>372093990.07299995</v>
      </c>
    </row>
    <row r="66" spans="1:13" s="323" customFormat="1" ht="17.100000000000001" customHeight="1">
      <c r="A66" s="309" t="s">
        <v>443</v>
      </c>
      <c r="B66" s="328">
        <v>1615447.294</v>
      </c>
      <c r="C66" s="328">
        <v>5217225.6430000002</v>
      </c>
      <c r="D66" s="328">
        <v>9194812.4230000004</v>
      </c>
      <c r="E66" s="328">
        <v>10779687.729</v>
      </c>
      <c r="F66" s="328">
        <v>13417596.249</v>
      </c>
      <c r="G66" s="328">
        <v>15634291.533</v>
      </c>
      <c r="H66" s="328">
        <v>32908184.494999997</v>
      </c>
      <c r="I66" s="328">
        <v>28086954.063000001</v>
      </c>
      <c r="J66" s="328">
        <v>63380284.717</v>
      </c>
      <c r="K66" s="328">
        <v>46909216.487000003</v>
      </c>
      <c r="L66" s="328">
        <v>75481005.384000003</v>
      </c>
      <c r="M66" s="808">
        <f t="shared" si="2"/>
        <v>302624706.01700002</v>
      </c>
    </row>
    <row r="67" spans="1:13" s="323" customFormat="1" ht="17.100000000000001" customHeight="1">
      <c r="A67" s="309" t="s">
        <v>447</v>
      </c>
      <c r="B67" s="328">
        <v>30812029.300200004</v>
      </c>
      <c r="C67" s="328">
        <v>68640663.696999997</v>
      </c>
      <c r="D67" s="328">
        <v>96375706.28899999</v>
      </c>
      <c r="E67" s="328">
        <v>115852676.64199997</v>
      </c>
      <c r="F67" s="328">
        <v>147563731.23799998</v>
      </c>
      <c r="G67" s="328">
        <v>171131181.18500003</v>
      </c>
      <c r="H67" s="328">
        <v>398280189.55599999</v>
      </c>
      <c r="I67" s="328">
        <v>450163569.56099999</v>
      </c>
      <c r="J67" s="328">
        <v>1263869333.5570002</v>
      </c>
      <c r="K67" s="328">
        <v>1414573476.4990001</v>
      </c>
      <c r="L67" s="328">
        <v>19448869762.334999</v>
      </c>
      <c r="M67" s="808">
        <f t="shared" si="2"/>
        <v>23606132319.8592</v>
      </c>
    </row>
    <row r="68" spans="1:13" s="323" customFormat="1" ht="17.100000000000001" customHeight="1">
      <c r="A68" s="309" t="s">
        <v>451</v>
      </c>
      <c r="B68" s="328">
        <v>2232694.986</v>
      </c>
      <c r="C68" s="328">
        <v>6961937.3530000001</v>
      </c>
      <c r="D68" s="328">
        <v>11979283.254000001</v>
      </c>
      <c r="E68" s="328">
        <v>18154761.322000001</v>
      </c>
      <c r="F68" s="328">
        <v>23162162.522</v>
      </c>
      <c r="G68" s="328">
        <v>28832219.822999999</v>
      </c>
      <c r="H68" s="328">
        <v>67628680.777999997</v>
      </c>
      <c r="I68" s="328">
        <v>67825779.629000008</v>
      </c>
      <c r="J68" s="328">
        <v>154090461.94299999</v>
      </c>
      <c r="K68" s="328">
        <v>137000093.42399999</v>
      </c>
      <c r="L68" s="328">
        <v>517201201.76899999</v>
      </c>
      <c r="M68" s="808">
        <f t="shared" si="2"/>
        <v>1035069276.803</v>
      </c>
    </row>
    <row r="69" spans="1:13" s="323" customFormat="1" ht="17.100000000000001" customHeight="1">
      <c r="A69" s="309" t="s">
        <v>455</v>
      </c>
      <c r="B69" s="328">
        <v>740020.47290000005</v>
      </c>
      <c r="C69" s="328">
        <v>2485087.7919999999</v>
      </c>
      <c r="D69" s="328">
        <v>4570451.6069999998</v>
      </c>
      <c r="E69" s="328">
        <v>6739844.6909999996</v>
      </c>
      <c r="F69" s="328">
        <v>7850364.6689999998</v>
      </c>
      <c r="G69" s="328">
        <v>9345767.4279999994</v>
      </c>
      <c r="H69" s="328">
        <v>22480172.787999999</v>
      </c>
      <c r="I69" s="328">
        <v>18585586.693999998</v>
      </c>
      <c r="J69" s="328">
        <v>37622851.905000001</v>
      </c>
      <c r="K69" s="328">
        <v>24456125.853</v>
      </c>
      <c r="L69" s="328">
        <v>98968536.321999997</v>
      </c>
      <c r="M69" s="808">
        <f t="shared" si="2"/>
        <v>233844810.22190002</v>
      </c>
    </row>
    <row r="70" spans="1:13" s="323" customFormat="1" ht="33.950000000000003" customHeight="1">
      <c r="A70" s="309" t="s">
        <v>459</v>
      </c>
      <c r="B70" s="328">
        <v>929198.82699999993</v>
      </c>
      <c r="C70" s="328">
        <v>2753722.6129999999</v>
      </c>
      <c r="D70" s="328">
        <v>4449984.1809999999</v>
      </c>
      <c r="E70" s="328">
        <v>6044204.5889999997</v>
      </c>
      <c r="F70" s="328">
        <v>8372616.1779999994</v>
      </c>
      <c r="G70" s="328">
        <v>9764080.9780000001</v>
      </c>
      <c r="H70" s="328">
        <v>24452752.859999999</v>
      </c>
      <c r="I70" s="328">
        <v>23686207.171</v>
      </c>
      <c r="J70" s="328">
        <v>52178355.425999999</v>
      </c>
      <c r="K70" s="328">
        <v>46663494.490000002</v>
      </c>
      <c r="L70" s="328">
        <v>180739132.134</v>
      </c>
      <c r="M70" s="808">
        <f t="shared" si="2"/>
        <v>360033749.44700003</v>
      </c>
    </row>
    <row r="71" spans="1:13" s="323" customFormat="1" ht="17.100000000000001" customHeight="1">
      <c r="A71" s="309" t="s">
        <v>461</v>
      </c>
      <c r="B71" s="328">
        <v>673312.89599999995</v>
      </c>
      <c r="C71" s="328">
        <v>1890890.727</v>
      </c>
      <c r="D71" s="328">
        <v>3495091.7310000001</v>
      </c>
      <c r="E71" s="328">
        <v>4817813.4019999998</v>
      </c>
      <c r="F71" s="328">
        <v>6067811.3669999996</v>
      </c>
      <c r="G71" s="328">
        <v>6719943.1040000003</v>
      </c>
      <c r="H71" s="328">
        <v>14065908.226</v>
      </c>
      <c r="I71" s="328">
        <v>16403976</v>
      </c>
      <c r="J71" s="328">
        <v>37694206.416999996</v>
      </c>
      <c r="K71" s="328">
        <v>34397073</v>
      </c>
      <c r="L71" s="328">
        <v>144514358.296</v>
      </c>
      <c r="M71" s="808">
        <f t="shared" si="2"/>
        <v>270740385.16600001</v>
      </c>
    </row>
    <row r="72" spans="1:13" s="323" customFormat="1" ht="17.100000000000001" customHeight="1">
      <c r="A72" s="309" t="s">
        <v>464</v>
      </c>
      <c r="B72" s="328">
        <v>2688105.4400000004</v>
      </c>
      <c r="C72" s="328">
        <v>8714526.3420000002</v>
      </c>
      <c r="D72" s="328">
        <v>14309088.049000002</v>
      </c>
      <c r="E72" s="328">
        <v>21229425.237</v>
      </c>
      <c r="F72" s="328">
        <v>25385418.313000001</v>
      </c>
      <c r="G72" s="328">
        <v>29654672.325999998</v>
      </c>
      <c r="H72" s="328">
        <v>62676489.138999999</v>
      </c>
      <c r="I72" s="328">
        <v>54972161.644000001</v>
      </c>
      <c r="J72" s="328">
        <v>103194509.652</v>
      </c>
      <c r="K72" s="328">
        <v>81454436.413000003</v>
      </c>
      <c r="L72" s="328">
        <v>246838467.11299998</v>
      </c>
      <c r="M72" s="808">
        <f t="shared" si="2"/>
        <v>651117299.66799998</v>
      </c>
    </row>
    <row r="73" spans="1:13" s="323" customFormat="1" ht="17.100000000000001" customHeight="1">
      <c r="A73" s="309" t="s">
        <v>467</v>
      </c>
      <c r="B73" s="328">
        <v>874355.42599999998</v>
      </c>
      <c r="C73" s="328">
        <v>2733437.7609999999</v>
      </c>
      <c r="D73" s="328">
        <v>4312661.3229999999</v>
      </c>
      <c r="E73" s="328">
        <v>6117411.6809999999</v>
      </c>
      <c r="F73" s="328">
        <v>7466195.7560000001</v>
      </c>
      <c r="G73" s="328">
        <v>9233228.1060000006</v>
      </c>
      <c r="H73" s="328">
        <v>18104338.717999998</v>
      </c>
      <c r="I73" s="328">
        <v>18147099.307999998</v>
      </c>
      <c r="J73" s="328">
        <v>40137652.855999999</v>
      </c>
      <c r="K73" s="328">
        <v>36658847.071999997</v>
      </c>
      <c r="L73" s="328">
        <v>194256257.84999999</v>
      </c>
      <c r="M73" s="808">
        <f t="shared" si="2"/>
        <v>338041485.85699999</v>
      </c>
    </row>
    <row r="74" spans="1:13" s="323" customFormat="1" ht="17.100000000000001" customHeight="1">
      <c r="A74" s="310" t="s">
        <v>470</v>
      </c>
      <c r="B74" s="329">
        <v>7976050.9530000016</v>
      </c>
      <c r="C74" s="329">
        <v>22383387.798</v>
      </c>
      <c r="D74" s="329">
        <v>31067935.704000004</v>
      </c>
      <c r="E74" s="329">
        <v>41980242.309999995</v>
      </c>
      <c r="F74" s="329">
        <v>60128246.347999997</v>
      </c>
      <c r="G74" s="329">
        <v>65756862.383000001</v>
      </c>
      <c r="H74" s="329">
        <v>126502458.883</v>
      </c>
      <c r="I74" s="329">
        <v>130669452.307</v>
      </c>
      <c r="J74" s="329">
        <v>283242930.04500002</v>
      </c>
      <c r="K74" s="329">
        <v>274648854.23500001</v>
      </c>
      <c r="L74" s="329">
        <v>1660780040.0439999</v>
      </c>
      <c r="M74" s="808">
        <f t="shared" si="2"/>
        <v>2705136461.0099998</v>
      </c>
    </row>
    <row r="75" spans="1:13" s="323" customFormat="1" ht="33.950000000000003" customHeight="1">
      <c r="A75" s="309" t="s">
        <v>472</v>
      </c>
      <c r="B75" s="283">
        <v>1393013.2689999999</v>
      </c>
      <c r="C75" s="283">
        <v>3704314.2239999999</v>
      </c>
      <c r="D75" s="283">
        <v>5803871.4289999995</v>
      </c>
      <c r="E75" s="283">
        <v>8896359.0960000008</v>
      </c>
      <c r="F75" s="283">
        <v>11678115.85</v>
      </c>
      <c r="G75" s="283">
        <v>14085276.791999999</v>
      </c>
      <c r="H75" s="283">
        <v>30710785.252999999</v>
      </c>
      <c r="I75" s="283">
        <v>27993122.376000002</v>
      </c>
      <c r="J75" s="283">
        <v>61321871.028999999</v>
      </c>
      <c r="K75" s="283">
        <v>52336022.204999998</v>
      </c>
      <c r="L75" s="283">
        <v>228727661.25599998</v>
      </c>
      <c r="M75" s="456">
        <f t="shared" si="2"/>
        <v>446650412.77899998</v>
      </c>
    </row>
    <row r="76" spans="1:13" s="323" customFormat="1" ht="17.100000000000001" customHeight="1">
      <c r="A76" s="309" t="s">
        <v>475</v>
      </c>
      <c r="B76" s="328">
        <v>1378126.79</v>
      </c>
      <c r="C76" s="328">
        <v>3738874.3389999997</v>
      </c>
      <c r="D76" s="328">
        <v>6601625.9180000005</v>
      </c>
      <c r="E76" s="328">
        <v>9099003.7670000009</v>
      </c>
      <c r="F76" s="328">
        <v>11688842.560000001</v>
      </c>
      <c r="G76" s="328">
        <v>14600285.422</v>
      </c>
      <c r="H76" s="328">
        <v>34414659.031999998</v>
      </c>
      <c r="I76" s="328">
        <v>39618331.114</v>
      </c>
      <c r="J76" s="328">
        <v>103123157.147</v>
      </c>
      <c r="K76" s="328">
        <v>100360557.402</v>
      </c>
      <c r="L76" s="328">
        <v>488721246.34900004</v>
      </c>
      <c r="M76" s="808">
        <f t="shared" si="2"/>
        <v>813344709.84000003</v>
      </c>
    </row>
    <row r="77" spans="1:13" s="323" customFormat="1" ht="17.100000000000001" customHeight="1">
      <c r="A77" s="309" t="s">
        <v>477</v>
      </c>
      <c r="B77" s="328">
        <v>1374157.8979999998</v>
      </c>
      <c r="C77" s="328">
        <v>3762450.7140000002</v>
      </c>
      <c r="D77" s="328">
        <v>6492712.46</v>
      </c>
      <c r="E77" s="328">
        <v>8581048.1030000001</v>
      </c>
      <c r="F77" s="328">
        <v>10236912.407</v>
      </c>
      <c r="G77" s="328">
        <v>12769957.074999999</v>
      </c>
      <c r="H77" s="328">
        <v>22352170.824999999</v>
      </c>
      <c r="I77" s="328">
        <v>18528729.486000001</v>
      </c>
      <c r="J77" s="328">
        <v>39584404.972999997</v>
      </c>
      <c r="K77" s="328">
        <v>30273747.925000001</v>
      </c>
      <c r="L77" s="328">
        <v>129213624.134</v>
      </c>
      <c r="M77" s="808">
        <f t="shared" si="2"/>
        <v>283169916</v>
      </c>
    </row>
    <row r="78" spans="1:13" s="323" customFormat="1" ht="17.100000000000001" customHeight="1">
      <c r="A78" s="309" t="s">
        <v>480</v>
      </c>
      <c r="B78" s="328">
        <v>918071.9169999999</v>
      </c>
      <c r="C78" s="328">
        <v>3166271.1629999997</v>
      </c>
      <c r="D78" s="328">
        <v>4740248.0350000001</v>
      </c>
      <c r="E78" s="328">
        <v>6764258.8609999996</v>
      </c>
      <c r="F78" s="328">
        <v>9717426</v>
      </c>
      <c r="G78" s="328">
        <v>10332236.970000001</v>
      </c>
      <c r="H78" s="328">
        <v>20913906.478999998</v>
      </c>
      <c r="I78" s="328">
        <v>20865497.432999998</v>
      </c>
      <c r="J78" s="328">
        <v>49892911.618000001</v>
      </c>
      <c r="K78" s="328">
        <v>44668203.019999996</v>
      </c>
      <c r="L78" s="328">
        <v>187879154.69099998</v>
      </c>
      <c r="M78" s="808">
        <f t="shared" si="2"/>
        <v>359858186.18699998</v>
      </c>
    </row>
    <row r="79" spans="1:13" s="323" customFormat="1" ht="17.100000000000001" customHeight="1">
      <c r="A79" s="309" t="s">
        <v>483</v>
      </c>
      <c r="B79" s="328">
        <v>1031093.5370000001</v>
      </c>
      <c r="C79" s="328">
        <v>3325191.5720000002</v>
      </c>
      <c r="D79" s="328">
        <v>6392054.2599999998</v>
      </c>
      <c r="E79" s="328">
        <v>8504993.550999999</v>
      </c>
      <c r="F79" s="328">
        <v>10730628.882999999</v>
      </c>
      <c r="G79" s="328">
        <v>13694648.358999999</v>
      </c>
      <c r="H79" s="328">
        <v>25763638.511999998</v>
      </c>
      <c r="I79" s="328">
        <v>24082799.892000001</v>
      </c>
      <c r="J79" s="328">
        <v>43761272.762999997</v>
      </c>
      <c r="K79" s="328">
        <v>35715514.269000001</v>
      </c>
      <c r="L79" s="328">
        <v>91027453.127999991</v>
      </c>
      <c r="M79" s="808">
        <f t="shared" si="2"/>
        <v>264029288.72599998</v>
      </c>
    </row>
    <row r="80" spans="1:13" s="323" customFormat="1" ht="33.950000000000003" customHeight="1">
      <c r="A80" s="309" t="s">
        <v>486</v>
      </c>
      <c r="B80" s="328">
        <v>2573339.8819999993</v>
      </c>
      <c r="C80" s="328">
        <v>7687464.6479999991</v>
      </c>
      <c r="D80" s="328">
        <v>13335083.554</v>
      </c>
      <c r="E80" s="328">
        <v>17611997.125999998</v>
      </c>
      <c r="F80" s="328">
        <v>24056218.875</v>
      </c>
      <c r="G80" s="328">
        <v>29871470.596000001</v>
      </c>
      <c r="H80" s="328">
        <v>68921233.702999994</v>
      </c>
      <c r="I80" s="328">
        <v>68353774.540999994</v>
      </c>
      <c r="J80" s="328">
        <v>163264487.47099999</v>
      </c>
      <c r="K80" s="328">
        <v>153977178.18000001</v>
      </c>
      <c r="L80" s="328">
        <v>527482233.875</v>
      </c>
      <c r="M80" s="808">
        <f t="shared" si="2"/>
        <v>1077134482.451</v>
      </c>
    </row>
    <row r="81" spans="1:13" s="323" customFormat="1" ht="17.100000000000001" customHeight="1">
      <c r="A81" s="309" t="s">
        <v>489</v>
      </c>
      <c r="B81" s="328">
        <v>1903528.5419999999</v>
      </c>
      <c r="C81" s="328">
        <v>5894860.9529999997</v>
      </c>
      <c r="D81" s="328">
        <v>10121497.332</v>
      </c>
      <c r="E81" s="328">
        <v>13419312.265000001</v>
      </c>
      <c r="F81" s="328">
        <v>16697311.804</v>
      </c>
      <c r="G81" s="328">
        <v>20960182.254999999</v>
      </c>
      <c r="H81" s="328">
        <v>46704840.031000003</v>
      </c>
      <c r="I81" s="328">
        <v>42359396.18</v>
      </c>
      <c r="J81" s="328">
        <v>89411118.268000007</v>
      </c>
      <c r="K81" s="328">
        <v>81153473.716000006</v>
      </c>
      <c r="L81" s="328">
        <v>162158384.125</v>
      </c>
      <c r="M81" s="808">
        <f t="shared" si="2"/>
        <v>490783905.47100002</v>
      </c>
    </row>
    <row r="82" spans="1:13" s="323" customFormat="1" ht="17.100000000000001" customHeight="1">
      <c r="A82" s="309" t="s">
        <v>492</v>
      </c>
      <c r="B82" s="328">
        <v>1250630.2459999998</v>
      </c>
      <c r="C82" s="328">
        <v>3847351.0379999997</v>
      </c>
      <c r="D82" s="328">
        <v>7192702.5899999999</v>
      </c>
      <c r="E82" s="328">
        <v>10636835.255999999</v>
      </c>
      <c r="F82" s="328">
        <v>13635464.518999999</v>
      </c>
      <c r="G82" s="328">
        <v>15020688.588</v>
      </c>
      <c r="H82" s="328">
        <v>33792179.990000002</v>
      </c>
      <c r="I82" s="328">
        <v>27415734.105</v>
      </c>
      <c r="J82" s="328">
        <v>56247779.919</v>
      </c>
      <c r="K82" s="328">
        <v>43071664.453999996</v>
      </c>
      <c r="L82" s="328">
        <v>91832842.144999996</v>
      </c>
      <c r="M82" s="808">
        <f t="shared" si="2"/>
        <v>303943872.84999996</v>
      </c>
    </row>
    <row r="83" spans="1:13" s="323" customFormat="1" ht="17.100000000000001" customHeight="1">
      <c r="A83" s="309" t="s">
        <v>495</v>
      </c>
      <c r="B83" s="328">
        <v>4774112.1034000004</v>
      </c>
      <c r="C83" s="328">
        <v>14446317.348000001</v>
      </c>
      <c r="D83" s="328">
        <v>26590320.065000001</v>
      </c>
      <c r="E83" s="328">
        <v>35735569.522</v>
      </c>
      <c r="F83" s="328">
        <v>43001637.006999999</v>
      </c>
      <c r="G83" s="328">
        <v>51474405.541000001</v>
      </c>
      <c r="H83" s="328">
        <v>117843116.15700001</v>
      </c>
      <c r="I83" s="328">
        <v>109149629.912</v>
      </c>
      <c r="J83" s="328">
        <v>230827496.83900002</v>
      </c>
      <c r="K83" s="328">
        <v>193634314.697</v>
      </c>
      <c r="L83" s="328">
        <v>449224110.71899998</v>
      </c>
      <c r="M83" s="808">
        <f t="shared" si="2"/>
        <v>1276701029.9103999</v>
      </c>
    </row>
    <row r="84" spans="1:13" s="323" customFormat="1" ht="17.100000000000001" customHeight="1">
      <c r="A84" s="309" t="s">
        <v>498</v>
      </c>
      <c r="B84" s="328">
        <v>1951798.6950000001</v>
      </c>
      <c r="C84" s="328">
        <v>5116102.0080000004</v>
      </c>
      <c r="D84" s="328">
        <v>8675705.3129999992</v>
      </c>
      <c r="E84" s="328">
        <v>11023022.950999999</v>
      </c>
      <c r="F84" s="328">
        <v>14787904.424000001</v>
      </c>
      <c r="G84" s="328">
        <v>18236313.287999999</v>
      </c>
      <c r="H84" s="328">
        <v>41535533.908</v>
      </c>
      <c r="I84" s="328">
        <v>47490201</v>
      </c>
      <c r="J84" s="328">
        <v>120609848.405</v>
      </c>
      <c r="K84" s="328">
        <v>127844380.273</v>
      </c>
      <c r="L84" s="328">
        <v>1094672174.003</v>
      </c>
      <c r="M84" s="808">
        <f t="shared" si="2"/>
        <v>1491942984.2680001</v>
      </c>
    </row>
    <row r="85" spans="1:13" ht="18" customHeight="1">
      <c r="A85" s="330" t="s">
        <v>697</v>
      </c>
      <c r="B85" s="331"/>
      <c r="C85" s="331"/>
      <c r="D85" s="331"/>
      <c r="E85" s="331"/>
      <c r="F85" s="331"/>
      <c r="G85" s="331"/>
      <c r="H85" s="331"/>
      <c r="I85" s="331"/>
      <c r="J85" s="331"/>
      <c r="K85" s="331"/>
      <c r="L85" s="331"/>
      <c r="M85" s="809"/>
    </row>
    <row r="86" spans="1:13" ht="17.100000000000001" customHeight="1">
      <c r="A86" s="317" t="s">
        <v>675</v>
      </c>
      <c r="B86" s="316"/>
      <c r="C86" s="316"/>
      <c r="D86" s="316"/>
      <c r="E86" s="316"/>
      <c r="F86" s="316"/>
      <c r="G86" s="316"/>
      <c r="H86" s="316"/>
      <c r="I86" s="316"/>
      <c r="J86" s="316"/>
      <c r="K86" s="316"/>
      <c r="L86" s="316"/>
      <c r="M86" s="810"/>
    </row>
    <row r="87" spans="1:13" ht="17.100000000000001" customHeight="1">
      <c r="A87" s="318" t="str">
        <f>A3</f>
        <v>Taxable Year 2019</v>
      </c>
      <c r="B87" s="316"/>
      <c r="C87" s="316"/>
      <c r="D87" s="316"/>
      <c r="E87" s="316"/>
      <c r="F87" s="316"/>
      <c r="G87" s="316"/>
      <c r="H87" s="316"/>
      <c r="I87" s="316"/>
      <c r="J87" s="316"/>
      <c r="K87" s="316"/>
      <c r="L87" s="316"/>
      <c r="M87" s="810"/>
    </row>
    <row r="88" spans="1:13" ht="17.100000000000001" customHeight="1" thickBot="1">
      <c r="B88" s="332">
        <f t="shared" ref="B88:M88" si="3">SUM(B38:B74)</f>
        <v>313045540.97219992</v>
      </c>
      <c r="C88" s="332">
        <f t="shared" si="3"/>
        <v>824286739.93300009</v>
      </c>
      <c r="D88" s="332">
        <f t="shared" si="3"/>
        <v>1340842139.2914002</v>
      </c>
      <c r="E88" s="332">
        <f t="shared" si="3"/>
        <v>1770254602.1501</v>
      </c>
      <c r="F88" s="332">
        <f t="shared" si="3"/>
        <v>2245267919.5998001</v>
      </c>
      <c r="G88" s="332">
        <f t="shared" si="3"/>
        <v>2625614596.8348999</v>
      </c>
      <c r="H88" s="332">
        <f t="shared" si="3"/>
        <v>5995990160.0899973</v>
      </c>
      <c r="I88" s="332">
        <f t="shared" si="3"/>
        <v>6406667057.9171009</v>
      </c>
      <c r="J88" s="332">
        <f t="shared" si="3"/>
        <v>16075493260.410999</v>
      </c>
      <c r="K88" s="332">
        <f t="shared" si="3"/>
        <v>15724723738.1376</v>
      </c>
      <c r="L88" s="332">
        <f t="shared" si="3"/>
        <v>128915360813.30742</v>
      </c>
      <c r="M88" s="811">
        <f t="shared" si="3"/>
        <v>182237546568.64447</v>
      </c>
    </row>
    <row r="89" spans="1:13" ht="17.100000000000001" customHeight="1">
      <c r="A89" s="320"/>
      <c r="B89" s="333"/>
      <c r="C89" s="322"/>
      <c r="D89" s="322"/>
      <c r="E89" s="322"/>
      <c r="F89" s="322"/>
      <c r="G89" s="322"/>
      <c r="H89" s="322"/>
      <c r="I89" s="322"/>
      <c r="J89" s="322"/>
      <c r="K89" s="322"/>
      <c r="L89" s="322"/>
      <c r="M89" s="377" t="s">
        <v>17</v>
      </c>
    </row>
    <row r="90" spans="1:13" ht="17.100000000000001" customHeight="1">
      <c r="A90" s="324"/>
      <c r="B90" s="325"/>
      <c r="C90" s="325" t="s">
        <v>676</v>
      </c>
      <c r="D90" s="325" t="s">
        <v>677</v>
      </c>
      <c r="E90" s="325" t="s">
        <v>678</v>
      </c>
      <c r="F90" s="325" t="s">
        <v>679</v>
      </c>
      <c r="G90" s="325" t="s">
        <v>680</v>
      </c>
      <c r="H90" s="325" t="s">
        <v>681</v>
      </c>
      <c r="I90" s="325" t="s">
        <v>682</v>
      </c>
      <c r="J90" s="325" t="s">
        <v>683</v>
      </c>
      <c r="K90" s="325" t="s">
        <v>684</v>
      </c>
      <c r="L90" s="325" t="s">
        <v>685</v>
      </c>
      <c r="M90" s="378" t="s">
        <v>366</v>
      </c>
    </row>
    <row r="91" spans="1:13" ht="17.100000000000001" customHeight="1">
      <c r="A91" s="758" t="s">
        <v>23</v>
      </c>
      <c r="B91" s="805" t="s">
        <v>686</v>
      </c>
      <c r="C91" s="805" t="s">
        <v>687</v>
      </c>
      <c r="D91" s="805" t="s">
        <v>688</v>
      </c>
      <c r="E91" s="805" t="s">
        <v>689</v>
      </c>
      <c r="F91" s="805" t="s">
        <v>690</v>
      </c>
      <c r="G91" s="805" t="s">
        <v>691</v>
      </c>
      <c r="H91" s="805" t="s">
        <v>692</v>
      </c>
      <c r="I91" s="805" t="s">
        <v>693</v>
      </c>
      <c r="J91" s="805" t="s">
        <v>694</v>
      </c>
      <c r="K91" s="805" t="s">
        <v>695</v>
      </c>
      <c r="L91" s="805" t="s">
        <v>696</v>
      </c>
      <c r="M91" s="806" t="s">
        <v>22</v>
      </c>
    </row>
    <row r="92" spans="1:13" s="323" customFormat="1" ht="33.950000000000003" customHeight="1">
      <c r="A92" s="309" t="s">
        <v>501</v>
      </c>
      <c r="B92" s="276">
        <v>1474234.0490000001</v>
      </c>
      <c r="C92" s="328">
        <v>4625632.6809999999</v>
      </c>
      <c r="D92" s="328">
        <v>8211938.1890000002</v>
      </c>
      <c r="E92" s="276">
        <v>11990984.438000001</v>
      </c>
      <c r="F92" s="276">
        <v>13735501.403000001</v>
      </c>
      <c r="G92" s="328">
        <v>16537249.007999999</v>
      </c>
      <c r="H92" s="328">
        <v>37459699.662</v>
      </c>
      <c r="I92" s="328">
        <v>31161569</v>
      </c>
      <c r="J92" s="328">
        <v>60934644.732999995</v>
      </c>
      <c r="K92" s="328">
        <v>49518430.416000001</v>
      </c>
      <c r="L92" s="328">
        <v>130358562.765</v>
      </c>
      <c r="M92" s="808">
        <f t="shared" ref="M92:M116" si="4">SUM(B92:L92)</f>
        <v>366008446.34399998</v>
      </c>
    </row>
    <row r="93" spans="1:13" s="323" customFormat="1" ht="17.100000000000001" customHeight="1">
      <c r="A93" s="309" t="s">
        <v>503</v>
      </c>
      <c r="B93" s="328">
        <v>2490087.639</v>
      </c>
      <c r="C93" s="328">
        <v>6957882.5820000004</v>
      </c>
      <c r="D93" s="328">
        <v>11661147.825999999</v>
      </c>
      <c r="E93" s="328">
        <v>16288875.588</v>
      </c>
      <c r="F93" s="328">
        <v>18972907.614999998</v>
      </c>
      <c r="G93" s="328">
        <v>23193880.335000001</v>
      </c>
      <c r="H93" s="328">
        <v>53809943.243000001</v>
      </c>
      <c r="I93" s="328">
        <v>57369518.700000003</v>
      </c>
      <c r="J93" s="328">
        <v>129291480.27500001</v>
      </c>
      <c r="K93" s="328">
        <v>114351373.53299999</v>
      </c>
      <c r="L93" s="328">
        <v>439945165.15100002</v>
      </c>
      <c r="M93" s="808">
        <f t="shared" si="4"/>
        <v>874332262.48699999</v>
      </c>
    </row>
    <row r="94" spans="1:13" s="323" customFormat="1" ht="17.100000000000001" customHeight="1">
      <c r="A94" s="309" t="s">
        <v>506</v>
      </c>
      <c r="B94" s="328">
        <v>33169878.482999992</v>
      </c>
      <c r="C94" s="328">
        <v>91699623.022999987</v>
      </c>
      <c r="D94" s="328">
        <v>151098787.75499997</v>
      </c>
      <c r="E94" s="328">
        <v>198958365.08899999</v>
      </c>
      <c r="F94" s="328">
        <v>237231301.34099996</v>
      </c>
      <c r="G94" s="328">
        <v>276539661.222</v>
      </c>
      <c r="H94" s="328">
        <v>644512249.18999994</v>
      </c>
      <c r="I94" s="328">
        <v>714377344.78400004</v>
      </c>
      <c r="J94" s="328">
        <v>1857668475.8340001</v>
      </c>
      <c r="K94" s="328">
        <v>1796023020.973</v>
      </c>
      <c r="L94" s="328">
        <v>11268877697.152</v>
      </c>
      <c r="M94" s="808">
        <f t="shared" si="4"/>
        <v>17270156404.846001</v>
      </c>
    </row>
    <row r="95" spans="1:13" s="323" customFormat="1" ht="17.100000000000001" customHeight="1">
      <c r="A95" s="309" t="s">
        <v>508</v>
      </c>
      <c r="B95" s="328">
        <v>2213462.3030000003</v>
      </c>
      <c r="C95" s="328">
        <v>7593488.6040000003</v>
      </c>
      <c r="D95" s="328">
        <v>13843352.943999998</v>
      </c>
      <c r="E95" s="328">
        <v>17592676.708999999</v>
      </c>
      <c r="F95" s="328">
        <v>24261405.68</v>
      </c>
      <c r="G95" s="328">
        <v>25921569.221000001</v>
      </c>
      <c r="H95" s="328">
        <v>63999780.673</v>
      </c>
      <c r="I95" s="328">
        <v>60500007.023000002</v>
      </c>
      <c r="J95" s="328">
        <v>132009216.324</v>
      </c>
      <c r="K95" s="328">
        <v>108986596.521</v>
      </c>
      <c r="L95" s="328">
        <v>256518725.377</v>
      </c>
      <c r="M95" s="808">
        <f t="shared" si="4"/>
        <v>713440281.37899995</v>
      </c>
    </row>
    <row r="96" spans="1:13" s="323" customFormat="1" ht="17.100000000000001" customHeight="1">
      <c r="A96" s="309" t="s">
        <v>511</v>
      </c>
      <c r="B96" s="328">
        <v>535587.60199999996</v>
      </c>
      <c r="C96" s="328">
        <v>1360212.794</v>
      </c>
      <c r="D96" s="328">
        <v>2629960.068</v>
      </c>
      <c r="E96" s="328">
        <v>3502345.3429999999</v>
      </c>
      <c r="F96" s="328">
        <v>4407608.26</v>
      </c>
      <c r="G96" s="328">
        <v>4656798.4079999998</v>
      </c>
      <c r="H96" s="328">
        <v>11979368</v>
      </c>
      <c r="I96" s="328">
        <v>11988759.297</v>
      </c>
      <c r="J96" s="328">
        <v>27548280.612999998</v>
      </c>
      <c r="K96" s="328">
        <v>28454893.690000001</v>
      </c>
      <c r="L96" s="328">
        <v>198232416.79100001</v>
      </c>
      <c r="M96" s="808">
        <f t="shared" si="4"/>
        <v>295296230.866</v>
      </c>
    </row>
    <row r="97" spans="1:14" s="323" customFormat="1" ht="33.950000000000003" customHeight="1">
      <c r="A97" s="309" t="s">
        <v>441</v>
      </c>
      <c r="B97" s="328">
        <v>2173286.9109999994</v>
      </c>
      <c r="C97" s="328">
        <v>4180973.901000001</v>
      </c>
      <c r="D97" s="328">
        <v>6246633.3090000004</v>
      </c>
      <c r="E97" s="328">
        <v>6422053.6559999995</v>
      </c>
      <c r="F97" s="328">
        <v>7625479.2530000005</v>
      </c>
      <c r="G97" s="328">
        <v>8576306.1119999997</v>
      </c>
      <c r="H97" s="328">
        <v>19791272.377999999</v>
      </c>
      <c r="I97" s="328">
        <v>17360148.917999998</v>
      </c>
      <c r="J97" s="328">
        <v>35681650.737000003</v>
      </c>
      <c r="K97" s="328">
        <v>30900871.506999999</v>
      </c>
      <c r="L97" s="328">
        <v>116499534.759</v>
      </c>
      <c r="M97" s="808">
        <f t="shared" si="4"/>
        <v>255458211.44099998</v>
      </c>
    </row>
    <row r="98" spans="1:14" s="323" customFormat="1" ht="17.100000000000001" customHeight="1">
      <c r="A98" s="309" t="s">
        <v>445</v>
      </c>
      <c r="B98" s="328">
        <v>8007435.1349999988</v>
      </c>
      <c r="C98" s="328">
        <v>20590722.272</v>
      </c>
      <c r="D98" s="328">
        <v>34283169.932999998</v>
      </c>
      <c r="E98" s="328">
        <v>45984927.881999999</v>
      </c>
      <c r="F98" s="328">
        <v>60477708.394000001</v>
      </c>
      <c r="G98" s="328">
        <v>73214650.429000005</v>
      </c>
      <c r="H98" s="328">
        <v>169336727.96699998</v>
      </c>
      <c r="I98" s="328">
        <v>181108690.78200001</v>
      </c>
      <c r="J98" s="328">
        <v>417714051.59100002</v>
      </c>
      <c r="K98" s="328">
        <v>391271065.875</v>
      </c>
      <c r="L98" s="328">
        <v>1666363413.586</v>
      </c>
      <c r="M98" s="808">
        <f t="shared" si="4"/>
        <v>3068352563.8459997</v>
      </c>
    </row>
    <row r="99" spans="1:14" s="323" customFormat="1" ht="17.100000000000001" customHeight="1">
      <c r="A99" s="309" t="s">
        <v>518</v>
      </c>
      <c r="B99" s="328">
        <v>1930546.4069999999</v>
      </c>
      <c r="C99" s="328">
        <v>5304921.5710000005</v>
      </c>
      <c r="D99" s="328">
        <v>8186999.6890000002</v>
      </c>
      <c r="E99" s="328">
        <v>12167278.866</v>
      </c>
      <c r="F99" s="328">
        <v>14922283.018999999</v>
      </c>
      <c r="G99" s="328">
        <v>17931200.829999998</v>
      </c>
      <c r="H99" s="328">
        <v>39417376.435000002</v>
      </c>
      <c r="I99" s="328">
        <v>39046996.100000001</v>
      </c>
      <c r="J99" s="328">
        <v>86285258.667999998</v>
      </c>
      <c r="K99" s="328">
        <v>73865565.503999993</v>
      </c>
      <c r="L99" s="328">
        <v>249015143.495</v>
      </c>
      <c r="M99" s="808">
        <f t="shared" si="4"/>
        <v>548073570.58399999</v>
      </c>
    </row>
    <row r="100" spans="1:14" s="323" customFormat="1" ht="17.100000000000001" customHeight="1">
      <c r="A100" s="309" t="s">
        <v>521</v>
      </c>
      <c r="B100" s="328">
        <v>6132103.6639999999</v>
      </c>
      <c r="C100" s="328">
        <v>18211235.541999999</v>
      </c>
      <c r="D100" s="328">
        <v>30077349.969999999</v>
      </c>
      <c r="E100" s="328">
        <v>39960256.245999999</v>
      </c>
      <c r="F100" s="328">
        <v>54062215.373000003</v>
      </c>
      <c r="G100" s="328">
        <v>66941051.942000002</v>
      </c>
      <c r="H100" s="328">
        <v>154145428.602</v>
      </c>
      <c r="I100" s="328">
        <v>155190732.52700001</v>
      </c>
      <c r="J100" s="328">
        <v>345982214.95599997</v>
      </c>
      <c r="K100" s="328">
        <v>314858458.06599998</v>
      </c>
      <c r="L100" s="328">
        <v>1100580491.96</v>
      </c>
      <c r="M100" s="808">
        <f t="shared" si="4"/>
        <v>2286141538.848</v>
      </c>
    </row>
    <row r="101" spans="1:14" s="323" customFormat="1" ht="17.100000000000001" customHeight="1">
      <c r="A101" s="309" t="s">
        <v>524</v>
      </c>
      <c r="B101" s="328">
        <v>1771932.206</v>
      </c>
      <c r="C101" s="328">
        <v>5482914.5269999998</v>
      </c>
      <c r="D101" s="328">
        <v>9719818.8509999998</v>
      </c>
      <c r="E101" s="328">
        <v>13465255.646</v>
      </c>
      <c r="F101" s="328">
        <v>16443341.800000001</v>
      </c>
      <c r="G101" s="328">
        <v>16821461.484000001</v>
      </c>
      <c r="H101" s="328">
        <v>39088912.093999997</v>
      </c>
      <c r="I101" s="328">
        <v>39179705.751999997</v>
      </c>
      <c r="J101" s="328">
        <v>82857011.984999999</v>
      </c>
      <c r="K101" s="328">
        <v>67223474.577199996</v>
      </c>
      <c r="L101" s="328">
        <v>139632319.66800001</v>
      </c>
      <c r="M101" s="808">
        <f t="shared" si="4"/>
        <v>431686148.59019995</v>
      </c>
    </row>
    <row r="102" spans="1:14" s="323" customFormat="1" ht="33.950000000000003" customHeight="1">
      <c r="A102" s="309" t="s">
        <v>400</v>
      </c>
      <c r="B102" s="328">
        <v>1837818.6213000002</v>
      </c>
      <c r="C102" s="328">
        <v>5942590.4350000005</v>
      </c>
      <c r="D102" s="276">
        <v>9026188.6000000015</v>
      </c>
      <c r="E102" s="328">
        <v>12088198.124999998</v>
      </c>
      <c r="F102" s="328">
        <v>15435974.019000001</v>
      </c>
      <c r="G102" s="276">
        <v>15473498.731000001</v>
      </c>
      <c r="H102" s="276">
        <v>35103900.499899998</v>
      </c>
      <c r="I102" s="328">
        <v>33763529.791999996</v>
      </c>
      <c r="J102" s="328">
        <v>73714870.585999995</v>
      </c>
      <c r="K102" s="328">
        <v>53573148.331</v>
      </c>
      <c r="L102" s="328">
        <v>101713605.89399999</v>
      </c>
      <c r="M102" s="808">
        <f t="shared" si="4"/>
        <v>357673323.63419998</v>
      </c>
    </row>
    <row r="103" spans="1:14" s="323" customFormat="1" ht="17.100000000000001" customHeight="1">
      <c r="A103" s="309" t="s">
        <v>404</v>
      </c>
      <c r="B103" s="276">
        <v>3207486.4190000002</v>
      </c>
      <c r="C103" s="328">
        <v>9565888.493999999</v>
      </c>
      <c r="D103" s="328">
        <v>17659629.272</v>
      </c>
      <c r="E103" s="328">
        <v>23971625.642000001</v>
      </c>
      <c r="F103" s="328">
        <v>30100096.862</v>
      </c>
      <c r="G103" s="328">
        <v>38275149.762999997</v>
      </c>
      <c r="H103" s="328">
        <v>88932551.497000009</v>
      </c>
      <c r="I103" s="328">
        <v>91767952.509000003</v>
      </c>
      <c r="J103" s="328">
        <v>197429976.66600001</v>
      </c>
      <c r="K103" s="328">
        <v>161973673.43099999</v>
      </c>
      <c r="L103" s="328">
        <v>453263405.23000002</v>
      </c>
      <c r="M103" s="808">
        <f t="shared" si="4"/>
        <v>1116147435.7850001</v>
      </c>
    </row>
    <row r="104" spans="1:14" s="323" customFormat="1" ht="17.100000000000001" customHeight="1">
      <c r="A104" s="309" t="s">
        <v>408</v>
      </c>
      <c r="B104" s="328">
        <v>2351289.977</v>
      </c>
      <c r="C104" s="328">
        <v>7336770.8389999997</v>
      </c>
      <c r="D104" s="328">
        <v>14032493.766000001</v>
      </c>
      <c r="E104" s="328">
        <v>18150459.136</v>
      </c>
      <c r="F104" s="328">
        <v>20248746.193999998</v>
      </c>
      <c r="G104" s="328">
        <v>23931007.348000001</v>
      </c>
      <c r="H104" s="328">
        <v>52772215.615999997</v>
      </c>
      <c r="I104" s="328">
        <v>53976931.468000002</v>
      </c>
      <c r="J104" s="328">
        <v>102962668.964</v>
      </c>
      <c r="K104" s="328">
        <v>71682883.606000006</v>
      </c>
      <c r="L104" s="328">
        <v>144443681.521</v>
      </c>
      <c r="M104" s="808">
        <f t="shared" si="4"/>
        <v>511889148.43499994</v>
      </c>
    </row>
    <row r="105" spans="1:14" s="323" customFormat="1" ht="17.100000000000001" customHeight="1">
      <c r="A105" s="309" t="s">
        <v>412</v>
      </c>
      <c r="B105" s="328">
        <v>1245269.203</v>
      </c>
      <c r="C105" s="328">
        <v>4151076.0590000004</v>
      </c>
      <c r="D105" s="328">
        <v>7107195.8250000002</v>
      </c>
      <c r="E105" s="328">
        <v>9472871.5170000009</v>
      </c>
      <c r="F105" s="328">
        <v>11485492.456</v>
      </c>
      <c r="G105" s="328">
        <v>13692376.65</v>
      </c>
      <c r="H105" s="328">
        <v>32819820.114999998</v>
      </c>
      <c r="I105" s="328">
        <v>33798563.872999996</v>
      </c>
      <c r="J105" s="328">
        <v>72010385.209000006</v>
      </c>
      <c r="K105" s="328">
        <v>60949070.336000003</v>
      </c>
      <c r="L105" s="328">
        <v>162609820.016</v>
      </c>
      <c r="M105" s="808">
        <f t="shared" si="4"/>
        <v>409341941.259</v>
      </c>
    </row>
    <row r="106" spans="1:14" s="323" customFormat="1" ht="17.100000000000001" customHeight="1">
      <c r="A106" s="309" t="s">
        <v>416</v>
      </c>
      <c r="B106" s="328">
        <v>9752330.9979999997</v>
      </c>
      <c r="C106" s="328">
        <v>28423828.529999997</v>
      </c>
      <c r="D106" s="328">
        <v>47829399.751000002</v>
      </c>
      <c r="E106" s="328">
        <v>63057032.163000003</v>
      </c>
      <c r="F106" s="328">
        <v>77596405.140000001</v>
      </c>
      <c r="G106" s="328">
        <v>83749327.207000002</v>
      </c>
      <c r="H106" s="328">
        <v>201700079.80700001</v>
      </c>
      <c r="I106" s="328">
        <v>215179534.509</v>
      </c>
      <c r="J106" s="328">
        <v>533373250.96500003</v>
      </c>
      <c r="K106" s="328">
        <v>536113370.56599998</v>
      </c>
      <c r="L106" s="328">
        <v>2659159619.5780001</v>
      </c>
      <c r="M106" s="808">
        <f t="shared" si="4"/>
        <v>4455934179.2140007</v>
      </c>
    </row>
    <row r="107" spans="1:14" s="323" customFormat="1" ht="33.950000000000003" customHeight="1">
      <c r="A107" s="309" t="s">
        <v>420</v>
      </c>
      <c r="B107" s="328">
        <v>10340381.828000002</v>
      </c>
      <c r="C107" s="328">
        <v>28089051.885000002</v>
      </c>
      <c r="D107" s="328">
        <v>43477370.335000008</v>
      </c>
      <c r="E107" s="328">
        <v>59278674.811999999</v>
      </c>
      <c r="F107" s="328">
        <v>70631649.342000008</v>
      </c>
      <c r="G107" s="328">
        <v>80585578.790999994</v>
      </c>
      <c r="H107" s="328">
        <v>173577049.134</v>
      </c>
      <c r="I107" s="328">
        <v>196035059.01700002</v>
      </c>
      <c r="J107" s="328">
        <v>514972675.21200001</v>
      </c>
      <c r="K107" s="328">
        <v>557373169.33500004</v>
      </c>
      <c r="L107" s="328">
        <v>3701768602.5199995</v>
      </c>
      <c r="M107" s="808">
        <f t="shared" si="4"/>
        <v>5436129262.2109995</v>
      </c>
    </row>
    <row r="108" spans="1:14" s="323" customFormat="1" ht="17.100000000000001" customHeight="1">
      <c r="A108" s="309" t="s">
        <v>424</v>
      </c>
      <c r="B108" s="328">
        <v>595083.22900000005</v>
      </c>
      <c r="C108" s="328">
        <v>1616154.7040000001</v>
      </c>
      <c r="D108" s="328">
        <v>3045768.8169999998</v>
      </c>
      <c r="E108" s="328">
        <v>4570009.5959999999</v>
      </c>
      <c r="F108" s="328">
        <v>4463015.5189999994</v>
      </c>
      <c r="G108" s="328">
        <v>5783422.2149999999</v>
      </c>
      <c r="H108" s="328">
        <v>13221894.140999999</v>
      </c>
      <c r="I108" s="328">
        <v>12962931.355999999</v>
      </c>
      <c r="J108" s="328">
        <v>29354294.613000002</v>
      </c>
      <c r="K108" s="328">
        <v>24882865.037</v>
      </c>
      <c r="L108" s="328">
        <v>58251314.328000002</v>
      </c>
      <c r="M108" s="808">
        <f t="shared" si="4"/>
        <v>158746753.55500001</v>
      </c>
    </row>
    <row r="109" spans="1:14" s="323" customFormat="1" ht="17.100000000000001" customHeight="1">
      <c r="A109" s="309" t="s">
        <v>428</v>
      </c>
      <c r="B109" s="328">
        <v>669673.25900000008</v>
      </c>
      <c r="C109" s="328">
        <v>2086363.754</v>
      </c>
      <c r="D109" s="328">
        <v>4420151.9689999996</v>
      </c>
      <c r="E109" s="328">
        <v>5098191.6050000004</v>
      </c>
      <c r="F109" s="328">
        <v>7177792.1179999998</v>
      </c>
      <c r="G109" s="328">
        <v>7788218.091</v>
      </c>
      <c r="H109" s="328">
        <v>18350906.155000001</v>
      </c>
      <c r="I109" s="328">
        <v>16461478.343</v>
      </c>
      <c r="J109" s="328">
        <v>28956770.039000001</v>
      </c>
      <c r="K109" s="328">
        <v>23930366.833999999</v>
      </c>
      <c r="L109" s="328">
        <v>58217551.473999999</v>
      </c>
      <c r="M109" s="808">
        <f t="shared" si="4"/>
        <v>173157463.641</v>
      </c>
    </row>
    <row r="110" spans="1:14" s="323" customFormat="1" ht="17.100000000000001" customHeight="1">
      <c r="A110" s="310" t="s">
        <v>432</v>
      </c>
      <c r="B110" s="328">
        <v>3003201.6916</v>
      </c>
      <c r="C110" s="328">
        <v>8860774.9379999992</v>
      </c>
      <c r="D110" s="328">
        <v>15816817.465</v>
      </c>
      <c r="E110" s="328">
        <v>21187264.022</v>
      </c>
      <c r="F110" s="328">
        <v>26104318.574999999</v>
      </c>
      <c r="G110" s="328">
        <v>30011444.447000001</v>
      </c>
      <c r="H110" s="328">
        <v>64775418.515000001</v>
      </c>
      <c r="I110" s="328">
        <v>57960506.039000005</v>
      </c>
      <c r="J110" s="328">
        <v>127317920.105</v>
      </c>
      <c r="K110" s="328">
        <v>106805228.008</v>
      </c>
      <c r="L110" s="328">
        <v>292280786.38099998</v>
      </c>
      <c r="M110" s="808">
        <f t="shared" si="4"/>
        <v>754123680.18659997</v>
      </c>
    </row>
    <row r="111" spans="1:14" s="323" customFormat="1" ht="17.100000000000001" customHeight="1">
      <c r="A111" s="310" t="s">
        <v>436</v>
      </c>
      <c r="B111" s="329">
        <v>3020146.7779999995</v>
      </c>
      <c r="C111" s="329">
        <v>8692630.7180000003</v>
      </c>
      <c r="D111" s="329">
        <v>14556330.290999999</v>
      </c>
      <c r="E111" s="329">
        <v>20248675.539000001</v>
      </c>
      <c r="F111" s="329">
        <v>25964847.024999999</v>
      </c>
      <c r="G111" s="329">
        <v>31276673.618000001</v>
      </c>
      <c r="H111" s="329">
        <v>66271496.964000002</v>
      </c>
      <c r="I111" s="329">
        <v>73614404.086999997</v>
      </c>
      <c r="J111" s="329">
        <v>164505145.98800001</v>
      </c>
      <c r="K111" s="329">
        <v>166427232.87</v>
      </c>
      <c r="L111" s="329">
        <v>571048021.09500003</v>
      </c>
      <c r="M111" s="808">
        <f t="shared" si="4"/>
        <v>1145625604.973</v>
      </c>
    </row>
    <row r="112" spans="1:14" s="336" customFormat="1" ht="33.950000000000003" customHeight="1">
      <c r="A112" s="284" t="s">
        <v>440</v>
      </c>
      <c r="B112" s="283">
        <v>5729782.3929999983</v>
      </c>
      <c r="C112" s="283">
        <v>14341193.199000001</v>
      </c>
      <c r="D112" s="283">
        <v>25407288.456999999</v>
      </c>
      <c r="E112" s="283">
        <v>32754384.449000005</v>
      </c>
      <c r="F112" s="283">
        <v>40556190.832999997</v>
      </c>
      <c r="G112" s="283">
        <v>46667956.343000002</v>
      </c>
      <c r="H112" s="283">
        <v>101899004.50399999</v>
      </c>
      <c r="I112" s="283">
        <v>99618928.298999995</v>
      </c>
      <c r="J112" s="283">
        <v>204664571.66499999</v>
      </c>
      <c r="K112" s="283">
        <v>166610162.06900001</v>
      </c>
      <c r="L112" s="283">
        <v>564208580.347</v>
      </c>
      <c r="M112" s="456">
        <f t="shared" si="4"/>
        <v>1302458042.5580001</v>
      </c>
      <c r="N112" s="323"/>
    </row>
    <row r="113" spans="1:13" ht="17.100000000000001" customHeight="1">
      <c r="A113" s="309" t="s">
        <v>444</v>
      </c>
      <c r="B113" s="328">
        <v>1312982.8190000001</v>
      </c>
      <c r="C113" s="328">
        <v>4182312.5360000003</v>
      </c>
      <c r="D113" s="328">
        <v>8443045.5199999996</v>
      </c>
      <c r="E113" s="328">
        <v>11473019.466</v>
      </c>
      <c r="F113" s="328">
        <v>13837558.949999999</v>
      </c>
      <c r="G113" s="328">
        <v>15249737.594000001</v>
      </c>
      <c r="H113" s="328">
        <v>33182935.333999999</v>
      </c>
      <c r="I113" s="328">
        <v>32869865.964000002</v>
      </c>
      <c r="J113" s="328">
        <v>71364303.634000003</v>
      </c>
      <c r="K113" s="328">
        <v>63652441.159999996</v>
      </c>
      <c r="L113" s="328">
        <v>206474660.11300001</v>
      </c>
      <c r="M113" s="808">
        <f t="shared" si="4"/>
        <v>462042863.08999997</v>
      </c>
    </row>
    <row r="114" spans="1:13" ht="17.100000000000001" customHeight="1">
      <c r="A114" s="309" t="s">
        <v>448</v>
      </c>
      <c r="B114" s="328">
        <v>2832439.5082</v>
      </c>
      <c r="C114" s="328">
        <v>8730895.5099999998</v>
      </c>
      <c r="D114" s="328">
        <v>14406395.776000001</v>
      </c>
      <c r="E114" s="328">
        <v>18522493.506000001</v>
      </c>
      <c r="F114" s="328">
        <v>22246210.704</v>
      </c>
      <c r="G114" s="328">
        <v>26051415.594999999</v>
      </c>
      <c r="H114" s="328">
        <v>48909456.336999997</v>
      </c>
      <c r="I114" s="328">
        <v>45927625.678999998</v>
      </c>
      <c r="J114" s="328">
        <v>109690171.31</v>
      </c>
      <c r="K114" s="328">
        <v>84883425.173999995</v>
      </c>
      <c r="L114" s="328">
        <v>174611455.93000001</v>
      </c>
      <c r="M114" s="808">
        <f t="shared" si="4"/>
        <v>556811985.02920008</v>
      </c>
    </row>
    <row r="115" spans="1:13" ht="17.100000000000001" customHeight="1">
      <c r="A115" s="309" t="s">
        <v>452</v>
      </c>
      <c r="B115" s="328">
        <v>2277210.392</v>
      </c>
      <c r="C115" s="328">
        <v>6897629.5549999997</v>
      </c>
      <c r="D115" s="328">
        <v>11348954.669</v>
      </c>
      <c r="E115" s="328">
        <v>16910563.478</v>
      </c>
      <c r="F115" s="328">
        <v>20539244.066</v>
      </c>
      <c r="G115" s="328">
        <v>23022789.202</v>
      </c>
      <c r="H115" s="328">
        <v>52490777.656000003</v>
      </c>
      <c r="I115" s="328">
        <v>52661677.406999998</v>
      </c>
      <c r="J115" s="328">
        <v>110261836.28399999</v>
      </c>
      <c r="K115" s="328">
        <v>84458461.648000002</v>
      </c>
      <c r="L115" s="328">
        <v>184412819.44499999</v>
      </c>
      <c r="M115" s="808">
        <f t="shared" si="4"/>
        <v>565281963.80200005</v>
      </c>
    </row>
    <row r="116" spans="1:13" ht="17.100000000000001" customHeight="1">
      <c r="A116" s="309" t="s">
        <v>456</v>
      </c>
      <c r="B116" s="328">
        <v>5247127.3788000001</v>
      </c>
      <c r="C116" s="328">
        <v>12731954.124</v>
      </c>
      <c r="D116" s="328">
        <v>19353569.708000001</v>
      </c>
      <c r="E116" s="328">
        <v>24185083.278999999</v>
      </c>
      <c r="F116" s="328">
        <v>31424989.245999999</v>
      </c>
      <c r="G116" s="328">
        <v>36226401.222000003</v>
      </c>
      <c r="H116" s="328">
        <v>82340032.608999997</v>
      </c>
      <c r="I116" s="328">
        <v>90788446.147</v>
      </c>
      <c r="J116" s="328">
        <v>238159361.49199998</v>
      </c>
      <c r="K116" s="328">
        <v>250008253.29500002</v>
      </c>
      <c r="L116" s="328">
        <v>1607117628.2220001</v>
      </c>
      <c r="M116" s="808">
        <f t="shared" si="4"/>
        <v>2397582846.7228003</v>
      </c>
    </row>
    <row r="117" spans="1:13" ht="17.100000000000001" customHeight="1">
      <c r="A117" s="310"/>
      <c r="B117" s="328"/>
      <c r="C117" s="328"/>
      <c r="D117" s="328"/>
      <c r="E117" s="328"/>
      <c r="F117" s="328"/>
      <c r="G117" s="328"/>
      <c r="H117" s="328"/>
      <c r="I117" s="328"/>
      <c r="J117" s="328"/>
      <c r="K117" s="328"/>
      <c r="L117" s="328"/>
      <c r="M117" s="379"/>
    </row>
    <row r="118" spans="1:13" s="339" customFormat="1" ht="17.100000000000001" customHeight="1">
      <c r="A118" s="337" t="s">
        <v>24</v>
      </c>
      <c r="B118" s="338">
        <f>SUM(B8:B42)+SUM(B50:B84)+SUM(B92:B116)</f>
        <v>444914192.74549991</v>
      </c>
      <c r="C118" s="338">
        <f t="shared" ref="C118:M118" si="5">SUM(C8:C42)+SUM(C50:C84)+SUM(C92:C116)</f>
        <v>1196632660.717</v>
      </c>
      <c r="D118" s="338">
        <f t="shared" si="5"/>
        <v>1968677719.0023997</v>
      </c>
      <c r="E118" s="338">
        <f t="shared" si="5"/>
        <v>2607828568.4460998</v>
      </c>
      <c r="F118" s="338">
        <f t="shared" si="5"/>
        <v>3281450665.1157999</v>
      </c>
      <c r="G118" s="338">
        <f t="shared" si="5"/>
        <v>3834778887.5289001</v>
      </c>
      <c r="H118" s="338">
        <f t="shared" si="5"/>
        <v>8738830521.1079006</v>
      </c>
      <c r="I118" s="338">
        <f t="shared" si="5"/>
        <v>9247195181.3281002</v>
      </c>
      <c r="J118" s="338">
        <f t="shared" si="5"/>
        <v>22788248097.291</v>
      </c>
      <c r="K118" s="338">
        <f t="shared" si="5"/>
        <v>21976536296.640797</v>
      </c>
      <c r="L118" s="338">
        <f t="shared" si="5"/>
        <v>158871904720.5304</v>
      </c>
      <c r="M118" s="338">
        <f t="shared" si="5"/>
        <v>234956997510.45389</v>
      </c>
    </row>
    <row r="119" spans="1:13" s="335" customFormat="1" ht="17.100000000000001" customHeight="1">
      <c r="A119" s="340"/>
      <c r="B119" s="341"/>
      <c r="C119" s="341"/>
      <c r="D119" s="341"/>
      <c r="E119" s="341"/>
      <c r="F119" s="341"/>
      <c r="G119" s="341"/>
      <c r="H119" s="341"/>
      <c r="I119" s="341"/>
      <c r="J119" s="341"/>
      <c r="K119" s="341"/>
      <c r="L119" s="341"/>
      <c r="M119" s="380"/>
    </row>
    <row r="120" spans="1:13" s="335" customFormat="1" ht="17.100000000000001" customHeight="1">
      <c r="A120" s="334"/>
      <c r="B120" s="334"/>
      <c r="C120" s="334"/>
      <c r="D120" s="334"/>
      <c r="E120" s="334"/>
      <c r="F120" s="334"/>
      <c r="G120" s="334"/>
      <c r="H120" s="334"/>
      <c r="I120" s="334"/>
      <c r="J120" s="334"/>
      <c r="K120" s="334"/>
      <c r="L120" s="334"/>
      <c r="M120" s="807"/>
    </row>
    <row r="121" spans="1:13" s="344" customFormat="1" ht="18">
      <c r="A121" s="330" t="s">
        <v>697</v>
      </c>
      <c r="B121" s="343"/>
      <c r="C121" s="343"/>
      <c r="D121" s="343"/>
      <c r="E121" s="343"/>
      <c r="F121" s="343"/>
      <c r="G121" s="343"/>
      <c r="H121" s="343"/>
      <c r="I121" s="343"/>
      <c r="J121" s="343"/>
      <c r="K121" s="343"/>
      <c r="L121" s="343"/>
      <c r="M121" s="381"/>
    </row>
    <row r="122" spans="1:13" ht="17.100000000000001" customHeight="1">
      <c r="A122" s="317" t="s">
        <v>675</v>
      </c>
      <c r="B122" s="345"/>
      <c r="C122" s="345"/>
      <c r="D122" s="345"/>
      <c r="E122" s="345"/>
      <c r="F122" s="345"/>
      <c r="G122" s="345"/>
      <c r="H122" s="345"/>
      <c r="I122" s="345"/>
      <c r="J122" s="345"/>
      <c r="K122" s="345"/>
      <c r="L122" s="345"/>
      <c r="M122" s="382"/>
    </row>
    <row r="123" spans="1:13" ht="17.100000000000001" customHeight="1">
      <c r="A123" s="318" t="str">
        <f>A3</f>
        <v>Taxable Year 2019</v>
      </c>
      <c r="B123" s="346"/>
      <c r="C123" s="346"/>
      <c r="D123" s="346"/>
      <c r="E123" s="346"/>
      <c r="F123" s="346"/>
      <c r="G123" s="346"/>
      <c r="H123" s="346"/>
      <c r="I123" s="346"/>
      <c r="J123" s="346"/>
      <c r="K123" s="346"/>
      <c r="L123" s="346"/>
      <c r="M123" s="383"/>
    </row>
    <row r="124" spans="1:13" ht="17.100000000000001" customHeight="1" thickBot="1">
      <c r="B124" s="332">
        <f t="shared" ref="B124:M124" si="6">SUM(B128:B147)</f>
        <v>81829372.249400005</v>
      </c>
      <c r="C124" s="332">
        <f t="shared" si="6"/>
        <v>229447292.75139999</v>
      </c>
      <c r="D124" s="332">
        <f t="shared" si="6"/>
        <v>393956257.16130012</v>
      </c>
      <c r="E124" s="332">
        <f t="shared" si="6"/>
        <v>519794526.90499997</v>
      </c>
      <c r="F124" s="332">
        <f t="shared" si="6"/>
        <v>636848042.8634001</v>
      </c>
      <c r="G124" s="332">
        <f t="shared" si="6"/>
        <v>732134464.96400011</v>
      </c>
      <c r="H124" s="332">
        <f t="shared" si="6"/>
        <v>1598667641.9747005</v>
      </c>
      <c r="I124" s="332">
        <f t="shared" si="6"/>
        <v>1632520461.3439999</v>
      </c>
      <c r="J124" s="332">
        <f t="shared" si="6"/>
        <v>3759147619.1905999</v>
      </c>
      <c r="K124" s="332">
        <f t="shared" si="6"/>
        <v>3237576346.4310002</v>
      </c>
      <c r="L124" s="332">
        <f t="shared" si="6"/>
        <v>17885728364.994003</v>
      </c>
      <c r="M124" s="332">
        <f t="shared" si="6"/>
        <v>30707650390.828796</v>
      </c>
    </row>
    <row r="125" spans="1:13" ht="17.100000000000001" customHeight="1">
      <c r="A125" s="320"/>
      <c r="B125" s="333"/>
      <c r="C125" s="322"/>
      <c r="D125" s="322"/>
      <c r="E125" s="322"/>
      <c r="F125" s="322"/>
      <c r="G125" s="322"/>
      <c r="H125" s="322"/>
      <c r="I125" s="322"/>
      <c r="J125" s="322"/>
      <c r="K125" s="322"/>
      <c r="L125" s="322"/>
      <c r="M125" s="377" t="s">
        <v>17</v>
      </c>
    </row>
    <row r="126" spans="1:13" ht="17.100000000000001" customHeight="1">
      <c r="A126" s="324"/>
      <c r="B126" s="325"/>
      <c r="C126" s="325" t="s">
        <v>676</v>
      </c>
      <c r="D126" s="325" t="s">
        <v>677</v>
      </c>
      <c r="E126" s="325" t="s">
        <v>678</v>
      </c>
      <c r="F126" s="325" t="s">
        <v>679</v>
      </c>
      <c r="G126" s="325" t="s">
        <v>680</v>
      </c>
      <c r="H126" s="325" t="s">
        <v>681</v>
      </c>
      <c r="I126" s="325" t="s">
        <v>682</v>
      </c>
      <c r="J126" s="325" t="s">
        <v>683</v>
      </c>
      <c r="K126" s="325" t="s">
        <v>684</v>
      </c>
      <c r="L126" s="325" t="s">
        <v>685</v>
      </c>
      <c r="M126" s="378" t="s">
        <v>366</v>
      </c>
    </row>
    <row r="127" spans="1:13" ht="17.100000000000001" customHeight="1">
      <c r="A127" s="758" t="s">
        <v>25</v>
      </c>
      <c r="B127" s="805" t="s">
        <v>686</v>
      </c>
      <c r="C127" s="805" t="s">
        <v>687</v>
      </c>
      <c r="D127" s="805" t="s">
        <v>688</v>
      </c>
      <c r="E127" s="805" t="s">
        <v>689</v>
      </c>
      <c r="F127" s="805" t="s">
        <v>690</v>
      </c>
      <c r="G127" s="805" t="s">
        <v>691</v>
      </c>
      <c r="H127" s="805" t="s">
        <v>692</v>
      </c>
      <c r="I127" s="805" t="s">
        <v>693</v>
      </c>
      <c r="J127" s="805" t="s">
        <v>694</v>
      </c>
      <c r="K127" s="805" t="s">
        <v>695</v>
      </c>
      <c r="L127" s="805" t="s">
        <v>696</v>
      </c>
      <c r="M127" s="806" t="s">
        <v>22</v>
      </c>
    </row>
    <row r="128" spans="1:13" s="323" customFormat="1" ht="21" customHeight="1">
      <c r="A128" s="309" t="s">
        <v>473</v>
      </c>
      <c r="B128" s="283">
        <v>11797458.508999992</v>
      </c>
      <c r="C128" s="283">
        <v>31137289.062000014</v>
      </c>
      <c r="D128" s="283">
        <v>52304766.8763</v>
      </c>
      <c r="E128" s="283">
        <v>66558724.611000031</v>
      </c>
      <c r="F128" s="283">
        <v>84160122.109999985</v>
      </c>
      <c r="G128" s="283">
        <v>96862263.127000004</v>
      </c>
      <c r="H128" s="283">
        <v>216909598.84999996</v>
      </c>
      <c r="I128" s="283">
        <v>263515552.87200001</v>
      </c>
      <c r="J128" s="283">
        <v>785821649.42400002</v>
      </c>
      <c r="K128" s="283">
        <v>801460825.34099984</v>
      </c>
      <c r="L128" s="283">
        <v>6882316102.6269999</v>
      </c>
      <c r="M128" s="456">
        <f t="shared" ref="M128:M156" si="7">SUM(B128:L128)</f>
        <v>9292844353.4092999</v>
      </c>
    </row>
    <row r="129" spans="1:13" s="323" customFormat="1" ht="14.1" customHeight="1">
      <c r="A129" s="309" t="s">
        <v>478</v>
      </c>
      <c r="B129" s="328">
        <v>3400398.183799996</v>
      </c>
      <c r="C129" s="328">
        <v>8558507.465400001</v>
      </c>
      <c r="D129" s="328">
        <v>13311381.768999999</v>
      </c>
      <c r="E129" s="328">
        <v>17222889.951000001</v>
      </c>
      <c r="F129" s="328">
        <v>21264924.081</v>
      </c>
      <c r="G129" s="328">
        <v>21823520.316</v>
      </c>
      <c r="H129" s="328">
        <v>43882525.399000004</v>
      </c>
      <c r="I129" s="328">
        <v>39454923.343999997</v>
      </c>
      <c r="J129" s="328">
        <v>67438923.621999994</v>
      </c>
      <c r="K129" s="328">
        <v>43774776.187999994</v>
      </c>
      <c r="L129" s="328">
        <v>97235616.747999996</v>
      </c>
      <c r="M129" s="808">
        <f t="shared" si="7"/>
        <v>377368387.06719995</v>
      </c>
    </row>
    <row r="130" spans="1:13" s="323" customFormat="1" ht="14.1" customHeight="1">
      <c r="A130" s="309" t="s">
        <v>481</v>
      </c>
      <c r="B130" s="328">
        <v>680243.08599999989</v>
      </c>
      <c r="C130" s="328">
        <v>1940307.389</v>
      </c>
      <c r="D130" s="328">
        <v>3037799.213</v>
      </c>
      <c r="E130" s="328">
        <v>3789201.9679999999</v>
      </c>
      <c r="F130" s="328">
        <v>5197915.5559999999</v>
      </c>
      <c r="G130" s="328">
        <v>5514123.648</v>
      </c>
      <c r="H130" s="328">
        <v>12195364.987</v>
      </c>
      <c r="I130" s="328">
        <v>10665771.191</v>
      </c>
      <c r="J130" s="328">
        <v>22087826.223000001</v>
      </c>
      <c r="K130" s="328">
        <v>15907114</v>
      </c>
      <c r="L130" s="328">
        <v>21905409.936999999</v>
      </c>
      <c r="M130" s="808">
        <f t="shared" si="7"/>
        <v>102921077.19800001</v>
      </c>
    </row>
    <row r="131" spans="1:13" s="323" customFormat="1" ht="14.1" customHeight="1">
      <c r="A131" s="309" t="s">
        <v>484</v>
      </c>
      <c r="B131" s="328">
        <v>4882662.8609999977</v>
      </c>
      <c r="C131" s="328">
        <v>11437524.929</v>
      </c>
      <c r="D131" s="328">
        <v>18133561.799000002</v>
      </c>
      <c r="E131" s="328">
        <v>24109478.305</v>
      </c>
      <c r="F131" s="328">
        <v>29939942.039999999</v>
      </c>
      <c r="G131" s="328">
        <v>38030779.103</v>
      </c>
      <c r="H131" s="328">
        <v>76983644.548000008</v>
      </c>
      <c r="I131" s="328">
        <v>76007880.809</v>
      </c>
      <c r="J131" s="328">
        <v>165643965.01899999</v>
      </c>
      <c r="K131" s="328">
        <v>128629894.921</v>
      </c>
      <c r="L131" s="328">
        <v>1073615643.562</v>
      </c>
      <c r="M131" s="808">
        <f t="shared" si="7"/>
        <v>1647414977.8959999</v>
      </c>
    </row>
    <row r="132" spans="1:13" s="323" customFormat="1" ht="14.1" customHeight="1">
      <c r="A132" s="309" t="s">
        <v>487</v>
      </c>
      <c r="B132" s="328">
        <v>18551687.052199997</v>
      </c>
      <c r="C132" s="328">
        <v>51101267.887999989</v>
      </c>
      <c r="D132" s="328">
        <v>87098301.041000009</v>
      </c>
      <c r="E132" s="328">
        <v>117570590.44580001</v>
      </c>
      <c r="F132" s="328">
        <v>141452194.68099999</v>
      </c>
      <c r="G132" s="328">
        <v>166877023.45199999</v>
      </c>
      <c r="H132" s="328">
        <v>379230470.2647</v>
      </c>
      <c r="I132" s="328">
        <v>408402925.14399999</v>
      </c>
      <c r="J132" s="328">
        <v>949947568.30759978</v>
      </c>
      <c r="K132" s="328">
        <v>873594771.79399991</v>
      </c>
      <c r="L132" s="328">
        <v>3766227611.8200002</v>
      </c>
      <c r="M132" s="808">
        <f t="shared" si="7"/>
        <v>6960054411.8902988</v>
      </c>
    </row>
    <row r="133" spans="1:13" s="323" customFormat="1" ht="21" customHeight="1">
      <c r="A133" s="309" t="s">
        <v>490</v>
      </c>
      <c r="B133" s="328">
        <v>1272147.047</v>
      </c>
      <c r="C133" s="328">
        <v>4583769.0209999997</v>
      </c>
      <c r="D133" s="328">
        <v>7851408.0219999999</v>
      </c>
      <c r="E133" s="328">
        <v>10354813.119999999</v>
      </c>
      <c r="F133" s="328">
        <v>13218553.412</v>
      </c>
      <c r="G133" s="328">
        <v>17723671.469000001</v>
      </c>
      <c r="H133" s="328">
        <v>38811040.245999999</v>
      </c>
      <c r="I133" s="328">
        <v>37808750.960000001</v>
      </c>
      <c r="J133" s="328">
        <v>79065517.927000001</v>
      </c>
      <c r="K133" s="328">
        <v>63136945.566</v>
      </c>
      <c r="L133" s="328">
        <v>148307537.84900001</v>
      </c>
      <c r="M133" s="808">
        <f t="shared" si="7"/>
        <v>422134154.63900006</v>
      </c>
    </row>
    <row r="134" spans="1:13" s="323" customFormat="1" ht="14.1" customHeight="1">
      <c r="A134" s="309" t="s">
        <v>493</v>
      </c>
      <c r="B134" s="328">
        <v>768702.55900000001</v>
      </c>
      <c r="C134" s="328">
        <v>1900016.128</v>
      </c>
      <c r="D134" s="328">
        <v>3235646.4110000003</v>
      </c>
      <c r="E134" s="328">
        <v>4757616.1960000005</v>
      </c>
      <c r="F134" s="328">
        <v>5238524.79</v>
      </c>
      <c r="G134" s="328">
        <v>5708199.449</v>
      </c>
      <c r="H134" s="328">
        <v>12070884.182</v>
      </c>
      <c r="I134" s="328">
        <v>11176384.307</v>
      </c>
      <c r="J134" s="328">
        <v>23040133.673999999</v>
      </c>
      <c r="K134" s="328">
        <v>14517274</v>
      </c>
      <c r="L134" s="328">
        <v>25039060.391000003</v>
      </c>
      <c r="M134" s="808">
        <f t="shared" si="7"/>
        <v>107452442.087</v>
      </c>
    </row>
    <row r="135" spans="1:13" s="323" customFormat="1" ht="14.1" customHeight="1">
      <c r="A135" s="309" t="s">
        <v>496</v>
      </c>
      <c r="B135" s="328">
        <v>4376809.2639999986</v>
      </c>
      <c r="C135" s="328">
        <v>14052010.231000001</v>
      </c>
      <c r="D135" s="328">
        <v>27055719.444000002</v>
      </c>
      <c r="E135" s="328">
        <v>32711781.8222</v>
      </c>
      <c r="F135" s="328">
        <v>38296465.5594</v>
      </c>
      <c r="G135" s="328">
        <v>41368815.640000001</v>
      </c>
      <c r="H135" s="328">
        <v>79448029.695000008</v>
      </c>
      <c r="I135" s="328">
        <v>67133866.026999995</v>
      </c>
      <c r="J135" s="328">
        <v>130297330.32800004</v>
      </c>
      <c r="K135" s="328">
        <v>85394474.059000015</v>
      </c>
      <c r="L135" s="328">
        <v>279133647.18800002</v>
      </c>
      <c r="M135" s="808">
        <f t="shared" si="7"/>
        <v>799268949.25760007</v>
      </c>
    </row>
    <row r="136" spans="1:13" s="323" customFormat="1" ht="14.1" customHeight="1">
      <c r="A136" s="309" t="s">
        <v>499</v>
      </c>
      <c r="B136" s="328">
        <v>671844.31699999992</v>
      </c>
      <c r="C136" s="328">
        <v>2055900.0470000003</v>
      </c>
      <c r="D136" s="276">
        <v>3272347.4649999999</v>
      </c>
      <c r="E136" s="276">
        <v>4726007.273</v>
      </c>
      <c r="F136" s="328">
        <v>4026758.1839999999</v>
      </c>
      <c r="G136" s="328">
        <v>4572464.3109999998</v>
      </c>
      <c r="H136" s="328">
        <v>11301063.609999999</v>
      </c>
      <c r="I136" s="328">
        <v>9817628.9269999992</v>
      </c>
      <c r="J136" s="328">
        <v>12615253.827</v>
      </c>
      <c r="K136" s="328">
        <v>6957703.4979999997</v>
      </c>
      <c r="L136" s="328">
        <v>17872810.343000002</v>
      </c>
      <c r="M136" s="808">
        <f t="shared" si="7"/>
        <v>77889781.801999986</v>
      </c>
    </row>
    <row r="137" spans="1:13" s="323" customFormat="1" ht="14.1" customHeight="1">
      <c r="A137" s="309" t="s">
        <v>494</v>
      </c>
      <c r="B137" s="328">
        <v>3260398.1422000006</v>
      </c>
      <c r="C137" s="328">
        <v>7595391.4249999989</v>
      </c>
      <c r="D137" s="328">
        <v>10526572.799000001</v>
      </c>
      <c r="E137" s="328">
        <v>13185206.349000001</v>
      </c>
      <c r="F137" s="328">
        <v>14512361.585999999</v>
      </c>
      <c r="G137" s="328">
        <v>16972089.569000002</v>
      </c>
      <c r="H137" s="328">
        <v>38258413.833000004</v>
      </c>
      <c r="I137" s="328">
        <v>39259096.601000004</v>
      </c>
      <c r="J137" s="328">
        <v>108816124.50099999</v>
      </c>
      <c r="K137" s="328">
        <v>107613294.84799999</v>
      </c>
      <c r="L137" s="328">
        <v>1027274324.558</v>
      </c>
      <c r="M137" s="808">
        <f t="shared" si="7"/>
        <v>1387273274.2112</v>
      </c>
    </row>
    <row r="138" spans="1:13" s="323" customFormat="1" ht="21" customHeight="1">
      <c r="A138" s="309" t="s">
        <v>504</v>
      </c>
      <c r="B138" s="328">
        <v>1423657.3147999998</v>
      </c>
      <c r="C138" s="328">
        <v>3207117.9910000004</v>
      </c>
      <c r="D138" s="328">
        <v>3512117.1359999999</v>
      </c>
      <c r="E138" s="328">
        <v>4997127.7240000004</v>
      </c>
      <c r="F138" s="328">
        <v>5620982.5150000006</v>
      </c>
      <c r="G138" s="328">
        <v>6731149.4709999999</v>
      </c>
      <c r="H138" s="328">
        <v>14673546.365000002</v>
      </c>
      <c r="I138" s="328">
        <v>18337306.178000003</v>
      </c>
      <c r="J138" s="328">
        <v>59144855.140000001</v>
      </c>
      <c r="K138" s="328">
        <v>65689292.273000002</v>
      </c>
      <c r="L138" s="328">
        <v>992770103.125</v>
      </c>
      <c r="M138" s="808">
        <f t="shared" si="7"/>
        <v>1176107255.2328</v>
      </c>
    </row>
    <row r="139" spans="1:13" s="323" customFormat="1" ht="14.1" customHeight="1">
      <c r="A139" s="309" t="s">
        <v>26</v>
      </c>
      <c r="B139" s="276">
        <v>750468.11999999988</v>
      </c>
      <c r="C139" s="276">
        <v>2419964.23</v>
      </c>
      <c r="D139" s="276">
        <v>4304065.7259999998</v>
      </c>
      <c r="E139" s="276">
        <v>6078115.523</v>
      </c>
      <c r="F139" s="276">
        <v>6507929.2649999997</v>
      </c>
      <c r="G139" s="276">
        <v>7350167.9500000002</v>
      </c>
      <c r="H139" s="276">
        <v>15187497.060000001</v>
      </c>
      <c r="I139" s="276">
        <v>13815460.597999999</v>
      </c>
      <c r="J139" s="276">
        <v>26421734.210999999</v>
      </c>
      <c r="K139" s="276">
        <v>16460681.429</v>
      </c>
      <c r="L139" s="276">
        <v>45622110.482999995</v>
      </c>
      <c r="M139" s="808">
        <f t="shared" si="7"/>
        <v>144918194.595</v>
      </c>
    </row>
    <row r="140" spans="1:13" s="323" customFormat="1" ht="14.1" customHeight="1">
      <c r="A140" s="309" t="s">
        <v>509</v>
      </c>
      <c r="B140" s="276">
        <v>2478184.3840000001</v>
      </c>
      <c r="C140" s="276">
        <v>6788137.4119999995</v>
      </c>
      <c r="D140" s="276">
        <v>12241866.357999999</v>
      </c>
      <c r="E140" s="276">
        <v>16969040.772</v>
      </c>
      <c r="F140" s="276">
        <v>20663710.261999998</v>
      </c>
      <c r="G140" s="276">
        <v>22034969.754000001</v>
      </c>
      <c r="H140" s="276">
        <v>49952355.225000001</v>
      </c>
      <c r="I140" s="276">
        <v>50029082.277000003</v>
      </c>
      <c r="J140" s="276">
        <v>104312060.44600001</v>
      </c>
      <c r="K140" s="276">
        <v>80374924.571999997</v>
      </c>
      <c r="L140" s="276">
        <v>589604509.96000004</v>
      </c>
      <c r="M140" s="808">
        <f t="shared" si="7"/>
        <v>955448841.42200005</v>
      </c>
    </row>
    <row r="141" spans="1:13" s="323" customFormat="1" ht="14.1" customHeight="1">
      <c r="A141" s="309" t="s">
        <v>512</v>
      </c>
      <c r="B141" s="276">
        <v>745603.84299999999</v>
      </c>
      <c r="C141" s="276">
        <v>2162322.4010000001</v>
      </c>
      <c r="D141" s="276">
        <v>3842310.048</v>
      </c>
      <c r="E141" s="276">
        <v>5614280.608</v>
      </c>
      <c r="F141" s="276">
        <v>6223879.2970000003</v>
      </c>
      <c r="G141" s="276">
        <v>6973261.9929999998</v>
      </c>
      <c r="H141" s="276">
        <v>12311760.715</v>
      </c>
      <c r="I141" s="276">
        <v>10956801.538000001</v>
      </c>
      <c r="J141" s="276">
        <v>22565060.125</v>
      </c>
      <c r="K141" s="276">
        <v>15737511.218</v>
      </c>
      <c r="L141" s="276">
        <v>34564251.883000001</v>
      </c>
      <c r="M141" s="808">
        <f t="shared" si="7"/>
        <v>121697043.669</v>
      </c>
    </row>
    <row r="142" spans="1:13" s="323" customFormat="1" ht="14.1" customHeight="1">
      <c r="A142" s="309" t="s">
        <v>514</v>
      </c>
      <c r="B142" s="276">
        <v>9642240.4150000028</v>
      </c>
      <c r="C142" s="276">
        <v>31383977.737999998</v>
      </c>
      <c r="D142" s="276">
        <v>57620301.060000002</v>
      </c>
      <c r="E142" s="276">
        <v>76005453.106000006</v>
      </c>
      <c r="F142" s="276">
        <v>96477587.799999997</v>
      </c>
      <c r="G142" s="276">
        <v>110320810.56099999</v>
      </c>
      <c r="H142" s="276">
        <v>244789766.84100002</v>
      </c>
      <c r="I142" s="276">
        <v>242932942.51099998</v>
      </c>
      <c r="J142" s="276">
        <v>523840378.12</v>
      </c>
      <c r="K142" s="276">
        <v>395099851.30900002</v>
      </c>
      <c r="L142" s="276">
        <v>994889220.46200001</v>
      </c>
      <c r="M142" s="808">
        <f t="shared" si="7"/>
        <v>2783002529.9229999</v>
      </c>
    </row>
    <row r="143" spans="1:13" s="323" customFormat="1" ht="21" customHeight="1">
      <c r="A143" s="309" t="s">
        <v>516</v>
      </c>
      <c r="B143" s="276">
        <v>4033492.3830000008</v>
      </c>
      <c r="C143" s="276">
        <v>11601174.989</v>
      </c>
      <c r="D143" s="276">
        <v>18234832.435000002</v>
      </c>
      <c r="E143" s="276">
        <v>23970174.046999998</v>
      </c>
      <c r="F143" s="276">
        <v>32304540.734999999</v>
      </c>
      <c r="G143" s="276">
        <v>38217948.505999997</v>
      </c>
      <c r="H143" s="276">
        <v>86066037.467999995</v>
      </c>
      <c r="I143" s="276">
        <v>79107066.901999995</v>
      </c>
      <c r="J143" s="276">
        <v>138199958.662</v>
      </c>
      <c r="K143" s="276">
        <v>104415076.832</v>
      </c>
      <c r="L143" s="276">
        <v>300776112.70999998</v>
      </c>
      <c r="M143" s="808">
        <f t="shared" si="7"/>
        <v>836926415.66899991</v>
      </c>
    </row>
    <row r="144" spans="1:13" s="323" customFormat="1" ht="14.1" customHeight="1">
      <c r="A144" s="276" t="s">
        <v>519</v>
      </c>
      <c r="B144" s="276">
        <v>1707776.179</v>
      </c>
      <c r="C144" s="276">
        <v>6672733.5060000001</v>
      </c>
      <c r="D144" s="276">
        <v>12793573.054</v>
      </c>
      <c r="E144" s="276">
        <v>16324400.752</v>
      </c>
      <c r="F144" s="276">
        <v>19849254.050999999</v>
      </c>
      <c r="G144" s="276">
        <v>23044777.987</v>
      </c>
      <c r="H144" s="276">
        <v>49261049.130000003</v>
      </c>
      <c r="I144" s="276">
        <v>41618767.868000001</v>
      </c>
      <c r="J144" s="276">
        <v>78325971.410999998</v>
      </c>
      <c r="K144" s="276">
        <v>47500081.530000001</v>
      </c>
      <c r="L144" s="276">
        <v>82560627.600999996</v>
      </c>
      <c r="M144" s="808">
        <f t="shared" si="7"/>
        <v>379659013.06900007</v>
      </c>
    </row>
    <row r="145" spans="1:13" s="323" customFormat="1" ht="14.1" customHeight="1">
      <c r="A145" s="310" t="s">
        <v>522</v>
      </c>
      <c r="B145" s="280">
        <v>594460.24399999995</v>
      </c>
      <c r="C145" s="280">
        <v>1343612.3630000001</v>
      </c>
      <c r="D145" s="280">
        <v>1524851.327</v>
      </c>
      <c r="E145" s="280">
        <v>2960520.068</v>
      </c>
      <c r="F145" s="280">
        <v>3045950.5619999999</v>
      </c>
      <c r="G145" s="280">
        <v>4032519.4189999998</v>
      </c>
      <c r="H145" s="280">
        <v>8265869.0489999996</v>
      </c>
      <c r="I145" s="280">
        <v>8220164.6050000004</v>
      </c>
      <c r="J145" s="280">
        <v>18712942.873999998</v>
      </c>
      <c r="K145" s="280">
        <v>17704318.714000002</v>
      </c>
      <c r="L145" s="280">
        <v>116017318.075</v>
      </c>
      <c r="M145" s="808">
        <f t="shared" si="7"/>
        <v>182422527.30000001</v>
      </c>
    </row>
    <row r="146" spans="1:13" s="323" customFormat="1" ht="14.1" customHeight="1">
      <c r="A146" s="310" t="s">
        <v>525</v>
      </c>
      <c r="B146" s="280">
        <v>7979527.8811999969</v>
      </c>
      <c r="C146" s="280">
        <v>20062334.057999998</v>
      </c>
      <c r="D146" s="280">
        <v>36452148.162</v>
      </c>
      <c r="E146" s="280">
        <v>48053201.520000003</v>
      </c>
      <c r="F146" s="280">
        <v>60013999.423000008</v>
      </c>
      <c r="G146" s="280">
        <v>65666614.824999996</v>
      </c>
      <c r="H146" s="280">
        <v>135958636.38999999</v>
      </c>
      <c r="I146" s="280">
        <v>121804692.38100001</v>
      </c>
      <c r="J146" s="280">
        <v>241070975.66999996</v>
      </c>
      <c r="K146" s="280">
        <v>187431246.98000002</v>
      </c>
      <c r="L146" s="280">
        <v>773564365.86800003</v>
      </c>
      <c r="M146" s="808">
        <f t="shared" si="7"/>
        <v>1698057743.1582</v>
      </c>
    </row>
    <row r="147" spans="1:13" s="323" customFormat="1" ht="14.1" customHeight="1">
      <c r="A147" s="309" t="s">
        <v>401</v>
      </c>
      <c r="B147" s="276">
        <v>2811610.4641999998</v>
      </c>
      <c r="C147" s="276">
        <v>9443934.4780000001</v>
      </c>
      <c r="D147" s="276">
        <v>17602687.015999999</v>
      </c>
      <c r="E147" s="276">
        <v>23835902.743999999</v>
      </c>
      <c r="F147" s="276">
        <v>28832446.953999996</v>
      </c>
      <c r="G147" s="276">
        <v>32309294.413999997</v>
      </c>
      <c r="H147" s="276">
        <v>73110088.116999999</v>
      </c>
      <c r="I147" s="276">
        <v>82455396.304000005</v>
      </c>
      <c r="J147" s="276">
        <v>201779389.67900002</v>
      </c>
      <c r="K147" s="276">
        <v>166176287.359</v>
      </c>
      <c r="L147" s="276">
        <v>616431979.80400002</v>
      </c>
      <c r="M147" s="808">
        <f t="shared" si="7"/>
        <v>1254789017.3332</v>
      </c>
    </row>
    <row r="148" spans="1:13" s="323" customFormat="1" ht="21" customHeight="1">
      <c r="A148" s="309" t="s">
        <v>405</v>
      </c>
      <c r="B148" s="284">
        <v>1235732.2690000001</v>
      </c>
      <c r="C148" s="284">
        <v>3731647.8</v>
      </c>
      <c r="D148" s="284">
        <v>7208217.3949999996</v>
      </c>
      <c r="E148" s="284">
        <v>10048836.541000001</v>
      </c>
      <c r="F148" s="284">
        <v>12583842.164000001</v>
      </c>
      <c r="G148" s="284">
        <v>13682411.225</v>
      </c>
      <c r="H148" s="284">
        <v>31420045.868999999</v>
      </c>
      <c r="I148" s="284">
        <v>35746990.614</v>
      </c>
      <c r="J148" s="284">
        <v>88164472.562999994</v>
      </c>
      <c r="K148" s="284">
        <v>76399847.5</v>
      </c>
      <c r="L148" s="284">
        <v>218824810.586</v>
      </c>
      <c r="M148" s="456">
        <f t="shared" si="7"/>
        <v>499046854.52600002</v>
      </c>
    </row>
    <row r="149" spans="1:13" s="323" customFormat="1" ht="14.1" customHeight="1">
      <c r="A149" s="309" t="s">
        <v>409</v>
      </c>
      <c r="B149" s="276">
        <v>1557427.5339999998</v>
      </c>
      <c r="C149" s="276">
        <v>4573527.4180000005</v>
      </c>
      <c r="D149" s="276">
        <v>7675888.6490000002</v>
      </c>
      <c r="E149" s="276">
        <v>10905417.431</v>
      </c>
      <c r="F149" s="276">
        <v>13153206.445</v>
      </c>
      <c r="G149" s="276">
        <v>15634980.717</v>
      </c>
      <c r="H149" s="276">
        <v>25702956.714000002</v>
      </c>
      <c r="I149" s="276">
        <v>21002060.667999998</v>
      </c>
      <c r="J149" s="276">
        <v>37680912.399999999</v>
      </c>
      <c r="K149" s="276">
        <v>22521611.116999999</v>
      </c>
      <c r="L149" s="276">
        <v>89390742.238000005</v>
      </c>
      <c r="M149" s="808">
        <f t="shared" si="7"/>
        <v>249798731.331</v>
      </c>
    </row>
    <row r="150" spans="1:13" s="323" customFormat="1" ht="14.1" customHeight="1">
      <c r="A150" s="309" t="s">
        <v>413</v>
      </c>
      <c r="B150" s="276">
        <v>13627533.165900003</v>
      </c>
      <c r="C150" s="276">
        <v>42919641.054000005</v>
      </c>
      <c r="D150" s="276">
        <v>82914731.224999994</v>
      </c>
      <c r="E150" s="276">
        <v>111398927.15879999</v>
      </c>
      <c r="F150" s="276">
        <v>131462612.81</v>
      </c>
      <c r="G150" s="276">
        <v>152809440.55199999</v>
      </c>
      <c r="H150" s="276">
        <v>334321162.77800006</v>
      </c>
      <c r="I150" s="276">
        <v>321033848.98300004</v>
      </c>
      <c r="J150" s="276">
        <v>684553902.72399998</v>
      </c>
      <c r="K150" s="276">
        <v>526484617.57700002</v>
      </c>
      <c r="L150" s="276">
        <v>1447260601.362</v>
      </c>
      <c r="M150" s="808">
        <f t="shared" si="7"/>
        <v>3848787019.3896999</v>
      </c>
    </row>
    <row r="151" spans="1:13" s="323" customFormat="1" ht="14.1" customHeight="1">
      <c r="A151" s="309" t="s">
        <v>417</v>
      </c>
      <c r="B151" s="276">
        <v>16540019.406200003</v>
      </c>
      <c r="C151" s="276">
        <v>55695822.017000005</v>
      </c>
      <c r="D151" s="276">
        <v>104356973.81799999</v>
      </c>
      <c r="E151" s="276">
        <v>141901339.75300002</v>
      </c>
      <c r="F151" s="276">
        <v>165845125.79659998</v>
      </c>
      <c r="G151" s="276">
        <v>188205926.42199999</v>
      </c>
      <c r="H151" s="276">
        <v>376304544.01600003</v>
      </c>
      <c r="I151" s="276">
        <v>346412720.89700001</v>
      </c>
      <c r="J151" s="276">
        <v>694397181.20500004</v>
      </c>
      <c r="K151" s="276">
        <v>507660790.44900006</v>
      </c>
      <c r="L151" s="276">
        <v>2176726377.0627999</v>
      </c>
      <c r="M151" s="808">
        <f t="shared" si="7"/>
        <v>4774046820.8425999</v>
      </c>
    </row>
    <row r="152" spans="1:13" s="323" customFormat="1" ht="14.1" customHeight="1">
      <c r="A152" s="309" t="s">
        <v>421</v>
      </c>
      <c r="B152" s="276">
        <v>480083.07199999999</v>
      </c>
      <c r="C152" s="276">
        <v>1177582.0899999999</v>
      </c>
      <c r="D152" s="276">
        <v>2471959.1</v>
      </c>
      <c r="E152" s="276">
        <v>2962552.6680000001</v>
      </c>
      <c r="F152" s="276">
        <v>3706257.8709999998</v>
      </c>
      <c r="G152" s="276">
        <v>4168328.1890000002</v>
      </c>
      <c r="H152" s="276">
        <v>7370600.0609999998</v>
      </c>
      <c r="I152" s="276">
        <v>6995293.432</v>
      </c>
      <c r="J152" s="276">
        <v>12278482.879000001</v>
      </c>
      <c r="K152" s="276">
        <v>11575832.844000001</v>
      </c>
      <c r="L152" s="276">
        <v>20934822.588</v>
      </c>
      <c r="M152" s="808">
        <f t="shared" si="7"/>
        <v>74121794.794</v>
      </c>
    </row>
    <row r="153" spans="1:13" s="323" customFormat="1" ht="21" customHeight="1">
      <c r="A153" s="309" t="s">
        <v>425</v>
      </c>
      <c r="B153" s="276">
        <v>2845812.1370000001</v>
      </c>
      <c r="C153" s="276">
        <v>10041510.726</v>
      </c>
      <c r="D153" s="276">
        <v>20312068.195</v>
      </c>
      <c r="E153" s="276">
        <v>26340572.941</v>
      </c>
      <c r="F153" s="276">
        <v>31739201.906999998</v>
      </c>
      <c r="G153" s="276">
        <v>34055363.292000003</v>
      </c>
      <c r="H153" s="276">
        <v>70721967.578999996</v>
      </c>
      <c r="I153" s="276">
        <v>58023618.583000004</v>
      </c>
      <c r="J153" s="276">
        <v>89213365.203000009</v>
      </c>
      <c r="K153" s="276">
        <v>50713519.171999998</v>
      </c>
      <c r="L153" s="276">
        <v>81727432.916000009</v>
      </c>
      <c r="M153" s="808">
        <f t="shared" si="7"/>
        <v>475734432.65099996</v>
      </c>
    </row>
    <row r="154" spans="1:13" s="323" customFormat="1" ht="14.1" customHeight="1">
      <c r="A154" s="309" t="s">
        <v>429</v>
      </c>
      <c r="B154" s="276">
        <v>834980.54300000006</v>
      </c>
      <c r="C154" s="276">
        <v>2236570.344</v>
      </c>
      <c r="D154" s="276">
        <v>3183769.727</v>
      </c>
      <c r="E154" s="276">
        <v>3997999.2199999997</v>
      </c>
      <c r="F154" s="276">
        <v>5439511.6579999998</v>
      </c>
      <c r="G154" s="276">
        <v>5777696.6770000001</v>
      </c>
      <c r="H154" s="276">
        <v>14812959</v>
      </c>
      <c r="I154" s="276">
        <v>17289349</v>
      </c>
      <c r="J154" s="276">
        <v>46374540.774000004</v>
      </c>
      <c r="K154" s="276">
        <v>49947122.515000001</v>
      </c>
      <c r="L154" s="276">
        <v>334882380.55699998</v>
      </c>
      <c r="M154" s="808">
        <f t="shared" si="7"/>
        <v>484776880.01499999</v>
      </c>
    </row>
    <row r="155" spans="1:13" s="323" customFormat="1" ht="14.1" customHeight="1">
      <c r="A155" s="309" t="s">
        <v>433</v>
      </c>
      <c r="B155" s="276">
        <v>5799102.3819999993</v>
      </c>
      <c r="C155" s="276">
        <v>22837096.765999999</v>
      </c>
      <c r="D155" s="276">
        <v>45945574.759999998</v>
      </c>
      <c r="E155" s="276">
        <v>60950961.795000002</v>
      </c>
      <c r="F155" s="276">
        <v>73601044.629999995</v>
      </c>
      <c r="G155" s="276">
        <v>84127434.951000005</v>
      </c>
      <c r="H155" s="276">
        <v>177116459.17799997</v>
      </c>
      <c r="I155" s="276">
        <v>181004394.23100001</v>
      </c>
      <c r="J155" s="276">
        <v>368267955.36500001</v>
      </c>
      <c r="K155" s="276">
        <v>262265824.289</v>
      </c>
      <c r="L155" s="276">
        <v>517748441.45999998</v>
      </c>
      <c r="M155" s="808">
        <f t="shared" si="7"/>
        <v>1799664289.8070002</v>
      </c>
    </row>
    <row r="156" spans="1:13" s="323" customFormat="1" ht="14.1" customHeight="1">
      <c r="A156" s="309" t="s">
        <v>437</v>
      </c>
      <c r="B156" s="276">
        <v>1438629.2670000002</v>
      </c>
      <c r="C156" s="276">
        <v>3994557.392</v>
      </c>
      <c r="D156" s="276">
        <v>6469165.5889999997</v>
      </c>
      <c r="E156" s="276">
        <v>8193235.6109999996</v>
      </c>
      <c r="F156" s="276">
        <v>8555695.0219999999</v>
      </c>
      <c r="G156" s="276">
        <v>10247331.653999999</v>
      </c>
      <c r="H156" s="276">
        <v>20898483.092</v>
      </c>
      <c r="I156" s="276">
        <v>19584973.892999999</v>
      </c>
      <c r="J156" s="276">
        <v>42466614.409999996</v>
      </c>
      <c r="K156" s="276">
        <v>38154125.637000002</v>
      </c>
      <c r="L156" s="276">
        <v>115334689.603</v>
      </c>
      <c r="M156" s="808">
        <f t="shared" si="7"/>
        <v>275337501.17000002</v>
      </c>
    </row>
    <row r="157" spans="1:13" s="323" customFormat="1" ht="14.1" customHeight="1">
      <c r="A157" s="309" t="s">
        <v>441</v>
      </c>
      <c r="B157" s="276">
        <v>18290370.8167</v>
      </c>
      <c r="C157" s="276">
        <v>58052931.442400008</v>
      </c>
      <c r="D157" s="276">
        <v>109525743.83699998</v>
      </c>
      <c r="E157" s="276">
        <v>145834648.24799997</v>
      </c>
      <c r="F157" s="276">
        <v>170996443.664</v>
      </c>
      <c r="G157" s="276">
        <v>206507586.00199997</v>
      </c>
      <c r="H157" s="276">
        <v>437506521.51300001</v>
      </c>
      <c r="I157" s="276">
        <v>439458669.59399998</v>
      </c>
      <c r="J157" s="276">
        <v>802346259.99100018</v>
      </c>
      <c r="K157" s="276">
        <v>536481229.05599999</v>
      </c>
      <c r="L157" s="276">
        <v>4776272230.0120001</v>
      </c>
      <c r="M157" s="808">
        <f t="shared" ref="M157:M165" si="8">SUM(B157:L157)</f>
        <v>7701272634.1760998</v>
      </c>
    </row>
    <row r="158" spans="1:13" s="323" customFormat="1" ht="21" customHeight="1">
      <c r="A158" s="309" t="s">
        <v>27</v>
      </c>
      <c r="B158" s="276">
        <v>8877149.8876999989</v>
      </c>
      <c r="C158" s="276">
        <v>27242967.143000003</v>
      </c>
      <c r="D158" s="276">
        <v>49523584.609999999</v>
      </c>
      <c r="E158" s="276">
        <v>68177932.522</v>
      </c>
      <c r="F158" s="276">
        <v>85819583.798000008</v>
      </c>
      <c r="G158" s="276">
        <v>103806117.208</v>
      </c>
      <c r="H158" s="276">
        <v>219419704.396</v>
      </c>
      <c r="I158" s="276">
        <v>189629159.75299999</v>
      </c>
      <c r="J158" s="276">
        <v>330740296.727</v>
      </c>
      <c r="K158" s="276">
        <v>221920850.63699999</v>
      </c>
      <c r="L158" s="276">
        <v>941448629.62400007</v>
      </c>
      <c r="M158" s="808">
        <f t="shared" si="8"/>
        <v>2246605976.3057003</v>
      </c>
    </row>
    <row r="159" spans="1:13" s="323" customFormat="1" ht="14.1" customHeight="1">
      <c r="A159" s="309" t="s">
        <v>449</v>
      </c>
      <c r="B159" s="276">
        <v>2162088.449</v>
      </c>
      <c r="C159" s="276">
        <v>6159746.6970000006</v>
      </c>
      <c r="D159" s="276">
        <v>10173658.903000001</v>
      </c>
      <c r="E159" s="276">
        <v>13378919.607000001</v>
      </c>
      <c r="F159" s="276">
        <v>18084494.649</v>
      </c>
      <c r="G159" s="276">
        <v>21708992.048</v>
      </c>
      <c r="H159" s="276">
        <v>50381768.386</v>
      </c>
      <c r="I159" s="276">
        <v>49906434.370000005</v>
      </c>
      <c r="J159" s="276">
        <v>101827706.891</v>
      </c>
      <c r="K159" s="276">
        <v>87448844.856999993</v>
      </c>
      <c r="L159" s="276">
        <v>369379319.01899999</v>
      </c>
      <c r="M159" s="808">
        <f t="shared" si="8"/>
        <v>730611973.87599993</v>
      </c>
    </row>
    <row r="160" spans="1:13" s="323" customFormat="1" ht="14.1" customHeight="1">
      <c r="A160" s="309" t="s">
        <v>453</v>
      </c>
      <c r="B160" s="276">
        <v>2052792.983</v>
      </c>
      <c r="C160" s="276">
        <v>6203031.409</v>
      </c>
      <c r="D160" s="276">
        <v>10848134.009</v>
      </c>
      <c r="E160" s="276">
        <v>16393257.640000001</v>
      </c>
      <c r="F160" s="276">
        <v>18465028.978999998</v>
      </c>
      <c r="G160" s="276">
        <v>23302176.623</v>
      </c>
      <c r="H160" s="276">
        <v>54101297.631999999</v>
      </c>
      <c r="I160" s="276">
        <v>55440584.995999999</v>
      </c>
      <c r="J160" s="276">
        <v>108214289.616</v>
      </c>
      <c r="K160" s="276">
        <v>86093622.400000006</v>
      </c>
      <c r="L160" s="276">
        <v>242352426.236</v>
      </c>
      <c r="M160" s="808">
        <f t="shared" si="8"/>
        <v>623466642.523</v>
      </c>
    </row>
    <row r="161" spans="1:13" s="323" customFormat="1" ht="14.1" customHeight="1">
      <c r="A161" s="309" t="s">
        <v>457</v>
      </c>
      <c r="B161" s="276">
        <v>6185986.6490000002</v>
      </c>
      <c r="C161" s="276">
        <v>19302451.943</v>
      </c>
      <c r="D161" s="276">
        <v>34409767.145000003</v>
      </c>
      <c r="E161" s="276">
        <v>47398508.342999995</v>
      </c>
      <c r="F161" s="276">
        <v>54302823.723000005</v>
      </c>
      <c r="G161" s="276">
        <v>64726508.877999999</v>
      </c>
      <c r="H161" s="276">
        <v>139090879.495</v>
      </c>
      <c r="I161" s="276">
        <v>143822604.986</v>
      </c>
      <c r="J161" s="276">
        <v>338356768.28999996</v>
      </c>
      <c r="K161" s="276">
        <v>318809665.20300001</v>
      </c>
      <c r="L161" s="276">
        <v>1426072171.6900001</v>
      </c>
      <c r="M161" s="808">
        <f t="shared" si="8"/>
        <v>2592478136.3450003</v>
      </c>
    </row>
    <row r="162" spans="1:13" s="323" customFormat="1" ht="21" customHeight="1">
      <c r="A162" s="309" t="s">
        <v>28</v>
      </c>
      <c r="B162" s="276">
        <v>34770197.611399978</v>
      </c>
      <c r="C162" s="276">
        <v>96398151.809799969</v>
      </c>
      <c r="D162" s="276">
        <v>160911050.91100001</v>
      </c>
      <c r="E162" s="276">
        <v>222003187.317</v>
      </c>
      <c r="F162" s="276">
        <v>276382997.958</v>
      </c>
      <c r="G162" s="276">
        <v>322704653.51200002</v>
      </c>
      <c r="H162" s="276">
        <v>725930584.69199991</v>
      </c>
      <c r="I162" s="276">
        <v>803512091.61899996</v>
      </c>
      <c r="J162" s="276">
        <v>1801466418.7419999</v>
      </c>
      <c r="K162" s="276">
        <v>1582420284.7350001</v>
      </c>
      <c r="L162" s="276">
        <v>8439477979.7370005</v>
      </c>
      <c r="M162" s="808">
        <f>SUM(B162:L162)</f>
        <v>14465977598.644199</v>
      </c>
    </row>
    <row r="163" spans="1:13" s="323" customFormat="1" ht="14.1" customHeight="1">
      <c r="A163" s="309" t="s">
        <v>462</v>
      </c>
      <c r="B163" s="276">
        <v>1711143.689</v>
      </c>
      <c r="C163" s="276">
        <v>5649349.6840000004</v>
      </c>
      <c r="D163" s="276">
        <v>9486431.4419999998</v>
      </c>
      <c r="E163" s="276">
        <v>12892862.707</v>
      </c>
      <c r="F163" s="276">
        <v>16874959.315000001</v>
      </c>
      <c r="G163" s="276">
        <v>21546965.145</v>
      </c>
      <c r="H163" s="276">
        <v>48476156.942000002</v>
      </c>
      <c r="I163" s="276">
        <v>48236323.567000002</v>
      </c>
      <c r="J163" s="276">
        <v>95610757.238000005</v>
      </c>
      <c r="K163" s="276">
        <v>67007747.25</v>
      </c>
      <c r="L163" s="276">
        <v>170066840.90099999</v>
      </c>
      <c r="M163" s="808">
        <f t="shared" si="8"/>
        <v>497559537.88</v>
      </c>
    </row>
    <row r="164" spans="1:13" s="323" customFormat="1" ht="14.1" customHeight="1">
      <c r="A164" s="309" t="s">
        <v>465</v>
      </c>
      <c r="B164" s="276">
        <v>2104345.1529999999</v>
      </c>
      <c r="C164" s="276">
        <v>4415817.6559999995</v>
      </c>
      <c r="D164" s="276">
        <v>6101307.1859999998</v>
      </c>
      <c r="E164" s="276">
        <v>8012515.3220000006</v>
      </c>
      <c r="F164" s="276">
        <v>10386889.215</v>
      </c>
      <c r="G164" s="276">
        <v>9927781.7540000007</v>
      </c>
      <c r="H164" s="276">
        <v>21230953.414999999</v>
      </c>
      <c r="I164" s="276">
        <v>22361356.810000002</v>
      </c>
      <c r="J164" s="276">
        <v>45889096.844000004</v>
      </c>
      <c r="K164" s="276">
        <v>37430515.805</v>
      </c>
      <c r="L164" s="276">
        <v>204986118.68699998</v>
      </c>
      <c r="M164" s="808">
        <f t="shared" si="8"/>
        <v>372846697.847</v>
      </c>
    </row>
    <row r="165" spans="1:13" s="323" customFormat="1" ht="14.1" customHeight="1">
      <c r="A165" s="310" t="s">
        <v>468</v>
      </c>
      <c r="B165" s="280">
        <v>2844064.2286000005</v>
      </c>
      <c r="C165" s="280">
        <v>7539702.2659999998</v>
      </c>
      <c r="D165" s="280">
        <v>12350511.454000002</v>
      </c>
      <c r="E165" s="280">
        <v>17071477.493000001</v>
      </c>
      <c r="F165" s="280">
        <v>19556442.631000001</v>
      </c>
      <c r="G165" s="280">
        <v>25395155.943999998</v>
      </c>
      <c r="H165" s="280">
        <v>57621403.202</v>
      </c>
      <c r="I165" s="280">
        <v>54754523.967</v>
      </c>
      <c r="J165" s="280">
        <v>109691140.96699999</v>
      </c>
      <c r="K165" s="280">
        <v>80789153.604000002</v>
      </c>
      <c r="L165" s="280">
        <v>376989911.26300001</v>
      </c>
      <c r="M165" s="808">
        <f t="shared" si="8"/>
        <v>764603487.01960003</v>
      </c>
    </row>
    <row r="166" spans="1:13" ht="9" customHeight="1">
      <c r="A166" s="310"/>
      <c r="B166" s="347"/>
      <c r="C166" s="347"/>
      <c r="D166" s="347"/>
      <c r="E166" s="347"/>
      <c r="F166" s="347"/>
      <c r="G166" s="347"/>
      <c r="H166" s="347"/>
      <c r="I166" s="342"/>
      <c r="J166" s="342"/>
      <c r="K166" s="342"/>
      <c r="L166" s="342"/>
      <c r="M166" s="380"/>
    </row>
    <row r="167" spans="1:13" s="339" customFormat="1" ht="18" customHeight="1">
      <c r="A167" s="337" t="s">
        <v>29</v>
      </c>
      <c r="B167" s="338">
        <f>SUM(B128:B165)</f>
        <v>205186831.49289998</v>
      </c>
      <c r="C167" s="338">
        <f t="shared" ref="C167:M167" si="9">SUM(C128:C165)</f>
        <v>607619398.40859997</v>
      </c>
      <c r="D167" s="338">
        <f t="shared" si="9"/>
        <v>1077824795.1163001</v>
      </c>
      <c r="E167" s="338">
        <f t="shared" si="9"/>
        <v>1447657679.2228</v>
      </c>
      <c r="F167" s="338">
        <f t="shared" si="9"/>
        <v>1753804205.0990002</v>
      </c>
      <c r="G167" s="338">
        <f t="shared" si="9"/>
        <v>2040469315.757</v>
      </c>
      <c r="H167" s="338">
        <f t="shared" si="9"/>
        <v>4411096089.9347</v>
      </c>
      <c r="I167" s="338">
        <f t="shared" si="9"/>
        <v>4446735461.3070002</v>
      </c>
      <c r="J167" s="338">
        <f t="shared" si="9"/>
        <v>9556687782.0195999</v>
      </c>
      <c r="K167" s="338">
        <f t="shared" si="9"/>
        <v>7801701551.078001</v>
      </c>
      <c r="L167" s="338">
        <f t="shared" si="9"/>
        <v>39835604290.535805</v>
      </c>
      <c r="M167" s="338">
        <f t="shared" si="9"/>
        <v>73184387399.97171</v>
      </c>
    </row>
    <row r="168" spans="1:13" s="339" customFormat="1" ht="18" customHeight="1">
      <c r="A168" s="337" t="s">
        <v>24</v>
      </c>
      <c r="B168" s="500">
        <f t="shared" ref="B168:M168" si="10">B118</f>
        <v>444914192.74549991</v>
      </c>
      <c r="C168" s="500">
        <f t="shared" si="10"/>
        <v>1196632660.717</v>
      </c>
      <c r="D168" s="500">
        <f t="shared" si="10"/>
        <v>1968677719.0023997</v>
      </c>
      <c r="E168" s="500">
        <f t="shared" si="10"/>
        <v>2607828568.4460998</v>
      </c>
      <c r="F168" s="500">
        <f t="shared" si="10"/>
        <v>3281450665.1157999</v>
      </c>
      <c r="G168" s="500">
        <f t="shared" si="10"/>
        <v>3834778887.5289001</v>
      </c>
      <c r="H168" s="500">
        <f t="shared" si="10"/>
        <v>8738830521.1079006</v>
      </c>
      <c r="I168" s="500">
        <f t="shared" si="10"/>
        <v>9247195181.3281002</v>
      </c>
      <c r="J168" s="500">
        <f t="shared" si="10"/>
        <v>22788248097.291</v>
      </c>
      <c r="K168" s="500">
        <f t="shared" si="10"/>
        <v>21976536296.640797</v>
      </c>
      <c r="L168" s="500">
        <f t="shared" si="10"/>
        <v>158871904720.5304</v>
      </c>
      <c r="M168" s="504">
        <f t="shared" si="10"/>
        <v>234956997510.45389</v>
      </c>
    </row>
    <row r="169" spans="1:13" s="323" customFormat="1" ht="18" customHeight="1">
      <c r="A169" s="337" t="s">
        <v>698</v>
      </c>
      <c r="B169" s="276">
        <v>59751414.373599887</v>
      </c>
      <c r="C169" s="276">
        <v>122572657.92849995</v>
      </c>
      <c r="D169" s="276">
        <v>147489751.82210004</v>
      </c>
      <c r="E169" s="276">
        <v>160687998.86439961</v>
      </c>
      <c r="F169" s="276">
        <v>170273127.86750025</v>
      </c>
      <c r="G169" s="276">
        <v>180855316.29699999</v>
      </c>
      <c r="H169" s="276">
        <v>358576133.84249884</v>
      </c>
      <c r="I169" s="276">
        <v>338845493.97970068</v>
      </c>
      <c r="J169" s="276">
        <v>728371820.26200187</v>
      </c>
      <c r="K169" s="276">
        <v>573215125.8071003</v>
      </c>
      <c r="L169" s="276">
        <v>5400750631.5031099</v>
      </c>
      <c r="M169" s="808">
        <f t="shared" ref="M169" si="11">SUM(B169:L169)</f>
        <v>8241389472.5475121</v>
      </c>
    </row>
    <row r="170" spans="1:13" s="339" customFormat="1" ht="12" customHeight="1">
      <c r="A170" s="337"/>
      <c r="B170" s="500"/>
      <c r="C170" s="500"/>
      <c r="D170" s="500"/>
      <c r="E170" s="500"/>
      <c r="F170" s="500"/>
      <c r="G170" s="500"/>
      <c r="H170" s="500"/>
      <c r="I170" s="500"/>
      <c r="J170" s="500"/>
      <c r="K170" s="500"/>
      <c r="L170" s="500"/>
      <c r="M170" s="504"/>
    </row>
    <row r="171" spans="1:13" s="339" customFormat="1" ht="18" customHeight="1">
      <c r="A171" s="337" t="s">
        <v>30</v>
      </c>
      <c r="B171" s="1312">
        <f>SUM(B167:B169)</f>
        <v>709852438.61199975</v>
      </c>
      <c r="C171" s="1312">
        <f t="shared" ref="C171:K171" si="12">SUM(C167:C169)</f>
        <v>1926824717.0540998</v>
      </c>
      <c r="D171" s="1312">
        <f t="shared" si="12"/>
        <v>3193992265.9408002</v>
      </c>
      <c r="E171" s="1312">
        <f t="shared" si="12"/>
        <v>4216174246.533299</v>
      </c>
      <c r="F171" s="1312">
        <f t="shared" si="12"/>
        <v>5205527998.0823002</v>
      </c>
      <c r="G171" s="1312">
        <f t="shared" si="12"/>
        <v>6056103519.5829</v>
      </c>
      <c r="H171" s="1312">
        <f t="shared" si="12"/>
        <v>13508502744.885099</v>
      </c>
      <c r="I171" s="1312">
        <f t="shared" si="12"/>
        <v>14032776136.614801</v>
      </c>
      <c r="J171" s="1312">
        <f t="shared" si="12"/>
        <v>33073307699.572601</v>
      </c>
      <c r="K171" s="1312">
        <f t="shared" si="12"/>
        <v>30351452973.525894</v>
      </c>
      <c r="L171" s="1312">
        <f>SUM(L167:L169)</f>
        <v>204108259642.56931</v>
      </c>
      <c r="M171" s="1313">
        <f>SUM(M167:M169)</f>
        <v>316382774382.97308</v>
      </c>
    </row>
    <row r="172" spans="1:13" ht="9" customHeight="1"/>
    <row r="173" spans="1:13" s="1171" customFormat="1" ht="12.75">
      <c r="A173" s="1171" t="s">
        <v>19</v>
      </c>
      <c r="M173" s="1172"/>
    </row>
    <row r="174" spans="1:13" s="1171" customFormat="1" ht="12.75">
      <c r="A174" s="1173" t="s">
        <v>928</v>
      </c>
      <c r="M174" s="1174"/>
    </row>
    <row r="175" spans="1:13" s="1171" customFormat="1" ht="12.75">
      <c r="A175" s="1171" t="s">
        <v>699</v>
      </c>
      <c r="M175" s="1174"/>
    </row>
    <row r="176" spans="1:13" s="1068" customFormat="1" ht="12.75" customHeight="1">
      <c r="A176" s="1120" t="s">
        <v>1158</v>
      </c>
      <c r="B176" s="1072"/>
      <c r="C176" s="1072"/>
      <c r="D176" s="1072"/>
      <c r="E176" s="1073"/>
    </row>
  </sheetData>
  <customSheetViews>
    <customSheetView guid="{E6BBE5A7-0B25-4EE8-BA45-5EA5DBAF3AD4}" showPageBreaks="1" outlineSymbols="0" printArea="1">
      <selection activeCell="A4" sqref="A4"/>
      <rowBreaks count="4" manualBreakCount="4">
        <brk id="43" max="16383" man="1"/>
        <brk id="86" max="12" man="1"/>
        <brk id="129" max="12" man="1"/>
        <brk id="173" max="12" man="1"/>
      </rowBreaks>
      <pageMargins left="0.25" right="0.25" top="0.5" bottom="1" header="0.5" footer="0.5"/>
      <printOptions horizontalCentered="1"/>
      <pageSetup scale="61" firstPageNumber="7" fitToHeight="5" orientation="landscape" useFirstPageNumber="1" r:id="rId1"/>
      <headerFooter alignWithMargins="0"/>
    </customSheetView>
  </customSheetViews>
  <hyperlinks>
    <hyperlink ref="N1" location="TOC!A1" display="Back"/>
  </hyperlinks>
  <pageMargins left="0.5" right="0.25" top="0.4" bottom="0.25" header="0.25" footer="0.25"/>
  <pageSetup scale="67" firstPageNumber="7" fitToHeight="4" orientation="landscape" r:id="rId2"/>
  <headerFooter scaleWithDoc="0">
    <oddHeader>&amp;R&amp;P</oddHeader>
  </headerFooter>
  <rowBreaks count="3" manualBreakCount="3">
    <brk id="42" max="12" man="1"/>
    <brk id="84" max="12" man="1"/>
    <brk id="120" max="1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31</vt:i4>
      </vt:variant>
      <vt:variant>
        <vt:lpstr>Named Ranges</vt:lpstr>
      </vt:variant>
      <vt:variant>
        <vt:i4>33</vt:i4>
      </vt:variant>
    </vt:vector>
  </HeadingPairs>
  <TitlesOfParts>
    <vt:vector size="64" baseType="lpstr">
      <vt:lpstr>TitlePage</vt:lpstr>
      <vt:lpstr>TOC</vt:lpstr>
      <vt:lpstr>RevExp</vt:lpstr>
      <vt:lpstr>ByAcct</vt:lpstr>
      <vt:lpstr>1.1</vt:lpstr>
      <vt:lpstr>1.2</vt:lpstr>
      <vt:lpstr>1.3</vt:lpstr>
      <vt:lpstr>1.4</vt:lpstr>
      <vt:lpstr>1.5</vt:lpstr>
      <vt:lpstr>1.6</vt:lpstr>
      <vt:lpstr>1.7</vt:lpstr>
      <vt:lpstr>1.8-1.9</vt:lpstr>
      <vt:lpstr>1.10</vt:lpstr>
      <vt:lpstr>2.1</vt:lpstr>
      <vt:lpstr>2.2</vt:lpstr>
      <vt:lpstr>3.1</vt:lpstr>
      <vt:lpstr>4.1</vt:lpstr>
      <vt:lpstr>4.2</vt:lpstr>
      <vt:lpstr>4.3</vt:lpstr>
      <vt:lpstr>5.1</vt:lpstr>
      <vt:lpstr>5.2</vt:lpstr>
      <vt:lpstr>5.3-5.4</vt:lpstr>
      <vt:lpstr>5.5</vt:lpstr>
      <vt:lpstr>5.6</vt:lpstr>
      <vt:lpstr>5.7</vt:lpstr>
      <vt:lpstr>6.1</vt:lpstr>
      <vt:lpstr>6.2</vt:lpstr>
      <vt:lpstr>6.3</vt:lpstr>
      <vt:lpstr>6.4</vt:lpstr>
      <vt:lpstr>7.1</vt:lpstr>
      <vt:lpstr>Directory</vt:lpstr>
      <vt:lpstr>'3.1'!OLE_LINK1</vt:lpstr>
      <vt:lpstr>'1.1'!Print_Area</vt:lpstr>
      <vt:lpstr>'1.10'!Print_Area</vt:lpstr>
      <vt:lpstr>'1.2'!Print_Area</vt:lpstr>
      <vt:lpstr>'1.3'!Print_Area</vt:lpstr>
      <vt:lpstr>'1.4'!Print_Area</vt:lpstr>
      <vt:lpstr>'1.5'!Print_Area</vt:lpstr>
      <vt:lpstr>'1.6'!Print_Area</vt:lpstr>
      <vt:lpstr>'1.7'!Print_Area</vt:lpstr>
      <vt:lpstr>'1.8-1.9'!Print_Area</vt:lpstr>
      <vt:lpstr>'2.1'!Print_Area</vt:lpstr>
      <vt:lpstr>'2.2'!Print_Area</vt:lpstr>
      <vt:lpstr>'3.1'!Print_Area</vt:lpstr>
      <vt:lpstr>'4.1'!Print_Area</vt:lpstr>
      <vt:lpstr>'4.2'!Print_Area</vt:lpstr>
      <vt:lpstr>'4.3'!Print_Area</vt:lpstr>
      <vt:lpstr>'5.1'!Print_Area</vt:lpstr>
      <vt:lpstr>'5.2'!Print_Area</vt:lpstr>
      <vt:lpstr>'5.3-5.4'!Print_Area</vt:lpstr>
      <vt:lpstr>'5.5'!Print_Area</vt:lpstr>
      <vt:lpstr>'5.6'!Print_Area</vt:lpstr>
      <vt:lpstr>'5.7'!Print_Area</vt:lpstr>
      <vt:lpstr>'6.1'!Print_Area</vt:lpstr>
      <vt:lpstr>'6.2'!Print_Area</vt:lpstr>
      <vt:lpstr>'6.3'!Print_Area</vt:lpstr>
      <vt:lpstr>'6.4'!Print_Area</vt:lpstr>
      <vt:lpstr>'7.1'!Print_Area</vt:lpstr>
      <vt:lpstr>ByAcct!Print_Area</vt:lpstr>
      <vt:lpstr>Directory!Print_Area</vt:lpstr>
      <vt:lpstr>RevExp!Print_Area</vt:lpstr>
      <vt:lpstr>TitlePage!Print_Area</vt:lpstr>
      <vt:lpstr>TOC!Print_Area</vt:lpstr>
      <vt:lpstr>'3.1'!Print_Titles</vt:lpstr>
    </vt:vector>
  </TitlesOfParts>
  <Company>Virginia IT Infrastructure Partnership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Annual Report for Fiscal Year 2020</dc:title>
  <dc:subject>Department of Taxation's Annual Report for Fiscal Year 2020</dc:subject>
  <dc:creator>Virginia Tax</dc:creator>
  <cp:lastModifiedBy>Frank B</cp:lastModifiedBy>
  <cp:lastPrinted>2022-01-05T20:07:54Z</cp:lastPrinted>
  <dcterms:created xsi:type="dcterms:W3CDTF">2008-10-20T18:07:18Z</dcterms:created>
  <dcterms:modified xsi:type="dcterms:W3CDTF">2022-01-06T20:03:16Z</dcterms:modified>
</cp:coreProperties>
</file>