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drawings/drawing10.xml" ContentType="application/vnd.openxmlformats-officedocument.drawing+xml"/>
  <Override PartName="/xl/comments2.xml" ContentType="application/vnd.openxmlformats-officedocument.spreadsheetml.comments+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X:\_TAX Annual Report\"/>
    </mc:Choice>
  </mc:AlternateContent>
  <xr:revisionPtr revIDLastSave="0" documentId="13_ncr:1_{2A6F029F-A5BC-4998-922E-8962EBBFFAF1}" xr6:coauthVersionLast="47" xr6:coauthVersionMax="47" xr10:uidLastSave="{00000000-0000-0000-0000-000000000000}"/>
  <bookViews>
    <workbookView xWindow="28680" yWindow="-120" windowWidth="19440" windowHeight="15600" tabRatio="860" xr2:uid="{00000000-000D-0000-FFFF-FFFF00000000}"/>
  </bookViews>
  <sheets>
    <sheet name="TitlePage" sheetId="1" r:id="rId1"/>
    <sheet name="TOC" sheetId="2" r:id="rId2"/>
    <sheet name="RevExp" sheetId="3" r:id="rId3"/>
    <sheet name="ByAcct" sheetId="4" r:id="rId4"/>
    <sheet name="1.1" sheetId="5" r:id="rId5"/>
    <sheet name="1.2" sheetId="6" r:id="rId6"/>
    <sheet name="1.3" sheetId="7" r:id="rId7"/>
    <sheet name="1.4" sheetId="8" r:id="rId8"/>
    <sheet name="1.5" sheetId="9" r:id="rId9"/>
    <sheet name="1.6" sheetId="10" r:id="rId10"/>
    <sheet name="1.6p" sheetId="51" state="hidden" r:id="rId11"/>
    <sheet name="1.7" sheetId="11" r:id="rId12"/>
    <sheet name="1.8-1.9" sheetId="12" r:id="rId13"/>
    <sheet name="1.10" sheetId="13" r:id="rId14"/>
    <sheet name="2.1" sheetId="14" r:id="rId15"/>
    <sheet name="2.2" sheetId="15" r:id="rId16"/>
    <sheet name="3.1" sheetId="16" r:id="rId17"/>
    <sheet name="4.1" sheetId="17" r:id="rId18"/>
    <sheet name="4.1_v1" sheetId="52" state="hidden" r:id="rId19"/>
    <sheet name="4.1k" sheetId="53" state="hidden" r:id="rId20"/>
    <sheet name="4.2" sheetId="18" r:id="rId21"/>
    <sheet name="4.3" sheetId="19" r:id="rId22"/>
    <sheet name="5.1" sheetId="21" r:id="rId23"/>
    <sheet name="5.2" sheetId="22" r:id="rId24"/>
    <sheet name="5.3-5.4" sheetId="23" r:id="rId25"/>
    <sheet name="5.5" sheetId="24" r:id="rId26"/>
    <sheet name="5.6" sheetId="25" r:id="rId27"/>
    <sheet name="5.7" sheetId="32" r:id="rId28"/>
    <sheet name="6.1" sheetId="44" r:id="rId29"/>
    <sheet name="6.1p" sheetId="36" state="hidden" r:id="rId30"/>
    <sheet name="6.2" sheetId="45" r:id="rId31"/>
    <sheet name="6.2p" sheetId="35" state="hidden" r:id="rId32"/>
    <sheet name="6.3" sheetId="46" r:id="rId33"/>
    <sheet name="6.3p" sheetId="49" state="hidden" r:id="rId34"/>
    <sheet name="6.4" sheetId="47" r:id="rId35"/>
    <sheet name="6.4p" sheetId="50" state="hidden" r:id="rId36"/>
    <sheet name="7.1" sheetId="30" r:id="rId37"/>
    <sheet name="Directory" sheetId="31" r:id="rId38"/>
  </sheets>
  <definedNames>
    <definedName name="_1___123Graph_ACHART_2" hidden="1">#REF!</definedName>
    <definedName name="_1__123Graph_ACHART_1" hidden="1">#REF!</definedName>
    <definedName name="_10__123Graph_ACHART_2" localSheetId="11" hidden="1">#REF!</definedName>
    <definedName name="_11__123Graph_ACHART_2" localSheetId="12" hidden="1">#REF!</definedName>
    <definedName name="_11__123Graph_BCHART_2" hidden="1">#REF!</definedName>
    <definedName name="_12__123Graph_ACHART_2" localSheetId="14" hidden="1">#REF!</definedName>
    <definedName name="_13__123Graph_ACHART_2" localSheetId="17" hidden="1">#REF!</definedName>
    <definedName name="_13__123Graph_ACHART_2" localSheetId="18" hidden="1">#REF!</definedName>
    <definedName name="_13__123Graph_ACHART_2" localSheetId="19" hidden="1">#REF!</definedName>
    <definedName name="_14__123Graph_ACHART_2" localSheetId="9" hidden="1">#REF!</definedName>
    <definedName name="_14__123Graph_ACHART_2" localSheetId="10" hidden="1">#REF!</definedName>
    <definedName name="_15__123Graph_ACHART_2" hidden="1">#REF!</definedName>
    <definedName name="_16__123Graph_BCHART_2" localSheetId="8" hidden="1">#REF!</definedName>
    <definedName name="_16__123Graph_XCHART_1" hidden="1">#REF!</definedName>
    <definedName name="_17__123Graph_BCHART_2" localSheetId="11" hidden="1">#REF!</definedName>
    <definedName name="_18__123Graph_BCHART_2" localSheetId="12" hidden="1">#REF!</definedName>
    <definedName name="_19__123Graph_BCHART_2" localSheetId="14" hidden="1">#REF!</definedName>
    <definedName name="_2___123Graph_BCHART_2" hidden="1">#REF!</definedName>
    <definedName name="_20__123Graph_BCHART_2" localSheetId="17" hidden="1">#REF!</definedName>
    <definedName name="_20__123Graph_BCHART_2" localSheetId="18" hidden="1">#REF!</definedName>
    <definedName name="_20__123Graph_BCHART_2" localSheetId="19" hidden="1">#REF!</definedName>
    <definedName name="_21__123Graph_BCHART_2" localSheetId="9" hidden="1">#REF!</definedName>
    <definedName name="_21__123Graph_BCHART_2" localSheetId="10" hidden="1">#REF!</definedName>
    <definedName name="_22__123Graph_BCHART_2" hidden="1">#REF!</definedName>
    <definedName name="_23__123Graph_XCHART_1" localSheetId="8" hidden="1">#REF!</definedName>
    <definedName name="_24__123Graph_XCHART_1" localSheetId="11" hidden="1">#REF!</definedName>
    <definedName name="_25__123Graph_XCHART_1" localSheetId="12" hidden="1">#REF!</definedName>
    <definedName name="_26__123Graph_XCHART_1" localSheetId="17" hidden="1">#REF!</definedName>
    <definedName name="_26__123Graph_XCHART_1" localSheetId="18" hidden="1">#REF!</definedName>
    <definedName name="_26__123Graph_XCHART_1" localSheetId="19" hidden="1">#REF!</definedName>
    <definedName name="_27__123Graph_XCHART_1" localSheetId="9" hidden="1">#REF!</definedName>
    <definedName name="_27__123Graph_XCHART_1" localSheetId="10" hidden="1">#REF!</definedName>
    <definedName name="_28__123Graph_XCHART_1" hidden="1">#REF!</definedName>
    <definedName name="_3___123Graph_XCHART_1" hidden="1">#REF!</definedName>
    <definedName name="_4__123Graph_ACHART_1" localSheetId="14" hidden="1">#REF!</definedName>
    <definedName name="_5__123Graph_ACHART_1" localSheetId="20" hidden="1">#REF!</definedName>
    <definedName name="_6__123Graph_ACHART_1" localSheetId="21" hidden="1">#REF!</definedName>
    <definedName name="_6__123Graph_ACHART_2" hidden="1">#REF!</definedName>
    <definedName name="_7__123Graph_ACHART_1" localSheetId="24" hidden="1">#REF!</definedName>
    <definedName name="_8__123Graph_ACHART_1" hidden="1">#REF!</definedName>
    <definedName name="_9__123Graph_ACHART_2" localSheetId="8" hidden="1">#REF!</definedName>
    <definedName name="_xlnm._FilterDatabase" localSheetId="16" hidden="1">'3.1'!$A$5:$E$5</definedName>
    <definedName name="chart???" localSheetId="8" hidden="1">#REF!</definedName>
    <definedName name="chart???" localSheetId="9" hidden="1">#REF!</definedName>
    <definedName name="chart???" localSheetId="10" hidden="1">#REF!</definedName>
    <definedName name="chart???" localSheetId="11" hidden="1">#REF!</definedName>
    <definedName name="chart???" localSheetId="12" hidden="1">#REF!</definedName>
    <definedName name="chart???" localSheetId="14" hidden="1">#REF!</definedName>
    <definedName name="chart???" localSheetId="17" hidden="1">#REF!</definedName>
    <definedName name="chart???" localSheetId="18" hidden="1">#REF!</definedName>
    <definedName name="chart???" localSheetId="19" hidden="1">#REF!</definedName>
    <definedName name="chart???" hidden="1">#REF!</definedName>
    <definedName name="collection_chart" localSheetId="8" hidden="1">#REF!</definedName>
    <definedName name="collection_chart" localSheetId="9" hidden="1">#REF!</definedName>
    <definedName name="collection_chart" localSheetId="10" hidden="1">#REF!</definedName>
    <definedName name="collection_chart" localSheetId="11" hidden="1">#REF!</definedName>
    <definedName name="collection_chart" localSheetId="12" hidden="1">#REF!</definedName>
    <definedName name="collection_chart" localSheetId="14" hidden="1">#REF!</definedName>
    <definedName name="collection_chart" localSheetId="17" hidden="1">#REF!</definedName>
    <definedName name="collection_chart" localSheetId="18" hidden="1">#REF!</definedName>
    <definedName name="collection_chart" localSheetId="19" hidden="1">#REF!</definedName>
    <definedName name="collection_chart" hidden="1">#REF!</definedName>
    <definedName name="collections_chart" localSheetId="8" hidden="1">#REF!</definedName>
    <definedName name="collections_chart" localSheetId="9" hidden="1">#REF!</definedName>
    <definedName name="collections_chart" localSheetId="10" hidden="1">#REF!</definedName>
    <definedName name="collections_chart" localSheetId="11" hidden="1">#REF!</definedName>
    <definedName name="collections_chart" localSheetId="12" hidden="1">#REF!</definedName>
    <definedName name="collections_chart" localSheetId="14" hidden="1">#REF!</definedName>
    <definedName name="collections_chart" localSheetId="17" hidden="1">#REF!</definedName>
    <definedName name="collections_chart" localSheetId="18" hidden="1">#REF!</definedName>
    <definedName name="collections_chart" localSheetId="19" hidden="1">#REF!</definedName>
    <definedName name="collections_chart" hidden="1">#REF!</definedName>
    <definedName name="fivesix" localSheetId="26" hidden="1">#REF!</definedName>
    <definedName name="OLE_LINK1" localSheetId="16">'3.1'!$A$5</definedName>
    <definedName name="_xlnm.Print_Area" localSheetId="4">'1.1'!$A$1:$E$28</definedName>
    <definedName name="_xlnm.Print_Area" localSheetId="13">'1.10'!$A$1:$N$52</definedName>
    <definedName name="_xlnm.Print_Area" localSheetId="5">'1.2'!$A$1:$K$40</definedName>
    <definedName name="_xlnm.Print_Area" localSheetId="6">'1.3'!$A$1:$H$33</definedName>
    <definedName name="_xlnm.Print_Area" localSheetId="7">'1.4'!$A$1:$J$33</definedName>
    <definedName name="_xlnm.Print_Area" localSheetId="8">'1.5'!$A$1:$N$174</definedName>
    <definedName name="_xlnm.Print_Area" localSheetId="9">'1.6'!$A$1:$M$172</definedName>
    <definedName name="_xlnm.Print_Area" localSheetId="10">'1.6p'!$A$1:$L$173</definedName>
    <definedName name="_xlnm.Print_Area" localSheetId="11">'1.7'!$A$1:$H$169</definedName>
    <definedName name="_xlnm.Print_Area" localSheetId="12">'1.8-1.9'!$A$1:$N$43</definedName>
    <definedName name="_xlnm.Print_Area" localSheetId="14">'2.1'!$A$1:$L$22</definedName>
    <definedName name="_xlnm.Print_Area" localSheetId="15">'2.2'!$A$1:$J$25</definedName>
    <definedName name="_xlnm.Print_Area" localSheetId="16">'3.1'!$A$1:$G$59</definedName>
    <definedName name="_xlnm.Print_Area" localSheetId="17">'4.1'!$A$1:$P$65</definedName>
    <definedName name="_xlnm.Print_Area" localSheetId="18">'4.1_v1'!$A$1:$N$58</definedName>
    <definedName name="_xlnm.Print_Area" localSheetId="19">'4.1k'!$A$1:$P$55</definedName>
    <definedName name="_xlnm.Print_Area" localSheetId="20">'4.2'!$A$1:$H$41</definedName>
    <definedName name="_xlnm.Print_Area" localSheetId="21">'4.3'!$A$1:$N$62</definedName>
    <definedName name="_xlnm.Print_Area" localSheetId="22">'5.1'!$A$1:$H$27</definedName>
    <definedName name="_xlnm.Print_Area" localSheetId="23">'5.2'!$A$1:$I$58</definedName>
    <definedName name="_xlnm.Print_Area" localSheetId="24">'5.3-5.4'!$A$1:$G$46</definedName>
    <definedName name="_xlnm.Print_Area" localSheetId="25">'5.5'!$A$1:$G$159</definedName>
    <definedName name="_xlnm.Print_Area" localSheetId="26">'5.6'!$A$1:$P$105</definedName>
    <definedName name="_xlnm.Print_Area" localSheetId="27">'5.7'!$A$1:$K$36</definedName>
    <definedName name="_xlnm.Print_Area" localSheetId="28">'6.1'!$A$1:$H$38</definedName>
    <definedName name="_xlnm.Print_Area" localSheetId="29">'6.1p'!$A$1:$H$30</definedName>
    <definedName name="_xlnm.Print_Area" localSheetId="30">'6.2'!$A$1:$H$166</definedName>
    <definedName name="_xlnm.Print_Area" localSheetId="31">'6.2p'!$A$1:$H$205</definedName>
    <definedName name="_xlnm.Print_Area" localSheetId="32">'6.3'!$A$1:$H$165</definedName>
    <definedName name="_xlnm.Print_Area" localSheetId="33">'6.3p'!#REF!</definedName>
    <definedName name="_xlnm.Print_Area" localSheetId="34">'6.4'!$A$1:$L$171</definedName>
    <definedName name="_xlnm.Print_Area" localSheetId="35">'6.4p'!#REF!</definedName>
    <definedName name="_xlnm.Print_Area" localSheetId="36">'7.1'!$A$1:$F$26</definedName>
    <definedName name="_xlnm.Print_Area" localSheetId="3">ByAcct!$A$1:$S$53</definedName>
    <definedName name="_xlnm.Print_Area" localSheetId="37">Directory!$A$1:$C$18</definedName>
    <definedName name="_xlnm.Print_Area" localSheetId="2">RevExp!$A$1:$V$49</definedName>
    <definedName name="_xlnm.Print_Area" localSheetId="0">TitlePage!$A$1:$H$20</definedName>
    <definedName name="_xlnm.Print_Area" localSheetId="1">TOC!$A$1:$E$49</definedName>
    <definedName name="_xlnm.Print_Area">#REF!</definedName>
    <definedName name="_xlnm.Print_Titles" localSheetId="16">'3.1'!$5:$5</definedName>
    <definedName name="_xlnm.Print_Titles">#N/A</definedName>
    <definedName name="Z_E6BBE5A7_0B25_4EE8_BA45_5EA5DBAF3AD4_.wvu.FilterData" localSheetId="16" hidden="1">'3.1'!$A$5:$E$5</definedName>
    <definedName name="Z_E6BBE5A7_0B25_4EE8_BA45_5EA5DBAF3AD4_.wvu.PrintArea" localSheetId="4" hidden="1">'1.1'!$A$1:$F$50</definedName>
    <definedName name="Z_E6BBE5A7_0B25_4EE8_BA45_5EA5DBAF3AD4_.wvu.PrintArea" localSheetId="13" hidden="1">'1.10'!$A$1:$L$51</definedName>
    <definedName name="Z_E6BBE5A7_0B25_4EE8_BA45_5EA5DBAF3AD4_.wvu.PrintArea" localSheetId="5" hidden="1">'1.2'!$A$1:$K$41</definedName>
    <definedName name="Z_E6BBE5A7_0B25_4EE8_BA45_5EA5DBAF3AD4_.wvu.PrintArea" localSheetId="6" hidden="1">'1.3'!$A$1:$G$32</definedName>
    <definedName name="Z_E6BBE5A7_0B25_4EE8_BA45_5EA5DBAF3AD4_.wvu.PrintArea" localSheetId="7" hidden="1">'1.4'!#REF!</definedName>
    <definedName name="Z_E6BBE5A7_0B25_4EE8_BA45_5EA5DBAF3AD4_.wvu.PrintArea" localSheetId="8" hidden="1">'1.5'!$A$1:$N$173</definedName>
    <definedName name="Z_E6BBE5A7_0B25_4EE8_BA45_5EA5DBAF3AD4_.wvu.PrintArea" localSheetId="9" hidden="1">'1.6'!$A$1:$M$171</definedName>
    <definedName name="Z_E6BBE5A7_0B25_4EE8_BA45_5EA5DBAF3AD4_.wvu.PrintArea" localSheetId="10" hidden="1">'1.6p'!$A$1:$L$172</definedName>
    <definedName name="Z_E6BBE5A7_0B25_4EE8_BA45_5EA5DBAF3AD4_.wvu.PrintArea" localSheetId="11" hidden="1">'1.7'!$A$1:$H$168</definedName>
    <definedName name="Z_E6BBE5A7_0B25_4EE8_BA45_5EA5DBAF3AD4_.wvu.PrintArea" localSheetId="12" hidden="1">'1.8-1.9'!$A$1:$M$42</definedName>
    <definedName name="Z_E6BBE5A7_0B25_4EE8_BA45_5EA5DBAF3AD4_.wvu.PrintArea" localSheetId="14" hidden="1">'2.1'!$A$1:$D$39</definedName>
    <definedName name="Z_E6BBE5A7_0B25_4EE8_BA45_5EA5DBAF3AD4_.wvu.PrintArea" localSheetId="15" hidden="1">'2.2'!$A$1:$I$26</definedName>
    <definedName name="Z_E6BBE5A7_0B25_4EE8_BA45_5EA5DBAF3AD4_.wvu.PrintArea" localSheetId="16" hidden="1">'3.1'!$A$1:$F$62</definedName>
    <definedName name="Z_E6BBE5A7_0B25_4EE8_BA45_5EA5DBAF3AD4_.wvu.PrintArea" localSheetId="17" hidden="1">'4.1'!$A$1:$P$57</definedName>
    <definedName name="Z_E6BBE5A7_0B25_4EE8_BA45_5EA5DBAF3AD4_.wvu.PrintArea" localSheetId="18" hidden="1">'4.1_v1'!$A$1:$N$50</definedName>
    <definedName name="Z_E6BBE5A7_0B25_4EE8_BA45_5EA5DBAF3AD4_.wvu.PrintArea" localSheetId="19" hidden="1">'4.1k'!$A$1:$P$47</definedName>
    <definedName name="Z_E6BBE5A7_0B25_4EE8_BA45_5EA5DBAF3AD4_.wvu.PrintArea" localSheetId="20" hidden="1">'4.2'!$A$1:$G$41</definedName>
    <definedName name="Z_E6BBE5A7_0B25_4EE8_BA45_5EA5DBAF3AD4_.wvu.PrintArea" localSheetId="21" hidden="1">'4.3'!$A$1:$N$62</definedName>
    <definedName name="Z_E6BBE5A7_0B25_4EE8_BA45_5EA5DBAF3AD4_.wvu.PrintArea" localSheetId="24" hidden="1">'5.3-5.4'!$A$1:$F$42</definedName>
    <definedName name="Z_E6BBE5A7_0B25_4EE8_BA45_5EA5DBAF3AD4_.wvu.PrintArea" localSheetId="25" hidden="1">'5.5'!$A$1:$G$157</definedName>
    <definedName name="Z_E6BBE5A7_0B25_4EE8_BA45_5EA5DBAF3AD4_.wvu.PrintArea" localSheetId="26" hidden="1">'5.6'!$A$1:$P$105</definedName>
    <definedName name="Z_E6BBE5A7_0B25_4EE8_BA45_5EA5DBAF3AD4_.wvu.PrintArea" localSheetId="36" hidden="1">'7.1'!$A$1:$D$25</definedName>
    <definedName name="Z_E6BBE5A7_0B25_4EE8_BA45_5EA5DBAF3AD4_.wvu.PrintArea" localSheetId="3" hidden="1">ByAcct!$A$1:$S$48</definedName>
    <definedName name="Z_E6BBE5A7_0B25_4EE8_BA45_5EA5DBAF3AD4_.wvu.PrintArea" localSheetId="37" hidden="1">Directory!$A$1:$B$18</definedName>
    <definedName name="Z_E6BBE5A7_0B25_4EE8_BA45_5EA5DBAF3AD4_.wvu.PrintArea" localSheetId="2" hidden="1">RevExp!$A$1:$V$49</definedName>
    <definedName name="Z_E6BBE5A7_0B25_4EE8_BA45_5EA5DBAF3AD4_.wvu.PrintArea" localSheetId="0" hidden="1">TitlePage!$A$1:$H$20</definedName>
    <definedName name="Z_E6BBE5A7_0B25_4EE8_BA45_5EA5DBAF3AD4_.wvu.PrintArea" localSheetId="1" hidden="1">TOC!$A$1:$E$50</definedName>
    <definedName name="Z_E6BBE5A7_0B25_4EE8_BA45_5EA5DBAF3AD4_.wvu.PrintTitles" localSheetId="16" hidden="1">'3.1'!$5:$5</definedName>
  </definedNames>
  <calcPr calcId="191029" iterate="1" iterateCount="1"/>
  <customWorkbookViews>
    <customWorkbookView name="vgh89228 - Personal View" guid="{E6BBE5A7-0B25-4EE8-BA45-5EA5DBAF3AD4}" mergeInterval="0" personalView="1" maximized="1" xWindow="1" yWindow="1" windowWidth="1280" windowHeight="720" tabRatio="735"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7" l="1"/>
  <c r="P18" i="17" s="1"/>
  <c r="I65" i="4" l="1"/>
  <c r="I66" i="4" s="1"/>
  <c r="I9" i="4"/>
  <c r="K7" i="4" l="1"/>
  <c r="J7" i="4"/>
  <c r="I28" i="4"/>
  <c r="I55" i="4" s="1"/>
  <c r="I7" i="4"/>
  <c r="G16" i="3"/>
  <c r="G17" i="3"/>
  <c r="G13" i="3"/>
  <c r="G8" i="3"/>
  <c r="I41" i="4" l="1"/>
  <c r="I57" i="4" s="1"/>
  <c r="G18" i="3"/>
  <c r="H8" i="3" l="1"/>
  <c r="I8" i="3"/>
  <c r="J8" i="3"/>
  <c r="N45" i="19" l="1"/>
  <c r="N46" i="19"/>
  <c r="N47" i="19"/>
  <c r="N48" i="19"/>
  <c r="N49" i="19"/>
  <c r="N50" i="19"/>
  <c r="N51" i="19"/>
  <c r="N52" i="19"/>
  <c r="B41" i="23" l="1"/>
  <c r="G113" i="24" l="1"/>
  <c r="F113" i="24"/>
  <c r="E113" i="24"/>
  <c r="D113" i="24"/>
  <c r="C113" i="24"/>
  <c r="B113" i="24"/>
  <c r="G82" i="24"/>
  <c r="F82" i="24"/>
  <c r="E82" i="24"/>
  <c r="D82" i="24"/>
  <c r="C82" i="24"/>
  <c r="B82" i="24"/>
  <c r="B43" i="24"/>
  <c r="C43" i="24"/>
  <c r="D43" i="24"/>
  <c r="E43" i="24"/>
  <c r="F43" i="24"/>
  <c r="G43" i="24"/>
  <c r="C33" i="44" l="1"/>
  <c r="D33" i="44"/>
  <c r="E33" i="44"/>
  <c r="F33" i="44"/>
  <c r="G33" i="44"/>
  <c r="C34" i="44"/>
  <c r="D34" i="44"/>
  <c r="E34" i="44"/>
  <c r="F34" i="44"/>
  <c r="G34" i="44"/>
  <c r="H23" i="44"/>
  <c r="H33" i="44" s="1"/>
  <c r="H24" i="44"/>
  <c r="H34" i="44" s="1"/>
  <c r="H13" i="44"/>
  <c r="H14" i="44"/>
  <c r="B25" i="15" l="1"/>
  <c r="E27" i="23"/>
  <c r="D27" i="23"/>
  <c r="B39" i="4"/>
  <c r="C39" i="4"/>
  <c r="D39" i="4"/>
  <c r="E39" i="4"/>
  <c r="F39" i="4"/>
  <c r="G39" i="4"/>
  <c r="M37" i="4"/>
  <c r="H17" i="3" l="1"/>
  <c r="M7" i="8"/>
  <c r="M8" i="8"/>
  <c r="M9" i="8"/>
  <c r="M10" i="8"/>
  <c r="M11" i="8"/>
  <c r="M12" i="8"/>
  <c r="M13" i="8"/>
  <c r="M14" i="8"/>
  <c r="M15" i="8"/>
  <c r="M16" i="8"/>
  <c r="M17" i="8"/>
  <c r="M18" i="8"/>
  <c r="M19" i="8"/>
  <c r="M20" i="8"/>
  <c r="M21" i="8"/>
  <c r="M22" i="8"/>
  <c r="M23" i="8"/>
  <c r="M24" i="8"/>
  <c r="M25" i="8"/>
  <c r="M26" i="8"/>
  <c r="M27" i="8"/>
  <c r="M28" i="8"/>
  <c r="M29" i="8"/>
  <c r="M30" i="8"/>
  <c r="M6" i="8"/>
  <c r="K6" i="7"/>
  <c r="K7" i="7"/>
  <c r="K8" i="7"/>
  <c r="K9" i="7"/>
  <c r="K10" i="7"/>
  <c r="K11" i="7"/>
  <c r="K12" i="7"/>
  <c r="K13" i="7"/>
  <c r="K14" i="7"/>
  <c r="K15" i="7"/>
  <c r="K16" i="7"/>
  <c r="K17" i="7"/>
  <c r="K18" i="7"/>
  <c r="K19" i="7"/>
  <c r="K20" i="7"/>
  <c r="K21" i="7"/>
  <c r="K22" i="7"/>
  <c r="K23" i="7"/>
  <c r="K24" i="7"/>
  <c r="K25" i="7"/>
  <c r="K26" i="7"/>
  <c r="K27" i="7"/>
  <c r="K28" i="7"/>
  <c r="K29" i="7"/>
  <c r="K30" i="7"/>
  <c r="B47" i="2" l="1"/>
  <c r="B44" i="2"/>
  <c r="B43" i="2"/>
  <c r="B42" i="2"/>
  <c r="B41" i="2"/>
  <c r="B38" i="2"/>
  <c r="B37" i="2"/>
  <c r="B36" i="2"/>
  <c r="B35" i="2"/>
  <c r="B34" i="2"/>
  <c r="B33" i="2"/>
  <c r="B32" i="2"/>
  <c r="B29" i="2"/>
  <c r="B28" i="2"/>
  <c r="B27" i="2"/>
  <c r="B24" i="2"/>
  <c r="B21" i="2"/>
  <c r="B20" i="2"/>
  <c r="B17" i="2"/>
  <c r="B16" i="2"/>
  <c r="B15" i="2"/>
  <c r="B14" i="2"/>
  <c r="B13" i="2"/>
  <c r="B12" i="2"/>
  <c r="B11" i="2"/>
  <c r="B10" i="2"/>
  <c r="B9" i="2"/>
  <c r="B8" i="2"/>
  <c r="B5" i="2"/>
  <c r="B4" i="2"/>
  <c r="A72" i="47" l="1"/>
  <c r="A37" i="47"/>
  <c r="A114" i="47"/>
  <c r="A114" i="46" l="1"/>
  <c r="A114" i="45" l="1"/>
  <c r="F61" i="16" l="1"/>
  <c r="E61" i="16"/>
  <c r="I38" i="3" l="1"/>
  <c r="H7" i="4" l="1"/>
  <c r="E12" i="23"/>
  <c r="D12" i="23"/>
  <c r="H36" i="4" l="1"/>
  <c r="H35" i="4"/>
  <c r="H34" i="4"/>
  <c r="H33" i="4"/>
  <c r="H32" i="4"/>
  <c r="H31" i="4"/>
  <c r="H30" i="4"/>
  <c r="H29" i="4"/>
  <c r="J12" i="3"/>
  <c r="J17" i="3" s="1"/>
  <c r="H28" i="4"/>
  <c r="H27" i="4"/>
  <c r="H26" i="4"/>
  <c r="H25" i="4"/>
  <c r="H24" i="4"/>
  <c r="H23" i="4"/>
  <c r="H22" i="4"/>
  <c r="H21" i="4"/>
  <c r="H16" i="4"/>
  <c r="H15" i="4"/>
  <c r="H14" i="4"/>
  <c r="H13" i="4"/>
  <c r="H12" i="4"/>
  <c r="H11" i="4"/>
  <c r="H10" i="4"/>
  <c r="H9" i="4"/>
  <c r="H8" i="4"/>
  <c r="H39" i="4" l="1"/>
  <c r="I17" i="3" s="1"/>
  <c r="H18" i="4"/>
  <c r="H55" i="4"/>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116" i="9"/>
  <c r="N115" i="9"/>
  <c r="N114" i="9"/>
  <c r="N113" i="9"/>
  <c r="N112" i="9"/>
  <c r="N111" i="9"/>
  <c r="N110" i="9"/>
  <c r="N109" i="9"/>
  <c r="N108" i="9"/>
  <c r="N107" i="9"/>
  <c r="N106" i="9"/>
  <c r="N105" i="9"/>
  <c r="N104" i="9"/>
  <c r="N103" i="9"/>
  <c r="N102" i="9"/>
  <c r="N101" i="9"/>
  <c r="N100" i="9"/>
  <c r="N99" i="9"/>
  <c r="N98" i="9"/>
  <c r="N97" i="9"/>
  <c r="N96" i="9"/>
  <c r="N95" i="9"/>
  <c r="N94" i="9"/>
  <c r="N93" i="9"/>
  <c r="N92" i="9"/>
  <c r="I13" i="3" l="1"/>
  <c r="I40" i="3" s="1"/>
  <c r="I16" i="3"/>
  <c r="I18" i="3" s="1"/>
  <c r="H41" i="4"/>
  <c r="H57" i="4" s="1"/>
  <c r="M9" i="17"/>
  <c r="P9" i="17" s="1"/>
  <c r="M10" i="17"/>
  <c r="P10" i="17" s="1"/>
  <c r="M11" i="17"/>
  <c r="P11" i="17" s="1"/>
  <c r="M12" i="17"/>
  <c r="P12" i="17" s="1"/>
  <c r="M13" i="17"/>
  <c r="P13" i="17" s="1"/>
  <c r="M14" i="17"/>
  <c r="P14" i="17" s="1"/>
  <c r="M15" i="17"/>
  <c r="M17" i="17"/>
  <c r="P17" i="17" s="1"/>
  <c r="D153" i="24" l="1"/>
  <c r="E153" i="24"/>
  <c r="F153" i="24"/>
  <c r="G153" i="24"/>
  <c r="C153" i="24"/>
  <c r="G109" i="24"/>
  <c r="G154" i="24" s="1"/>
  <c r="F109" i="24"/>
  <c r="F154" i="24" s="1"/>
  <c r="E109" i="24"/>
  <c r="E154" i="24" s="1"/>
  <c r="D109" i="24"/>
  <c r="D154" i="24" s="1"/>
  <c r="C109" i="24"/>
  <c r="C154" i="24" s="1"/>
  <c r="B41" i="4" l="1"/>
  <c r="B57" i="4" s="1"/>
  <c r="C41" i="4"/>
  <c r="C57" i="4" s="1"/>
  <c r="D41" i="4"/>
  <c r="D57" i="4" s="1"/>
  <c r="E41" i="4"/>
  <c r="E57" i="4" s="1"/>
  <c r="F41" i="4"/>
  <c r="F57" i="4" s="1"/>
  <c r="F17" i="53" l="1"/>
  <c r="E17" i="53"/>
  <c r="C6" i="53"/>
  <c r="M6" i="53" s="1"/>
  <c r="C7" i="53"/>
  <c r="M7" i="53" s="1"/>
  <c r="C8" i="53"/>
  <c r="M8" i="53" s="1"/>
  <c r="P8" i="53" s="1"/>
  <c r="C9" i="53"/>
  <c r="M9" i="53" s="1"/>
  <c r="C10" i="53"/>
  <c r="M10" i="53" s="1"/>
  <c r="C11" i="53"/>
  <c r="M11" i="53" s="1"/>
  <c r="C12" i="53"/>
  <c r="C13" i="53"/>
  <c r="C14" i="53"/>
  <c r="C15" i="53"/>
  <c r="C16" i="53"/>
  <c r="O16" i="53"/>
  <c r="O17" i="53" s="1"/>
  <c r="N16" i="53"/>
  <c r="AB16" i="53" s="1"/>
  <c r="L16" i="53"/>
  <c r="L17" i="53" s="1"/>
  <c r="K16" i="53"/>
  <c r="K17" i="53" s="1"/>
  <c r="J16" i="53"/>
  <c r="J17" i="53" s="1"/>
  <c r="I16" i="53"/>
  <c r="H16" i="53"/>
  <c r="G17" i="53"/>
  <c r="B16" i="53"/>
  <c r="X15" i="53"/>
  <c r="O15" i="53"/>
  <c r="N15" i="53"/>
  <c r="AB15" i="53" s="1"/>
  <c r="J15" i="53"/>
  <c r="I15" i="53"/>
  <c r="H15" i="53"/>
  <c r="B15" i="53"/>
  <c r="AB14" i="53"/>
  <c r="X14" i="53"/>
  <c r="I14" i="53"/>
  <c r="H14" i="53"/>
  <c r="D17" i="53"/>
  <c r="AB13" i="53"/>
  <c r="B13" i="53"/>
  <c r="AB12" i="53"/>
  <c r="B12" i="53"/>
  <c r="M12" i="53" s="1"/>
  <c r="AB11" i="53"/>
  <c r="Z11" i="53"/>
  <c r="AB10" i="53"/>
  <c r="Z10" i="53"/>
  <c r="AB9" i="53"/>
  <c r="Z9" i="53"/>
  <c r="AB8" i="53"/>
  <c r="Z8" i="53"/>
  <c r="AB7" i="53"/>
  <c r="Z7" i="53"/>
  <c r="M16" i="53" l="1"/>
  <c r="M14" i="53"/>
  <c r="M13" i="53"/>
  <c r="AA13" i="53" s="1"/>
  <c r="H17" i="53"/>
  <c r="M15" i="53"/>
  <c r="P15" i="53" s="1"/>
  <c r="B17" i="53"/>
  <c r="I17" i="53"/>
  <c r="Z12" i="53"/>
  <c r="Z16" i="53"/>
  <c r="AA7" i="53"/>
  <c r="P10" i="53"/>
  <c r="AA8" i="53"/>
  <c r="P11" i="53"/>
  <c r="AA11" i="53"/>
  <c r="P12" i="53"/>
  <c r="AA12" i="53"/>
  <c r="AA9" i="53"/>
  <c r="P9" i="53"/>
  <c r="AC9" i="53" s="1"/>
  <c r="AA10" i="53"/>
  <c r="P16" i="53"/>
  <c r="N17" i="53"/>
  <c r="Z13" i="53"/>
  <c r="P7" i="53"/>
  <c r="AC7" i="53" s="1"/>
  <c r="Z14" i="53"/>
  <c r="Z15" i="53"/>
  <c r="P13" i="53" l="1"/>
  <c r="AC10" i="53"/>
  <c r="AC8" i="53"/>
  <c r="AC12" i="53"/>
  <c r="AA16" i="53"/>
  <c r="AA14" i="53"/>
  <c r="P14" i="53"/>
  <c r="AC15" i="53" s="1"/>
  <c r="M17" i="53"/>
  <c r="AC13" i="53"/>
  <c r="S15" i="53"/>
  <c r="U15" i="53"/>
  <c r="AC11" i="53"/>
  <c r="S16" i="53"/>
  <c r="AC16" i="53"/>
  <c r="U16" i="53"/>
  <c r="AA15" i="53"/>
  <c r="P17" i="53" l="1"/>
  <c r="S14" i="53"/>
  <c r="AC14" i="53"/>
  <c r="U14" i="53"/>
  <c r="K58" i="4" l="1"/>
  <c r="M16" i="52"/>
  <c r="M17" i="52" s="1"/>
  <c r="L16" i="52"/>
  <c r="L17" i="52" s="1"/>
  <c r="J16" i="52"/>
  <c r="J17" i="52" s="1"/>
  <c r="I16" i="52"/>
  <c r="I17" i="52" s="1"/>
  <c r="H16" i="52"/>
  <c r="H17" i="52" s="1"/>
  <c r="G16" i="52"/>
  <c r="G17" i="52" s="1"/>
  <c r="F16" i="52"/>
  <c r="F17" i="52" s="1"/>
  <c r="E16" i="52"/>
  <c r="E17" i="52" s="1"/>
  <c r="D16" i="52"/>
  <c r="C16" i="52"/>
  <c r="B16" i="52"/>
  <c r="B17" i="52" s="1"/>
  <c r="X15" i="52"/>
  <c r="V15" i="52"/>
  <c r="M15" i="52"/>
  <c r="L15" i="52"/>
  <c r="Z15" i="52" s="1"/>
  <c r="I15" i="52"/>
  <c r="H15" i="52"/>
  <c r="G15" i="52"/>
  <c r="F15" i="52"/>
  <c r="E15" i="52"/>
  <c r="D15" i="52"/>
  <c r="C15" i="52"/>
  <c r="B15" i="52"/>
  <c r="Z14" i="52"/>
  <c r="V14" i="52"/>
  <c r="H14" i="52"/>
  <c r="G14" i="52"/>
  <c r="D14" i="52"/>
  <c r="C14" i="52"/>
  <c r="C17" i="52" s="1"/>
  <c r="Z13" i="52"/>
  <c r="D13" i="52"/>
  <c r="C13" i="52"/>
  <c r="B13" i="52"/>
  <c r="K13" i="52" s="1"/>
  <c r="Z12" i="52"/>
  <c r="D12" i="52"/>
  <c r="C12" i="52"/>
  <c r="B12" i="52"/>
  <c r="X12" i="52" s="1"/>
  <c r="Z11" i="52"/>
  <c r="X11" i="52"/>
  <c r="D11" i="52"/>
  <c r="K11" i="52" s="1"/>
  <c r="Z10" i="52"/>
  <c r="X10" i="52"/>
  <c r="D10" i="52"/>
  <c r="K10" i="52" s="1"/>
  <c r="Z9" i="52"/>
  <c r="X9" i="52"/>
  <c r="D9" i="52"/>
  <c r="C9" i="52"/>
  <c r="K9" i="52" s="1"/>
  <c r="Z8" i="52"/>
  <c r="X8" i="52"/>
  <c r="K8" i="52"/>
  <c r="N8" i="52" s="1"/>
  <c r="Z7" i="52"/>
  <c r="X7" i="52"/>
  <c r="K7" i="52"/>
  <c r="Y7" i="52" s="1"/>
  <c r="K6" i="52"/>
  <c r="D17" i="52" l="1"/>
  <c r="X13" i="52"/>
  <c r="K15" i="52"/>
  <c r="N15" i="52"/>
  <c r="N13" i="52"/>
  <c r="N9" i="52"/>
  <c r="AA9" i="52" s="1"/>
  <c r="Y9" i="52"/>
  <c r="Y11" i="52"/>
  <c r="N10" i="52"/>
  <c r="Y10" i="52"/>
  <c r="N7" i="52"/>
  <c r="AA7" i="52" s="1"/>
  <c r="Y8" i="52"/>
  <c r="N11" i="52"/>
  <c r="AA11" i="52" s="1"/>
  <c r="K12" i="52"/>
  <c r="X14" i="52"/>
  <c r="K16" i="52"/>
  <c r="Z16" i="52"/>
  <c r="K14" i="52"/>
  <c r="X16" i="52"/>
  <c r="D17" i="12"/>
  <c r="G17" i="12"/>
  <c r="J17" i="12"/>
  <c r="L17" i="12"/>
  <c r="M17" i="12"/>
  <c r="I17" i="12"/>
  <c r="F17" i="12"/>
  <c r="C17" i="12"/>
  <c r="AA8" i="52" l="1"/>
  <c r="Y14" i="52"/>
  <c r="N14" i="52"/>
  <c r="N12" i="52"/>
  <c r="AA12" i="52" s="1"/>
  <c r="Y12" i="52"/>
  <c r="Y15" i="52"/>
  <c r="AA15" i="52"/>
  <c r="S15" i="52"/>
  <c r="Q15" i="52"/>
  <c r="N16" i="52"/>
  <c r="K17" i="52"/>
  <c r="Y16" i="52"/>
  <c r="AA10" i="52"/>
  <c r="Y13" i="52"/>
  <c r="AA13" i="52"/>
  <c r="L166" i="51"/>
  <c r="L118" i="51"/>
  <c r="K118" i="51"/>
  <c r="J118" i="51"/>
  <c r="H118" i="51"/>
  <c r="G118" i="51"/>
  <c r="F118" i="51"/>
  <c r="E118" i="51"/>
  <c r="C118" i="51"/>
  <c r="B118" i="51"/>
  <c r="L165" i="51"/>
  <c r="K165" i="51"/>
  <c r="J165" i="51"/>
  <c r="H165" i="51"/>
  <c r="G165" i="51"/>
  <c r="F165" i="51"/>
  <c r="E165" i="51"/>
  <c r="C165" i="51"/>
  <c r="B165" i="51"/>
  <c r="L46" i="51"/>
  <c r="L88" i="51" s="1"/>
  <c r="L122" i="51" s="1"/>
  <c r="K46" i="51"/>
  <c r="K88" i="51" s="1"/>
  <c r="K122" i="51" s="1"/>
  <c r="J46" i="51"/>
  <c r="J88" i="51" s="1"/>
  <c r="J122" i="51" s="1"/>
  <c r="I46" i="51"/>
  <c r="I88" i="51" s="1"/>
  <c r="I122" i="51" s="1"/>
  <c r="H46" i="51"/>
  <c r="H88" i="51" s="1"/>
  <c r="H122" i="51" s="1"/>
  <c r="G46" i="51"/>
  <c r="G88" i="51" s="1"/>
  <c r="G122" i="51" s="1"/>
  <c r="F46" i="51"/>
  <c r="F88" i="51" s="1"/>
  <c r="F122" i="51" s="1"/>
  <c r="E46" i="51"/>
  <c r="E88" i="51" s="1"/>
  <c r="E122" i="51" s="1"/>
  <c r="D46" i="51"/>
  <c r="D88" i="51" s="1"/>
  <c r="D122" i="51" s="1"/>
  <c r="C46" i="51"/>
  <c r="C88" i="51" s="1"/>
  <c r="C122" i="51" s="1"/>
  <c r="B46" i="51"/>
  <c r="B88" i="51" s="1"/>
  <c r="B122" i="51" s="1"/>
  <c r="A44" i="51"/>
  <c r="A86" i="51" s="1"/>
  <c r="A120" i="51" s="1"/>
  <c r="A45" i="51"/>
  <c r="A87" i="51" s="1"/>
  <c r="A121" i="51" s="1"/>
  <c r="S14" i="52" l="1"/>
  <c r="Q14" i="52"/>
  <c r="AA14" i="52"/>
  <c r="N17" i="52"/>
  <c r="AA16" i="52"/>
  <c r="S16" i="52"/>
  <c r="Q16" i="52"/>
  <c r="H166" i="51"/>
  <c r="H169" i="51" s="1"/>
  <c r="B166" i="51"/>
  <c r="F166" i="51"/>
  <c r="F169" i="51" s="1"/>
  <c r="J166" i="51"/>
  <c r="J169" i="51" s="1"/>
  <c r="E166" i="51"/>
  <c r="E169" i="51" s="1"/>
  <c r="G166" i="51"/>
  <c r="G169" i="51" s="1"/>
  <c r="K166" i="51"/>
  <c r="K169" i="51" s="1"/>
  <c r="C166" i="51"/>
  <c r="C169" i="51" s="1"/>
  <c r="L169" i="51"/>
  <c r="B169" i="51" l="1"/>
  <c r="E112" i="47" l="1"/>
  <c r="E106" i="46"/>
  <c r="E107" i="46"/>
  <c r="E108" i="46"/>
  <c r="E109" i="46"/>
  <c r="E110" i="46"/>
  <c r="A169" i="11" l="1"/>
  <c r="A172" i="10"/>
  <c r="B46" i="3" l="1"/>
  <c r="C46" i="3"/>
  <c r="D46" i="3"/>
  <c r="E46" i="3"/>
  <c r="F46" i="3"/>
  <c r="H46" i="3"/>
  <c r="H21" i="44" l="1"/>
  <c r="H20" i="44"/>
  <c r="H19" i="44"/>
  <c r="H18" i="44"/>
  <c r="H11" i="44"/>
  <c r="H10" i="44"/>
  <c r="H9" i="44"/>
  <c r="H8" i="44"/>
  <c r="C112" i="47" l="1"/>
  <c r="D112" i="47"/>
  <c r="F112" i="47"/>
  <c r="G112" i="47"/>
  <c r="H112" i="47"/>
  <c r="I112" i="47"/>
  <c r="J112" i="47"/>
  <c r="K112" i="47"/>
  <c r="B112" i="47"/>
  <c r="C157" i="47"/>
  <c r="D157" i="47"/>
  <c r="E157" i="47"/>
  <c r="F157" i="47"/>
  <c r="G157" i="47"/>
  <c r="H157" i="47"/>
  <c r="I157" i="47"/>
  <c r="J157" i="47"/>
  <c r="K157" i="47"/>
  <c r="L157" i="47"/>
  <c r="B157" i="47"/>
  <c r="F155" i="45" l="1"/>
  <c r="E155" i="45"/>
  <c r="F154" i="45"/>
  <c r="E154" i="45"/>
  <c r="F153" i="45"/>
  <c r="E153" i="45"/>
  <c r="F152" i="45"/>
  <c r="E152" i="45"/>
  <c r="B152" i="46" s="1"/>
  <c r="F151" i="45"/>
  <c r="E151" i="45"/>
  <c r="F150" i="45"/>
  <c r="E150" i="45"/>
  <c r="F149" i="45"/>
  <c r="E149" i="45"/>
  <c r="F148" i="45"/>
  <c r="E148" i="45"/>
  <c r="F147" i="45"/>
  <c r="E147" i="45"/>
  <c r="F146" i="45"/>
  <c r="E146" i="45"/>
  <c r="F145" i="45"/>
  <c r="E145" i="45"/>
  <c r="F144" i="45"/>
  <c r="E144" i="45"/>
  <c r="F143" i="45"/>
  <c r="E143" i="45"/>
  <c r="F142" i="45"/>
  <c r="E142" i="45"/>
  <c r="F141" i="45"/>
  <c r="E141" i="45"/>
  <c r="F140" i="45"/>
  <c r="E140" i="45"/>
  <c r="F139" i="45"/>
  <c r="E139" i="45"/>
  <c r="F138" i="45"/>
  <c r="E138" i="45"/>
  <c r="F137" i="45"/>
  <c r="E137" i="45"/>
  <c r="F136" i="45"/>
  <c r="E136" i="45"/>
  <c r="F135" i="45"/>
  <c r="E135" i="45"/>
  <c r="F134" i="45"/>
  <c r="E134" i="45"/>
  <c r="F133" i="45"/>
  <c r="E133" i="45"/>
  <c r="F132" i="45"/>
  <c r="E132" i="45"/>
  <c r="F131" i="45"/>
  <c r="E131" i="45"/>
  <c r="F130" i="45"/>
  <c r="E130" i="45"/>
  <c r="F129" i="45"/>
  <c r="E129" i="45"/>
  <c r="F128" i="45"/>
  <c r="E128" i="45"/>
  <c r="F127" i="45"/>
  <c r="E127" i="45"/>
  <c r="F126" i="45"/>
  <c r="E126" i="45"/>
  <c r="F125" i="45"/>
  <c r="E125" i="45"/>
  <c r="F124" i="45"/>
  <c r="E124" i="45"/>
  <c r="F123" i="45"/>
  <c r="E123" i="45"/>
  <c r="F122" i="45"/>
  <c r="E122" i="45"/>
  <c r="F121" i="45"/>
  <c r="E121" i="45"/>
  <c r="F120" i="45"/>
  <c r="E120" i="45"/>
  <c r="F119" i="45"/>
  <c r="E119" i="45"/>
  <c r="F118" i="45"/>
  <c r="E118" i="45"/>
  <c r="F110" i="45"/>
  <c r="E110" i="45"/>
  <c r="F109" i="45"/>
  <c r="E109" i="45"/>
  <c r="F108" i="45"/>
  <c r="E108" i="45"/>
  <c r="F107" i="45"/>
  <c r="E107" i="45"/>
  <c r="B107" i="46" s="1"/>
  <c r="F106" i="45"/>
  <c r="E106" i="45"/>
  <c r="F105" i="45"/>
  <c r="E105" i="45"/>
  <c r="F104" i="45"/>
  <c r="E104" i="45"/>
  <c r="F103" i="45"/>
  <c r="E103" i="45"/>
  <c r="F102" i="45"/>
  <c r="E102" i="45"/>
  <c r="F101" i="45"/>
  <c r="E101" i="45"/>
  <c r="F100" i="45"/>
  <c r="E100" i="45"/>
  <c r="F99" i="45"/>
  <c r="E99" i="45"/>
  <c r="F98" i="45"/>
  <c r="E98" i="45"/>
  <c r="F97" i="45"/>
  <c r="E97" i="45"/>
  <c r="F96" i="45"/>
  <c r="E96" i="45"/>
  <c r="F95" i="45"/>
  <c r="E95" i="45"/>
  <c r="F94" i="45"/>
  <c r="E94" i="45"/>
  <c r="F93" i="45"/>
  <c r="E93" i="45"/>
  <c r="F92" i="45"/>
  <c r="E92" i="45"/>
  <c r="F91" i="45"/>
  <c r="E91" i="45"/>
  <c r="F90" i="45"/>
  <c r="E90" i="45"/>
  <c r="F89" i="45"/>
  <c r="E89" i="45"/>
  <c r="F88" i="45"/>
  <c r="E88" i="45"/>
  <c r="F87" i="45"/>
  <c r="E87" i="45"/>
  <c r="F86" i="45"/>
  <c r="E86" i="45"/>
  <c r="F85" i="45"/>
  <c r="E85" i="45"/>
  <c r="F84" i="45"/>
  <c r="E84" i="45"/>
  <c r="F83" i="45"/>
  <c r="E83" i="45"/>
  <c r="F82" i="45"/>
  <c r="E82" i="45"/>
  <c r="F81" i="45"/>
  <c r="E81" i="45"/>
  <c r="F80" i="45"/>
  <c r="E80" i="45"/>
  <c r="F79" i="45"/>
  <c r="E79" i="45"/>
  <c r="F78" i="45"/>
  <c r="E78" i="45"/>
  <c r="F77" i="45"/>
  <c r="E77" i="45"/>
  <c r="F76" i="45"/>
  <c r="E76" i="45"/>
  <c r="F70" i="45"/>
  <c r="E70" i="45"/>
  <c r="F69" i="45"/>
  <c r="E69" i="45"/>
  <c r="F68" i="45"/>
  <c r="E68" i="45"/>
  <c r="F67" i="45"/>
  <c r="E67" i="45"/>
  <c r="F66" i="45"/>
  <c r="E66" i="45"/>
  <c r="F65" i="45"/>
  <c r="E65" i="45"/>
  <c r="F64" i="45"/>
  <c r="E64" i="45"/>
  <c r="F63" i="45"/>
  <c r="E63" i="45"/>
  <c r="F62" i="45"/>
  <c r="E62" i="45"/>
  <c r="F61" i="45"/>
  <c r="E61" i="45"/>
  <c r="F60" i="45"/>
  <c r="E60" i="45"/>
  <c r="F59" i="45"/>
  <c r="E59" i="45"/>
  <c r="F58" i="45"/>
  <c r="E58" i="45"/>
  <c r="F57" i="45"/>
  <c r="E57" i="45"/>
  <c r="F56" i="45"/>
  <c r="E56" i="45"/>
  <c r="F55" i="45"/>
  <c r="E55" i="45"/>
  <c r="F54" i="45"/>
  <c r="E54" i="45"/>
  <c r="F53" i="45"/>
  <c r="E53" i="45"/>
  <c r="F52" i="45"/>
  <c r="E52" i="45"/>
  <c r="F51" i="45"/>
  <c r="E51" i="45"/>
  <c r="F50" i="45"/>
  <c r="E50" i="45"/>
  <c r="F49" i="45"/>
  <c r="E49" i="45"/>
  <c r="F48" i="45"/>
  <c r="E48" i="45"/>
  <c r="F47" i="45"/>
  <c r="E47" i="45"/>
  <c r="F46" i="45"/>
  <c r="E46" i="45"/>
  <c r="F45" i="45"/>
  <c r="E45" i="45"/>
  <c r="F44" i="45"/>
  <c r="E44" i="45"/>
  <c r="F43" i="45"/>
  <c r="E43" i="45"/>
  <c r="F42" i="45"/>
  <c r="E42" i="45"/>
  <c r="F41" i="45"/>
  <c r="E41" i="45"/>
  <c r="F35" i="45"/>
  <c r="F34" i="45"/>
  <c r="F33" i="45"/>
  <c r="F32" i="45"/>
  <c r="F31" i="45"/>
  <c r="F30" i="45"/>
  <c r="F29" i="45"/>
  <c r="F28" i="45"/>
  <c r="F27" i="45"/>
  <c r="F26" i="45"/>
  <c r="F25" i="45"/>
  <c r="F24" i="45"/>
  <c r="F23" i="45"/>
  <c r="F22" i="45"/>
  <c r="F21" i="45"/>
  <c r="F20" i="45"/>
  <c r="F19" i="45"/>
  <c r="F18" i="45"/>
  <c r="F17" i="45"/>
  <c r="F16" i="45"/>
  <c r="F15" i="45"/>
  <c r="F14" i="45"/>
  <c r="F13" i="45"/>
  <c r="F12" i="45"/>
  <c r="F11" i="45"/>
  <c r="F10" i="45"/>
  <c r="F9" i="45"/>
  <c r="F8" i="45"/>
  <c r="F7" i="45"/>
  <c r="F6" i="45"/>
  <c r="E35" i="45"/>
  <c r="E34" i="45"/>
  <c r="E33" i="45"/>
  <c r="E32" i="45"/>
  <c r="E31" i="45"/>
  <c r="E30" i="45"/>
  <c r="E29" i="45"/>
  <c r="E28" i="45"/>
  <c r="E27" i="45"/>
  <c r="E26" i="45"/>
  <c r="E25" i="45"/>
  <c r="E24" i="45"/>
  <c r="E23" i="45"/>
  <c r="E22" i="45"/>
  <c r="E21" i="45"/>
  <c r="E20" i="45"/>
  <c r="E19" i="45"/>
  <c r="E18" i="45"/>
  <c r="E17" i="45"/>
  <c r="E16" i="45"/>
  <c r="E15" i="45"/>
  <c r="E14" i="45"/>
  <c r="E13" i="45"/>
  <c r="E12" i="45"/>
  <c r="E11" i="45"/>
  <c r="E10" i="45"/>
  <c r="E9" i="45"/>
  <c r="E8" i="45"/>
  <c r="E7" i="45"/>
  <c r="E6" i="45"/>
  <c r="B155" i="46"/>
  <c r="E155" i="46"/>
  <c r="E154" i="46"/>
  <c r="E153" i="46"/>
  <c r="E152" i="46"/>
  <c r="E151" i="46"/>
  <c r="E150" i="46"/>
  <c r="E149" i="46"/>
  <c r="E148" i="46"/>
  <c r="E147" i="46"/>
  <c r="E146" i="46"/>
  <c r="E145" i="46"/>
  <c r="E144" i="46"/>
  <c r="E143" i="46"/>
  <c r="E142" i="46"/>
  <c r="E141" i="46"/>
  <c r="E140" i="46"/>
  <c r="E139" i="46"/>
  <c r="E138" i="46"/>
  <c r="E137" i="46"/>
  <c r="E136" i="46"/>
  <c r="E135" i="46"/>
  <c r="E134" i="46"/>
  <c r="E133" i="46"/>
  <c r="E132" i="46"/>
  <c r="E131" i="46"/>
  <c r="E130" i="46"/>
  <c r="E129" i="46"/>
  <c r="E128" i="46"/>
  <c r="E127" i="46"/>
  <c r="E126" i="46"/>
  <c r="E125" i="46"/>
  <c r="E124" i="46"/>
  <c r="E123" i="46"/>
  <c r="E122" i="46"/>
  <c r="E121" i="46"/>
  <c r="E120" i="46"/>
  <c r="E119" i="46"/>
  <c r="E118" i="46"/>
  <c r="E105" i="46"/>
  <c r="E104" i="46"/>
  <c r="E103" i="46"/>
  <c r="E102" i="46"/>
  <c r="E101" i="46"/>
  <c r="E100" i="46"/>
  <c r="E99" i="46"/>
  <c r="E98" i="46"/>
  <c r="E97" i="46"/>
  <c r="E96" i="46"/>
  <c r="E95" i="46"/>
  <c r="E94" i="46"/>
  <c r="E93" i="46"/>
  <c r="E92" i="46"/>
  <c r="E91" i="46"/>
  <c r="E90" i="46"/>
  <c r="E89" i="46"/>
  <c r="E88" i="46"/>
  <c r="E87" i="46"/>
  <c r="E86" i="46"/>
  <c r="E85" i="46"/>
  <c r="E84" i="46"/>
  <c r="E83" i="46"/>
  <c r="E82" i="46"/>
  <c r="E81" i="46"/>
  <c r="E80" i="46"/>
  <c r="E79" i="46"/>
  <c r="E78" i="46"/>
  <c r="E77" i="46"/>
  <c r="E76" i="46"/>
  <c r="E70" i="46"/>
  <c r="E69" i="46"/>
  <c r="E68" i="46"/>
  <c r="E67" i="46"/>
  <c r="E66" i="46"/>
  <c r="E65" i="46"/>
  <c r="E64" i="46"/>
  <c r="E63" i="46"/>
  <c r="E62" i="46"/>
  <c r="E61" i="46"/>
  <c r="E60" i="46"/>
  <c r="E59" i="46"/>
  <c r="E58" i="46"/>
  <c r="E57" i="46"/>
  <c r="E56" i="46"/>
  <c r="E55" i="46"/>
  <c r="E54" i="46"/>
  <c r="E53" i="46"/>
  <c r="E52" i="46"/>
  <c r="E51" i="46"/>
  <c r="E50" i="46"/>
  <c r="E49" i="46"/>
  <c r="E48" i="46"/>
  <c r="E47" i="46"/>
  <c r="E46" i="46"/>
  <c r="E45" i="46"/>
  <c r="E44" i="46"/>
  <c r="E43" i="46"/>
  <c r="E42" i="46"/>
  <c r="E41" i="46"/>
  <c r="E6" i="46"/>
  <c r="E8" i="46"/>
  <c r="E9" i="46"/>
  <c r="E10" i="46"/>
  <c r="E11" i="46"/>
  <c r="E12" i="46"/>
  <c r="E13" i="46"/>
  <c r="E14" i="46"/>
  <c r="E15" i="46"/>
  <c r="E16" i="46"/>
  <c r="E17" i="46"/>
  <c r="E18" i="46"/>
  <c r="E19" i="46"/>
  <c r="E20" i="46"/>
  <c r="E21" i="46"/>
  <c r="E22" i="46"/>
  <c r="E23" i="46"/>
  <c r="E24" i="46"/>
  <c r="E25" i="46"/>
  <c r="E26" i="46"/>
  <c r="E27" i="46"/>
  <c r="E28" i="46"/>
  <c r="E29" i="46"/>
  <c r="E30" i="46"/>
  <c r="E31" i="46"/>
  <c r="E32" i="46"/>
  <c r="E33" i="46"/>
  <c r="E34" i="46"/>
  <c r="E35" i="46"/>
  <c r="E7" i="46"/>
  <c r="B145" i="46" l="1"/>
  <c r="F145" i="46" s="1"/>
  <c r="B148" i="46"/>
  <c r="F148" i="46" s="1"/>
  <c r="B142" i="46"/>
  <c r="B138" i="46"/>
  <c r="B43" i="46"/>
  <c r="F43" i="46" s="1"/>
  <c r="B63" i="46"/>
  <c r="F63" i="46" s="1"/>
  <c r="B150" i="46"/>
  <c r="B84" i="46"/>
  <c r="F84" i="46" s="1"/>
  <c r="B56" i="46"/>
  <c r="F56" i="46" s="1"/>
  <c r="B60" i="46"/>
  <c r="F60" i="46" s="1"/>
  <c r="B70" i="46"/>
  <c r="B48" i="46"/>
  <c r="F48" i="46" s="1"/>
  <c r="B92" i="46"/>
  <c r="B99" i="46"/>
  <c r="B66" i="46"/>
  <c r="B46" i="46"/>
  <c r="B53" i="46"/>
  <c r="B79" i="46"/>
  <c r="B104" i="46"/>
  <c r="B61" i="46"/>
  <c r="F61" i="46" s="1"/>
  <c r="B147" i="46"/>
  <c r="B50" i="46"/>
  <c r="F50" i="46" s="1"/>
  <c r="B68" i="46"/>
  <c r="B140" i="46"/>
  <c r="B153" i="46"/>
  <c r="B28" i="46"/>
  <c r="B55" i="46"/>
  <c r="F55" i="46" s="1"/>
  <c r="B87" i="46"/>
  <c r="B35" i="46"/>
  <c r="B77" i="46"/>
  <c r="B94" i="46"/>
  <c r="B143" i="46"/>
  <c r="B41" i="46"/>
  <c r="B97" i="46"/>
  <c r="B29" i="46"/>
  <c r="B17" i="46"/>
  <c r="B31" i="46"/>
  <c r="B45" i="46"/>
  <c r="B51" i="46"/>
  <c r="F51" i="46" s="1"/>
  <c r="B58" i="46"/>
  <c r="B65" i="46"/>
  <c r="B82" i="46"/>
  <c r="B89" i="46"/>
  <c r="B102" i="46"/>
  <c r="B7" i="46"/>
  <c r="B24" i="46"/>
  <c r="B14" i="46"/>
  <c r="B27" i="46"/>
  <c r="B34" i="46"/>
  <c r="B86" i="46"/>
  <c r="B100" i="46"/>
  <c r="B8" i="46"/>
  <c r="B109" i="46"/>
  <c r="B11" i="46"/>
  <c r="B18" i="46"/>
  <c r="B25" i="46"/>
  <c r="B83" i="46"/>
  <c r="F83" i="46" s="1"/>
  <c r="B96" i="46"/>
  <c r="F96" i="46" s="1"/>
  <c r="B118" i="46"/>
  <c r="B80" i="46"/>
  <c r="B93" i="46"/>
  <c r="B125" i="46"/>
  <c r="B106" i="46"/>
  <c r="B108" i="46"/>
  <c r="B110" i="46"/>
  <c r="F107" i="46"/>
  <c r="G107" i="46" s="1"/>
  <c r="B10" i="46"/>
  <c r="F10" i="46" s="1"/>
  <c r="B15" i="46"/>
  <c r="B21" i="46"/>
  <c r="B76" i="46"/>
  <c r="B90" i="46"/>
  <c r="F90" i="46" s="1"/>
  <c r="B103" i="46"/>
  <c r="F103" i="46" s="1"/>
  <c r="B132" i="46"/>
  <c r="L112" i="47"/>
  <c r="B144" i="46"/>
  <c r="B151" i="46"/>
  <c r="B139" i="46"/>
  <c r="B154" i="46"/>
  <c r="B149" i="46"/>
  <c r="B141" i="46"/>
  <c r="B146" i="46"/>
  <c r="B120" i="46"/>
  <c r="B127" i="46"/>
  <c r="B122" i="46"/>
  <c r="B128" i="46"/>
  <c r="B135" i="46"/>
  <c r="B119" i="46"/>
  <c r="B121" i="46"/>
  <c r="B124" i="46"/>
  <c r="B126" i="46"/>
  <c r="B129" i="46"/>
  <c r="B131" i="46"/>
  <c r="B134" i="46"/>
  <c r="B136" i="46"/>
  <c r="B133" i="46"/>
  <c r="B123" i="46"/>
  <c r="B130" i="46"/>
  <c r="B137" i="46"/>
  <c r="B78" i="46"/>
  <c r="B81" i="46"/>
  <c r="B85" i="46"/>
  <c r="B88" i="46"/>
  <c r="B91" i="46"/>
  <c r="B95" i="46"/>
  <c r="B98" i="46"/>
  <c r="B101" i="46"/>
  <c r="B105" i="46"/>
  <c r="B42" i="46"/>
  <c r="B49" i="46"/>
  <c r="B52" i="46"/>
  <c r="B59" i="46"/>
  <c r="B62" i="46"/>
  <c r="B69" i="46"/>
  <c r="B44" i="46"/>
  <c r="B47" i="46"/>
  <c r="B54" i="46"/>
  <c r="B57" i="46"/>
  <c r="B64" i="46"/>
  <c r="B67" i="46"/>
  <c r="B30" i="46"/>
  <c r="B26" i="46"/>
  <c r="B20" i="46"/>
  <c r="B6" i="46"/>
  <c r="B16" i="46"/>
  <c r="B33" i="46"/>
  <c r="B23" i="46"/>
  <c r="B13" i="46"/>
  <c r="B9" i="46"/>
  <c r="B12" i="46"/>
  <c r="B19" i="46"/>
  <c r="B22" i="46"/>
  <c r="B32" i="46"/>
  <c r="F152" i="46"/>
  <c r="F155" i="46"/>
  <c r="F66" i="46" l="1"/>
  <c r="F138" i="46"/>
  <c r="F142" i="46"/>
  <c r="F70" i="46"/>
  <c r="G70" i="46" s="1"/>
  <c r="F41" i="46"/>
  <c r="G41" i="46" s="1"/>
  <c r="F29" i="46"/>
  <c r="F53" i="46"/>
  <c r="G53" i="46" s="1"/>
  <c r="F99" i="46"/>
  <c r="G99" i="46" s="1"/>
  <c r="F151" i="46"/>
  <c r="F92" i="46"/>
  <c r="G92" i="46" s="1"/>
  <c r="F147" i="46"/>
  <c r="F150" i="46"/>
  <c r="G150" i="46" s="1"/>
  <c r="F46" i="46"/>
  <c r="F68" i="46"/>
  <c r="F97" i="46"/>
  <c r="G97" i="46" s="1"/>
  <c r="F79" i="46"/>
  <c r="G79" i="46" s="1"/>
  <c r="F94" i="46"/>
  <c r="F153" i="46"/>
  <c r="G153" i="46" s="1"/>
  <c r="F124" i="46"/>
  <c r="F104" i="46"/>
  <c r="G104" i="46" s="1"/>
  <c r="F17" i="46"/>
  <c r="F125" i="46"/>
  <c r="F31" i="46"/>
  <c r="F35" i="46"/>
  <c r="F28" i="46"/>
  <c r="F24" i="46"/>
  <c r="G24" i="46" s="1"/>
  <c r="F129" i="46"/>
  <c r="F87" i="46"/>
  <c r="G87" i="46" s="1"/>
  <c r="F45" i="46"/>
  <c r="F134" i="46"/>
  <c r="F140" i="46"/>
  <c r="F77" i="46"/>
  <c r="G77" i="46" s="1"/>
  <c r="F143" i="46"/>
  <c r="F82" i="46"/>
  <c r="G82" i="46" s="1"/>
  <c r="F65" i="46"/>
  <c r="F34" i="46"/>
  <c r="F7" i="46"/>
  <c r="F76" i="46"/>
  <c r="F89" i="46"/>
  <c r="G89" i="46" s="1"/>
  <c r="F18" i="46"/>
  <c r="F58" i="46"/>
  <c r="F102" i="46"/>
  <c r="G102" i="46" s="1"/>
  <c r="G142" i="46"/>
  <c r="F14" i="46"/>
  <c r="F154" i="46"/>
  <c r="G154" i="46" s="1"/>
  <c r="F86" i="46"/>
  <c r="F52" i="46"/>
  <c r="F100" i="46"/>
  <c r="F27" i="46"/>
  <c r="G27" i="46" s="1"/>
  <c r="F11" i="46"/>
  <c r="F119" i="46"/>
  <c r="G119" i="46" s="1"/>
  <c r="F131" i="46"/>
  <c r="F8" i="46"/>
  <c r="G8" i="46" s="1"/>
  <c r="F42" i="46"/>
  <c r="F25" i="46"/>
  <c r="G25" i="46" s="1"/>
  <c r="F62" i="46"/>
  <c r="G60" i="46"/>
  <c r="F44" i="46"/>
  <c r="G44" i="46" s="1"/>
  <c r="F64" i="46"/>
  <c r="G64" i="46" s="1"/>
  <c r="G51" i="46"/>
  <c r="F47" i="46"/>
  <c r="G47" i="46" s="1"/>
  <c r="F144" i="46"/>
  <c r="F15" i="46"/>
  <c r="G15" i="46" s="1"/>
  <c r="F80" i="46"/>
  <c r="F149" i="46"/>
  <c r="G149" i="46" s="1"/>
  <c r="G138" i="46"/>
  <c r="F136" i="46"/>
  <c r="G136" i="46" s="1"/>
  <c r="F93" i="46"/>
  <c r="F120" i="46"/>
  <c r="F54" i="46"/>
  <c r="G54" i="46" s="1"/>
  <c r="F121" i="46"/>
  <c r="G121" i="46" s="1"/>
  <c r="F132" i="46"/>
  <c r="G132" i="46" s="1"/>
  <c r="F21" i="46"/>
  <c r="G50" i="46"/>
  <c r="F22" i="46"/>
  <c r="G22" i="46" s="1"/>
  <c r="F108" i="46"/>
  <c r="G108" i="46" s="1"/>
  <c r="F122" i="46"/>
  <c r="G122" i="46" s="1"/>
  <c r="F118" i="46"/>
  <c r="F59" i="46"/>
  <c r="F109" i="46"/>
  <c r="G109" i="46" s="1"/>
  <c r="F6" i="46"/>
  <c r="G6" i="46" s="1"/>
  <c r="F57" i="46"/>
  <c r="F12" i="46"/>
  <c r="G12" i="46" s="1"/>
  <c r="F110" i="46"/>
  <c r="G110" i="46" s="1"/>
  <c r="F106" i="46"/>
  <c r="G106" i="46" s="1"/>
  <c r="F139" i="46"/>
  <c r="G139" i="46" s="1"/>
  <c r="F137" i="46"/>
  <c r="G137" i="46" s="1"/>
  <c r="G145" i="46"/>
  <c r="F69" i="46"/>
  <c r="G90" i="46"/>
  <c r="F141" i="46"/>
  <c r="G141" i="46" s="1"/>
  <c r="G83" i="46"/>
  <c r="G55" i="46"/>
  <c r="G43" i="46"/>
  <c r="G61" i="46"/>
  <c r="G48" i="46"/>
  <c r="G56" i="46"/>
  <c r="G155" i="46"/>
  <c r="G152" i="46"/>
  <c r="F146" i="46"/>
  <c r="G148" i="46"/>
  <c r="F128" i="46"/>
  <c r="F130" i="46"/>
  <c r="F123" i="46"/>
  <c r="F126" i="46"/>
  <c r="F133" i="46"/>
  <c r="F135" i="46"/>
  <c r="F127" i="46"/>
  <c r="F91" i="46"/>
  <c r="G96" i="46"/>
  <c r="F98" i="46"/>
  <c r="F85" i="46"/>
  <c r="G103" i="46"/>
  <c r="F78" i="46"/>
  <c r="F105" i="46"/>
  <c r="F88" i="46"/>
  <c r="F101" i="46"/>
  <c r="G84" i="46"/>
  <c r="F95" i="46"/>
  <c r="F81" i="46"/>
  <c r="G66" i="46"/>
  <c r="F49" i="46"/>
  <c r="F67" i="46"/>
  <c r="G63" i="46"/>
  <c r="F33" i="46"/>
  <c r="G10" i="46"/>
  <c r="F20" i="46"/>
  <c r="F19" i="46"/>
  <c r="F13" i="46"/>
  <c r="F26" i="46"/>
  <c r="F9" i="46"/>
  <c r="F23" i="46"/>
  <c r="F16" i="46"/>
  <c r="G29" i="46"/>
  <c r="F32" i="46"/>
  <c r="F30" i="46"/>
  <c r="G94" i="46" l="1"/>
  <c r="G31" i="46"/>
  <c r="G35" i="46"/>
  <c r="G140" i="46"/>
  <c r="G151" i="46"/>
  <c r="G147" i="46"/>
  <c r="G46" i="46"/>
  <c r="G14" i="46"/>
  <c r="G17" i="46"/>
  <c r="G11" i="46"/>
  <c r="G125" i="46"/>
  <c r="G7" i="46"/>
  <c r="G68" i="46"/>
  <c r="G124" i="46"/>
  <c r="G45" i="46"/>
  <c r="G129" i="46"/>
  <c r="G28" i="46"/>
  <c r="G76" i="46"/>
  <c r="G134" i="46"/>
  <c r="G143" i="46"/>
  <c r="G58" i="46"/>
  <c r="G65" i="46"/>
  <c r="G52" i="46"/>
  <c r="G18" i="46"/>
  <c r="G34" i="46"/>
  <c r="G100" i="46"/>
  <c r="G42" i="46"/>
  <c r="G62" i="46"/>
  <c r="G86" i="46"/>
  <c r="G21" i="46"/>
  <c r="G131" i="46"/>
  <c r="G144" i="46"/>
  <c r="G69" i="46"/>
  <c r="G80" i="46"/>
  <c r="G59" i="46"/>
  <c r="G57" i="46"/>
  <c r="G120" i="46"/>
  <c r="G118" i="46"/>
  <c r="G93" i="46"/>
  <c r="G146" i="46"/>
  <c r="G126" i="46"/>
  <c r="G127" i="46"/>
  <c r="G123" i="46"/>
  <c r="G135" i="46"/>
  <c r="G130" i="46"/>
  <c r="G133" i="46"/>
  <c r="G128" i="46"/>
  <c r="G78" i="46"/>
  <c r="G85" i="46"/>
  <c r="G91" i="46"/>
  <c r="G105" i="46"/>
  <c r="G98" i="46"/>
  <c r="G81" i="46"/>
  <c r="G101" i="46"/>
  <c r="G95" i="46"/>
  <c r="G88" i="46"/>
  <c r="G49" i="46"/>
  <c r="G67" i="46"/>
  <c r="G23" i="46"/>
  <c r="G9" i="46"/>
  <c r="G32" i="46"/>
  <c r="G26" i="46"/>
  <c r="G30" i="46"/>
  <c r="G13" i="46"/>
  <c r="G16" i="46"/>
  <c r="G19" i="46"/>
  <c r="G20" i="46"/>
  <c r="G33" i="46"/>
  <c r="H31" i="44"/>
  <c r="G31" i="44"/>
  <c r="F31" i="44"/>
  <c r="E31" i="44"/>
  <c r="D31" i="44"/>
  <c r="C31" i="44"/>
  <c r="B21" i="44"/>
  <c r="B31" i="44" s="1"/>
  <c r="L158" i="47"/>
  <c r="K158" i="47"/>
  <c r="I158" i="47"/>
  <c r="H158" i="47"/>
  <c r="F158" i="47"/>
  <c r="E158" i="47"/>
  <c r="C158" i="47"/>
  <c r="B158" i="47"/>
  <c r="H157" i="46"/>
  <c r="D157" i="46"/>
  <c r="C157" i="46"/>
  <c r="E157" i="46"/>
  <c r="F157" i="46"/>
  <c r="H112" i="46"/>
  <c r="F112" i="46"/>
  <c r="E112" i="46"/>
  <c r="D112" i="46"/>
  <c r="C112" i="46"/>
  <c r="B112" i="46"/>
  <c r="A37" i="46"/>
  <c r="A72" i="46" s="1"/>
  <c r="G157" i="45"/>
  <c r="F157" i="45"/>
  <c r="E157" i="45"/>
  <c r="D157" i="45"/>
  <c r="C157" i="45"/>
  <c r="B157" i="45"/>
  <c r="G112" i="45"/>
  <c r="G158" i="45" s="1"/>
  <c r="F112" i="45"/>
  <c r="F158" i="45" s="1"/>
  <c r="E112" i="45"/>
  <c r="E158" i="45" s="1"/>
  <c r="D112" i="45"/>
  <c r="D158" i="45" s="1"/>
  <c r="C112" i="45"/>
  <c r="C158" i="45" s="1"/>
  <c r="B112" i="45"/>
  <c r="B158" i="45" s="1"/>
  <c r="A37" i="45"/>
  <c r="A72" i="45" s="1"/>
  <c r="H30" i="44"/>
  <c r="G30" i="44"/>
  <c r="F30" i="44"/>
  <c r="E30" i="44"/>
  <c r="D30" i="44"/>
  <c r="C30" i="44"/>
  <c r="H29" i="44"/>
  <c r="G29" i="44"/>
  <c r="F29" i="44"/>
  <c r="E29" i="44"/>
  <c r="D29" i="44"/>
  <c r="C29" i="44"/>
  <c r="H28" i="44"/>
  <c r="G28" i="44"/>
  <c r="F28" i="44"/>
  <c r="E28" i="44"/>
  <c r="D28" i="44"/>
  <c r="C28" i="44"/>
  <c r="H27" i="44"/>
  <c r="G27" i="44"/>
  <c r="F27" i="44"/>
  <c r="E27" i="44"/>
  <c r="D27" i="44"/>
  <c r="C27" i="44"/>
  <c r="B20" i="44"/>
  <c r="B30" i="44" s="1"/>
  <c r="B19" i="44"/>
  <c r="B29" i="44" s="1"/>
  <c r="B18" i="44"/>
  <c r="B28" i="44" s="1"/>
  <c r="B17" i="44"/>
  <c r="B27" i="44" s="1"/>
  <c r="B22" i="44" l="1"/>
  <c r="B32" i="44" s="1"/>
  <c r="C158" i="46"/>
  <c r="H158" i="46"/>
  <c r="F158" i="46"/>
  <c r="D158" i="46"/>
  <c r="B158" i="46"/>
  <c r="E158" i="46"/>
  <c r="E160" i="46" s="1"/>
  <c r="E160" i="47"/>
  <c r="K160" i="47"/>
  <c r="B160" i="47"/>
  <c r="H160" i="47"/>
  <c r="C160" i="46"/>
  <c r="B157" i="46"/>
  <c r="D160" i="45"/>
  <c r="C160" i="45"/>
  <c r="E160" i="45"/>
  <c r="G160" i="45"/>
  <c r="G157" i="46"/>
  <c r="C160" i="47"/>
  <c r="I160" i="47"/>
  <c r="B160" i="45"/>
  <c r="F160" i="45"/>
  <c r="F160" i="47"/>
  <c r="L160" i="47"/>
  <c r="G112" i="46"/>
  <c r="B23" i="44" l="1"/>
  <c r="B33" i="44" s="1"/>
  <c r="B24" i="44"/>
  <c r="B34" i="44" s="1"/>
  <c r="F160" i="46"/>
  <c r="B160" i="46"/>
  <c r="D160" i="46"/>
  <c r="G158" i="46"/>
  <c r="H160" i="46"/>
  <c r="D32" i="44" l="1"/>
  <c r="G160" i="46"/>
  <c r="H22" i="44"/>
  <c r="F32" i="44"/>
  <c r="E32" i="44"/>
  <c r="G32" i="44"/>
  <c r="H12" i="44"/>
  <c r="C32" i="44"/>
  <c r="H32" i="44" l="1"/>
  <c r="F156" i="24" l="1"/>
  <c r="I46" i="22" l="1"/>
  <c r="H46" i="22"/>
  <c r="G46" i="22"/>
  <c r="F46" i="22"/>
  <c r="E46" i="22"/>
  <c r="D46" i="22"/>
  <c r="C46" i="22"/>
  <c r="B46" i="22"/>
  <c r="I45" i="22"/>
  <c r="H45" i="22"/>
  <c r="G45" i="22"/>
  <c r="F45" i="22"/>
  <c r="E45" i="22"/>
  <c r="D45" i="22"/>
  <c r="C45" i="22"/>
  <c r="B45" i="22"/>
  <c r="H17" i="22"/>
  <c r="G17" i="22"/>
  <c r="F17" i="22"/>
  <c r="E17" i="22"/>
  <c r="D17" i="22"/>
  <c r="C17" i="22"/>
  <c r="B17" i="22"/>
  <c r="H16" i="22"/>
  <c r="G16" i="22"/>
  <c r="F16" i="22"/>
  <c r="E16" i="22"/>
  <c r="D16" i="22"/>
  <c r="C16" i="22"/>
  <c r="B16" i="22"/>
  <c r="G18" i="21"/>
  <c r="F18" i="21"/>
  <c r="E18" i="21"/>
  <c r="D18" i="21"/>
  <c r="C18" i="21"/>
  <c r="B18" i="21"/>
  <c r="G17" i="21" l="1"/>
  <c r="F17" i="21"/>
  <c r="E17" i="21"/>
  <c r="D17" i="21"/>
  <c r="C17" i="21"/>
  <c r="B17" i="21"/>
  <c r="O16" i="17" l="1"/>
  <c r="N16" i="17"/>
  <c r="M6" i="17"/>
  <c r="M7" i="17"/>
  <c r="M8" i="17"/>
  <c r="P8" i="17" s="1"/>
  <c r="D15" i="14"/>
  <c r="P7" i="17" l="1"/>
  <c r="M16" i="17"/>
  <c r="B38" i="3"/>
  <c r="B33" i="3"/>
  <c r="B13" i="3"/>
  <c r="B17" i="3"/>
  <c r="B16" i="3"/>
  <c r="B18" i="3" s="1"/>
  <c r="B8" i="3"/>
  <c r="C38" i="3"/>
  <c r="C33" i="3"/>
  <c r="C17" i="3"/>
  <c r="C16" i="3"/>
  <c r="C8" i="3"/>
  <c r="D38" i="3"/>
  <c r="D33" i="3"/>
  <c r="D17" i="3"/>
  <c r="D16" i="3"/>
  <c r="D8" i="3"/>
  <c r="E38" i="3"/>
  <c r="E33" i="3"/>
  <c r="E17" i="3"/>
  <c r="E16" i="3"/>
  <c r="E8" i="3"/>
  <c r="F38" i="3"/>
  <c r="F33" i="3"/>
  <c r="F17" i="3"/>
  <c r="F16" i="3"/>
  <c r="F8" i="3"/>
  <c r="H38" i="3"/>
  <c r="M2" i="3"/>
  <c r="K8" i="3"/>
  <c r="B40" i="3" l="1"/>
  <c r="P16" i="17"/>
  <c r="D18" i="3"/>
  <c r="C13" i="3"/>
  <c r="C40" i="3" s="1"/>
  <c r="D13" i="3"/>
  <c r="D40" i="3" s="1"/>
  <c r="C18" i="3"/>
  <c r="E18" i="3"/>
  <c r="F18" i="3"/>
  <c r="E13" i="3"/>
  <c r="E40" i="3" s="1"/>
  <c r="F13" i="3"/>
  <c r="F40" i="3" s="1"/>
  <c r="O15" i="17" l="1"/>
  <c r="N15" i="17"/>
  <c r="P15" i="17" s="1"/>
  <c r="M3" i="4" l="1"/>
  <c r="M28" i="4"/>
  <c r="M36" i="4"/>
  <c r="M35" i="4"/>
  <c r="M34" i="4"/>
  <c r="M33" i="4"/>
  <c r="M32" i="4"/>
  <c r="M31" i="4"/>
  <c r="M30" i="4"/>
  <c r="M29" i="4"/>
  <c r="M27" i="4"/>
  <c r="M26" i="4"/>
  <c r="M25" i="4"/>
  <c r="M24" i="4"/>
  <c r="M23" i="4"/>
  <c r="M22" i="4"/>
  <c r="M16" i="4"/>
  <c r="M15" i="4"/>
  <c r="M14" i="4"/>
  <c r="M13" i="4"/>
  <c r="M12" i="4"/>
  <c r="M11" i="4"/>
  <c r="M10" i="4"/>
  <c r="M8" i="4"/>
  <c r="J58" i="4" l="1"/>
  <c r="M9" i="4"/>
  <c r="M21" i="4"/>
  <c r="I43" i="13"/>
  <c r="H43" i="13"/>
  <c r="F32" i="18" l="1"/>
  <c r="M54" i="19" l="1"/>
  <c r="L54" i="19"/>
  <c r="D59" i="19"/>
  <c r="D58" i="19"/>
  <c r="D57" i="19"/>
  <c r="D56" i="19"/>
  <c r="D55" i="19"/>
  <c r="D54" i="19"/>
  <c r="D53" i="19"/>
  <c r="D52" i="19"/>
  <c r="D51" i="19"/>
  <c r="D50" i="19"/>
  <c r="M31" i="19"/>
  <c r="M56" i="19" s="1"/>
  <c r="L31" i="19"/>
  <c r="L56" i="19" s="1"/>
  <c r="N29" i="19"/>
  <c r="N28" i="19"/>
  <c r="N27" i="19"/>
  <c r="N26" i="19"/>
  <c r="N25" i="19"/>
  <c r="N24" i="19"/>
  <c r="N23" i="19"/>
  <c r="N22" i="19"/>
  <c r="N21" i="19"/>
  <c r="N20" i="19"/>
  <c r="N19" i="19"/>
  <c r="N18" i="19"/>
  <c r="N17" i="19"/>
  <c r="N16" i="19"/>
  <c r="N15" i="19"/>
  <c r="N14" i="19"/>
  <c r="N13" i="19"/>
  <c r="N12" i="19"/>
  <c r="N11" i="19"/>
  <c r="N10" i="19"/>
  <c r="N9" i="19"/>
  <c r="N8" i="19"/>
  <c r="N7" i="19"/>
  <c r="N6" i="19"/>
  <c r="N5" i="19"/>
  <c r="N54" i="19" l="1"/>
  <c r="N31" i="19"/>
  <c r="F19" i="23"/>
  <c r="F20" i="23"/>
  <c r="F22" i="23"/>
  <c r="F23" i="23"/>
  <c r="F24" i="23"/>
  <c r="F13" i="23"/>
  <c r="F12" i="23"/>
  <c r="F11" i="23"/>
  <c r="F10" i="23"/>
  <c r="F9" i="23"/>
  <c r="F8" i="23"/>
  <c r="F7" i="23"/>
  <c r="F6" i="23"/>
  <c r="O96" i="25" l="1"/>
  <c r="K44" i="25"/>
  <c r="O98" i="25" s="1"/>
  <c r="G51" i="25"/>
  <c r="O97" i="25" s="1"/>
  <c r="H160" i="11" l="1"/>
  <c r="C160" i="11"/>
  <c r="C115" i="11"/>
  <c r="M118" i="10" l="1"/>
  <c r="L118" i="10"/>
  <c r="K118" i="10"/>
  <c r="I118" i="10"/>
  <c r="H118" i="10"/>
  <c r="G118" i="10"/>
  <c r="F118" i="10"/>
  <c r="D118" i="10"/>
  <c r="C118" i="10"/>
  <c r="M165" i="10"/>
  <c r="L165" i="10"/>
  <c r="K165" i="10"/>
  <c r="I165" i="10"/>
  <c r="H165" i="10"/>
  <c r="G165" i="10"/>
  <c r="F165" i="10"/>
  <c r="D165" i="10"/>
  <c r="C165" i="10"/>
  <c r="C46" i="9" l="1"/>
  <c r="D46" i="9"/>
  <c r="D88" i="9" s="1"/>
  <c r="E46" i="9"/>
  <c r="E88" i="9" s="1"/>
  <c r="F46" i="9"/>
  <c r="F88" i="9" s="1"/>
  <c r="G46" i="9"/>
  <c r="G88" i="9" s="1"/>
  <c r="H46" i="9"/>
  <c r="H88" i="9" s="1"/>
  <c r="I46" i="9"/>
  <c r="I88" i="9" s="1"/>
  <c r="J46" i="9"/>
  <c r="J88" i="9" s="1"/>
  <c r="K46" i="9"/>
  <c r="L46" i="9"/>
  <c r="L88" i="9" s="1"/>
  <c r="M46" i="9"/>
  <c r="M88" i="9" s="1"/>
  <c r="C88" i="9"/>
  <c r="K88" i="9"/>
  <c r="D167" i="9" l="1"/>
  <c r="E167" i="9"/>
  <c r="F167" i="9"/>
  <c r="G167" i="9"/>
  <c r="H167" i="9"/>
  <c r="I167" i="9"/>
  <c r="J167" i="9"/>
  <c r="K167" i="9"/>
  <c r="L167" i="9"/>
  <c r="M167" i="9"/>
  <c r="C167" i="9"/>
  <c r="D118" i="9"/>
  <c r="E118" i="9"/>
  <c r="F118" i="9"/>
  <c r="G118" i="9"/>
  <c r="H118" i="9"/>
  <c r="I118" i="9"/>
  <c r="J118" i="9"/>
  <c r="K118" i="9"/>
  <c r="L118" i="9"/>
  <c r="M118" i="9"/>
  <c r="C118" i="9"/>
  <c r="I31" i="8" l="1"/>
  <c r="H31" i="8"/>
  <c r="G31" i="8"/>
  <c r="F31" i="8"/>
  <c r="E31" i="8"/>
  <c r="D31" i="8"/>
  <c r="M31" i="8" l="1"/>
  <c r="B32" i="18"/>
  <c r="B43" i="13" l="1"/>
  <c r="C43" i="13"/>
  <c r="E43" i="13"/>
  <c r="F43" i="13"/>
  <c r="K43" i="13"/>
  <c r="L43" i="13"/>
  <c r="D31" i="7" l="1"/>
  <c r="G31" i="7" l="1"/>
  <c r="H31" i="6" l="1"/>
  <c r="Z32" i="3" l="1"/>
  <c r="K38" i="3" l="1"/>
  <c r="C24" i="30" l="1"/>
  <c r="M8" i="3" l="1"/>
  <c r="M7" i="3" l="1"/>
  <c r="N169" i="9" l="1"/>
  <c r="N165" i="9"/>
  <c r="N164" i="9"/>
  <c r="N163" i="9"/>
  <c r="N162" i="9"/>
  <c r="N161" i="9"/>
  <c r="N160" i="9"/>
  <c r="N159" i="9"/>
  <c r="N158" i="9"/>
  <c r="N157" i="9"/>
  <c r="N156" i="9"/>
  <c r="N155" i="9"/>
  <c r="N154" i="9"/>
  <c r="N153" i="9"/>
  <c r="N152" i="9"/>
  <c r="N151" i="9"/>
  <c r="N150" i="9"/>
  <c r="N149" i="9"/>
  <c r="N148" i="9"/>
  <c r="M124" i="9"/>
  <c r="L124" i="9"/>
  <c r="K124" i="9"/>
  <c r="J124" i="9"/>
  <c r="I124" i="9"/>
  <c r="H124" i="9"/>
  <c r="G124" i="9"/>
  <c r="F124" i="9"/>
  <c r="E124" i="9"/>
  <c r="D124" i="9"/>
  <c r="C124" i="9"/>
  <c r="N147" i="9"/>
  <c r="N146" i="9"/>
  <c r="N145" i="9"/>
  <c r="N144" i="9"/>
  <c r="N143" i="9"/>
  <c r="N142" i="9"/>
  <c r="N141" i="9"/>
  <c r="N140" i="9"/>
  <c r="N139" i="9"/>
  <c r="N138" i="9"/>
  <c r="N137" i="9"/>
  <c r="N136" i="9"/>
  <c r="N135" i="9"/>
  <c r="N134" i="9"/>
  <c r="N133" i="9"/>
  <c r="N132" i="9"/>
  <c r="N131" i="9"/>
  <c r="N130" i="9"/>
  <c r="N129" i="9"/>
  <c r="N128" i="9"/>
  <c r="N167" i="9" l="1"/>
  <c r="N118" i="9"/>
  <c r="N124" i="9"/>
  <c r="D168" i="9"/>
  <c r="D171" i="9" s="1"/>
  <c r="H168" i="9"/>
  <c r="H171" i="9" s="1"/>
  <c r="L168" i="9"/>
  <c r="L171" i="9" s="1"/>
  <c r="E168" i="9"/>
  <c r="E171" i="9" s="1"/>
  <c r="I168" i="9"/>
  <c r="I171" i="9" s="1"/>
  <c r="M168" i="9"/>
  <c r="M171" i="9" s="1"/>
  <c r="N46" i="9"/>
  <c r="N88" i="9" s="1"/>
  <c r="F168" i="9"/>
  <c r="F171" i="9" s="1"/>
  <c r="J168" i="9"/>
  <c r="J171" i="9" s="1"/>
  <c r="C168" i="9"/>
  <c r="C171" i="9" s="1"/>
  <c r="G168" i="9"/>
  <c r="G171" i="9" s="1"/>
  <c r="K168" i="9"/>
  <c r="K171" i="9" s="1"/>
  <c r="N168" i="9" l="1"/>
  <c r="N171" i="9" s="1"/>
  <c r="K23" i="6"/>
  <c r="M39" i="4" l="1"/>
  <c r="K12" i="3" l="1"/>
  <c r="K17" i="3" l="1"/>
  <c r="O12" i="3"/>
  <c r="F26" i="23"/>
  <c r="M17" i="3" l="1"/>
  <c r="O17" i="3"/>
  <c r="F5" i="23"/>
  <c r="F14" i="23"/>
  <c r="F15" i="23"/>
  <c r="D31" i="6" l="1"/>
  <c r="H25" i="36" l="1"/>
  <c r="G25" i="36"/>
  <c r="F25" i="36"/>
  <c r="E25" i="36"/>
  <c r="D25" i="36"/>
  <c r="C25" i="36"/>
  <c r="H24" i="36"/>
  <c r="G24" i="36"/>
  <c r="F24" i="36"/>
  <c r="E24" i="36"/>
  <c r="D24" i="36"/>
  <c r="C24" i="36"/>
  <c r="H23" i="36"/>
  <c r="G23" i="36"/>
  <c r="F23" i="36"/>
  <c r="E23" i="36"/>
  <c r="D23" i="36"/>
  <c r="C23" i="36"/>
  <c r="H22" i="36"/>
  <c r="G22" i="36"/>
  <c r="F22" i="36"/>
  <c r="E22" i="36"/>
  <c r="D22" i="36"/>
  <c r="C22" i="36"/>
  <c r="B18" i="36"/>
  <c r="B25" i="36" s="1"/>
  <c r="B17" i="36"/>
  <c r="B24" i="36" s="1"/>
  <c r="B16" i="36"/>
  <c r="B23" i="36" s="1"/>
  <c r="B15" i="36"/>
  <c r="B22" i="36" s="1"/>
  <c r="B12" i="36"/>
  <c r="B19" i="36" s="1"/>
  <c r="B26" i="36" s="1"/>
  <c r="G193" i="35"/>
  <c r="F193" i="35"/>
  <c r="E193" i="35"/>
  <c r="D193" i="35"/>
  <c r="C193" i="35"/>
  <c r="B193" i="35"/>
  <c r="G136" i="35"/>
  <c r="F136" i="35"/>
  <c r="E136" i="35"/>
  <c r="D136" i="35"/>
  <c r="C136" i="35"/>
  <c r="B136" i="35"/>
  <c r="A43" i="35"/>
  <c r="A84" i="35" s="1"/>
  <c r="A125" i="35" s="1"/>
  <c r="A166" i="35" s="1"/>
  <c r="E194" i="35" l="1"/>
  <c r="F194" i="35"/>
  <c r="G194" i="35"/>
  <c r="B194" i="35"/>
  <c r="C194" i="35"/>
  <c r="D194" i="35"/>
  <c r="D196" i="35" l="1"/>
  <c r="B196" i="35"/>
  <c r="F196" i="35"/>
  <c r="C196" i="35"/>
  <c r="G196" i="35"/>
  <c r="E196" i="35"/>
  <c r="D32" i="18"/>
  <c r="H19" i="36" l="1"/>
  <c r="C208" i="35"/>
  <c r="F208" i="35"/>
  <c r="H12" i="36"/>
  <c r="B208" i="35"/>
  <c r="E208" i="35"/>
  <c r="D208" i="35"/>
  <c r="G208" i="35"/>
  <c r="F26" i="36"/>
  <c r="D26" i="36"/>
  <c r="E26" i="36"/>
  <c r="G26" i="36"/>
  <c r="D30" i="36"/>
  <c r="F30" i="36"/>
  <c r="E30" i="36"/>
  <c r="G30" i="36"/>
  <c r="C30" i="36" l="1"/>
  <c r="C26" i="36"/>
  <c r="H30" i="36"/>
  <c r="H26" i="36"/>
  <c r="E20" i="5" l="1"/>
  <c r="G32" i="18" l="1"/>
  <c r="D5" i="19" l="1"/>
  <c r="E16" i="23"/>
  <c r="D16" i="23"/>
  <c r="A41" i="24" l="1"/>
  <c r="A80" i="24" s="1"/>
  <c r="A111" i="24" s="1"/>
  <c r="A44" i="10" l="1"/>
  <c r="A86" i="10" s="1"/>
  <c r="A120" i="10" s="1"/>
  <c r="B15" i="15" l="1"/>
  <c r="C9" i="15" l="1"/>
  <c r="C13" i="15"/>
  <c r="C10" i="15"/>
  <c r="C14" i="15"/>
  <c r="C7" i="15"/>
  <c r="C11" i="15"/>
  <c r="C6" i="15"/>
  <c r="C8" i="15"/>
  <c r="C12" i="15"/>
  <c r="E13" i="14" l="1"/>
  <c r="C15" i="15" l="1"/>
  <c r="K6" i="6" l="1"/>
  <c r="K30" i="6" l="1"/>
  <c r="L58" i="19" l="1"/>
  <c r="K21" i="6" l="1"/>
  <c r="H15" i="15" l="1"/>
  <c r="H17" i="15" l="1"/>
  <c r="I7" i="15"/>
  <c r="I11" i="15"/>
  <c r="I6" i="15"/>
  <c r="I9" i="15"/>
  <c r="I10" i="15"/>
  <c r="I14" i="15"/>
  <c r="I8" i="15"/>
  <c r="I12" i="15"/>
  <c r="I13" i="15"/>
  <c r="F25" i="23"/>
  <c r="I15" i="15" l="1"/>
  <c r="I17" i="15"/>
  <c r="I16" i="15"/>
  <c r="F27" i="23" l="1"/>
  <c r="J11" i="3" l="1"/>
  <c r="B16" i="32"/>
  <c r="B18" i="32" s="1"/>
  <c r="J13" i="3" l="1"/>
  <c r="J16" i="3"/>
  <c r="J18" i="3" s="1"/>
  <c r="J41" i="4"/>
  <c r="J57" i="4" s="1"/>
  <c r="M7" i="4"/>
  <c r="A56" i="25"/>
  <c r="B153" i="24"/>
  <c r="A42" i="19"/>
  <c r="I16" i="32" l="1"/>
  <c r="I18" i="32" s="1"/>
  <c r="H16" i="32"/>
  <c r="H18" i="32" s="1"/>
  <c r="G16" i="32"/>
  <c r="G18" i="32" s="1"/>
  <c r="D16" i="32"/>
  <c r="D18" i="32" s="1"/>
  <c r="C16" i="32"/>
  <c r="C18" i="32" s="1"/>
  <c r="J17" i="32" l="1"/>
  <c r="J12" i="32"/>
  <c r="J8" i="32"/>
  <c r="J15" i="32"/>
  <c r="J11" i="32"/>
  <c r="J9" i="32"/>
  <c r="J14" i="32"/>
  <c r="J10" i="32"/>
  <c r="J13" i="32"/>
  <c r="E13" i="32"/>
  <c r="E9" i="32"/>
  <c r="E14" i="32"/>
  <c r="E17" i="32"/>
  <c r="E12" i="32"/>
  <c r="E8" i="32"/>
  <c r="E15" i="32"/>
  <c r="E11" i="32"/>
  <c r="E10" i="32"/>
  <c r="G18" i="4"/>
  <c r="H16" i="3" l="1"/>
  <c r="H18" i="3" s="1"/>
  <c r="H13" i="3"/>
  <c r="H40" i="3" s="1"/>
  <c r="E16" i="32"/>
  <c r="E18" i="32" s="1"/>
  <c r="J16" i="32"/>
  <c r="J18" i="32" s="1"/>
  <c r="G41" i="4"/>
  <c r="G57" i="4" s="1"/>
  <c r="K13" i="6" l="1"/>
  <c r="M6" i="3" l="1"/>
  <c r="I38" i="19" l="1"/>
  <c r="I59" i="19"/>
  <c r="I58" i="19"/>
  <c r="I57" i="19"/>
  <c r="I56" i="19"/>
  <c r="I55" i="19"/>
  <c r="I54" i="19"/>
  <c r="I53" i="19"/>
  <c r="I52" i="19"/>
  <c r="I51" i="19"/>
  <c r="I50" i="19"/>
  <c r="I49" i="19"/>
  <c r="I48" i="19"/>
  <c r="I47" i="19"/>
  <c r="I46" i="19"/>
  <c r="I45" i="19"/>
  <c r="I39" i="19"/>
  <c r="I37" i="19"/>
  <c r="I36" i="19"/>
  <c r="I35" i="19"/>
  <c r="I34" i="19"/>
  <c r="I33" i="19"/>
  <c r="I32" i="19"/>
  <c r="I31" i="19"/>
  <c r="I30" i="19"/>
  <c r="I29" i="19"/>
  <c r="I28" i="19"/>
  <c r="I27" i="19"/>
  <c r="I26" i="19"/>
  <c r="I25" i="19"/>
  <c r="I24" i="19"/>
  <c r="I23" i="19"/>
  <c r="I22" i="19"/>
  <c r="I21" i="19"/>
  <c r="I20" i="19"/>
  <c r="I19" i="19"/>
  <c r="I18" i="19"/>
  <c r="I17" i="19"/>
  <c r="I16" i="19"/>
  <c r="I15" i="19"/>
  <c r="I11" i="19"/>
  <c r="I12" i="19"/>
  <c r="I13" i="19"/>
  <c r="I14" i="19"/>
  <c r="I10" i="19"/>
  <c r="I7" i="19"/>
  <c r="I8" i="19"/>
  <c r="I9" i="19"/>
  <c r="I6" i="19"/>
  <c r="I5" i="19"/>
  <c r="D49" i="19"/>
  <c r="D47" i="19"/>
  <c r="D48" i="19"/>
  <c r="D46" i="19"/>
  <c r="D45"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D11" i="19"/>
  <c r="D12" i="19"/>
  <c r="D13" i="19"/>
  <c r="D14" i="19"/>
  <c r="D10" i="19"/>
  <c r="D6" i="19"/>
  <c r="E32" i="18" l="1"/>
  <c r="M58" i="19" l="1"/>
  <c r="M18" i="4" l="1"/>
  <c r="K41" i="4" l="1"/>
  <c r="K11" i="3"/>
  <c r="O11" i="3" s="1"/>
  <c r="N13" i="4" l="1"/>
  <c r="N9" i="4"/>
  <c r="N8" i="4"/>
  <c r="K57" i="4"/>
  <c r="N58" i="4" s="1"/>
  <c r="M41" i="4"/>
  <c r="K16" i="3"/>
  <c r="O16" i="3" s="1"/>
  <c r="Z29" i="3"/>
  <c r="K13" i="3"/>
  <c r="K40" i="3" s="1"/>
  <c r="K18" i="3" l="1"/>
  <c r="M18" i="3" s="1"/>
  <c r="E31" i="6" l="1"/>
  <c r="Z30" i="3" l="1"/>
  <c r="AA30" i="3" s="1"/>
  <c r="Z31" i="3" l="1"/>
  <c r="AA31" i="3" s="1"/>
  <c r="K7" i="6" l="1"/>
  <c r="K8" i="6"/>
  <c r="K9" i="6"/>
  <c r="K10" i="6"/>
  <c r="K11" i="6"/>
  <c r="K12" i="6"/>
  <c r="K14" i="6"/>
  <c r="K15" i="6"/>
  <c r="K16" i="6"/>
  <c r="K17" i="6"/>
  <c r="K18" i="6"/>
  <c r="K19" i="6"/>
  <c r="K20" i="6"/>
  <c r="K22" i="6"/>
  <c r="K24" i="6"/>
  <c r="K25" i="6"/>
  <c r="K26" i="6"/>
  <c r="K27" i="6"/>
  <c r="K28" i="6"/>
  <c r="K29" i="6"/>
  <c r="J31" i="6" l="1"/>
  <c r="AA29" i="3" l="1"/>
  <c r="E31" i="7" l="1"/>
  <c r="F31" i="7"/>
  <c r="K31" i="7" l="1"/>
  <c r="G156" i="24"/>
  <c r="E156" i="24" l="1"/>
  <c r="B154" i="24" l="1"/>
  <c r="B156" i="24" s="1"/>
  <c r="B109" i="24"/>
  <c r="C32" i="18"/>
  <c r="C156" i="24" l="1"/>
  <c r="D156" i="24"/>
  <c r="A121" i="10" l="1"/>
  <c r="A87" i="10"/>
  <c r="A45" i="10"/>
  <c r="F16" i="23"/>
  <c r="I166" i="10" l="1"/>
  <c r="I169" i="10" s="1"/>
  <c r="M166" i="10"/>
  <c r="M169" i="10" s="1"/>
  <c r="D166" i="10"/>
  <c r="D169" i="10" s="1"/>
  <c r="H166" i="10"/>
  <c r="H169" i="10" s="1"/>
  <c r="L166" i="10"/>
  <c r="L169" i="10" s="1"/>
  <c r="G166" i="10"/>
  <c r="G169" i="10" s="1"/>
  <c r="K166" i="10"/>
  <c r="K169" i="10" s="1"/>
  <c r="F166" i="10"/>
  <c r="F169" i="10" s="1"/>
  <c r="C166" i="10" l="1"/>
  <c r="C169" i="10" s="1"/>
  <c r="F31" i="6" l="1"/>
  <c r="G31" i="6"/>
  <c r="I31" i="6"/>
  <c r="K31" i="6" s="1"/>
  <c r="G160" i="11"/>
  <c r="F160" i="11"/>
  <c r="E160" i="11"/>
  <c r="D160" i="11"/>
  <c r="H115" i="11"/>
  <c r="H161" i="11" s="1"/>
  <c r="G115" i="11"/>
  <c r="G161" i="11" s="1"/>
  <c r="F115" i="11"/>
  <c r="F161" i="11" s="1"/>
  <c r="E115" i="11"/>
  <c r="E161" i="11" s="1"/>
  <c r="D115" i="11"/>
  <c r="D161" i="11" s="1"/>
  <c r="C161" i="11"/>
  <c r="C164" i="11" s="1"/>
  <c r="A118" i="11"/>
  <c r="D9" i="19"/>
  <c r="D8" i="19"/>
  <c r="D7" i="19"/>
  <c r="O100" i="25"/>
  <c r="J38" i="3"/>
  <c r="A85" i="11"/>
  <c r="A44" i="11"/>
  <c r="A45" i="9" l="1"/>
  <c r="A87" i="9"/>
  <c r="A123" i="9"/>
  <c r="H164" i="11"/>
  <c r="G164" i="11"/>
  <c r="J40" i="3"/>
  <c r="F164" i="11"/>
  <c r="N56" i="19"/>
  <c r="N58" i="19" s="1"/>
  <c r="E164" i="11"/>
  <c r="D164" i="11"/>
  <c r="M12" i="3"/>
  <c r="AA19" i="7"/>
  <c r="M16" i="3" l="1"/>
  <c r="M11" i="3"/>
  <c r="AA21" i="7"/>
  <c r="AA20" i="7"/>
  <c r="M13" i="3" l="1"/>
  <c r="AA22" i="7"/>
  <c r="E15" i="15"/>
  <c r="E17" i="15" l="1"/>
  <c r="F10" i="15"/>
  <c r="F14" i="15"/>
  <c r="F8" i="15"/>
  <c r="F13" i="15"/>
  <c r="F7" i="15"/>
  <c r="F11" i="15"/>
  <c r="F6" i="15"/>
  <c r="F12" i="15"/>
  <c r="F9" i="15"/>
  <c r="F15" i="15" l="1"/>
  <c r="F17" i="15"/>
  <c r="F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 B</author>
  </authors>
  <commentList>
    <comment ref="D5" authorId="0" shapeId="0" xr:uid="{00000000-0006-0000-1200-000001000000}">
      <text>
        <r>
          <rPr>
            <b/>
            <sz val="9"/>
            <color indexed="81"/>
            <rFont val="Tahoma"/>
            <family val="2"/>
          </rPr>
          <t>Frank B:</t>
        </r>
        <r>
          <rPr>
            <sz val="9"/>
            <color indexed="81"/>
            <rFont val="Tahoma"/>
            <family val="2"/>
          </rPr>
          <t xml:space="preserve">
</t>
        </r>
        <r>
          <rPr>
            <sz val="9"/>
            <color indexed="10"/>
            <rFont val="Tahoma"/>
            <family val="2"/>
          </rPr>
          <t>"Missing" collections have been consolidated here in HMO fund (per footnote #14) …which is what the new legislation effective FY 2021 does anyway (per footnote #15)</t>
        </r>
      </text>
    </comment>
    <comment ref="N7" authorId="0" shapeId="0" xr:uid="{00000000-0006-0000-1200-000002000000}">
      <text>
        <r>
          <rPr>
            <b/>
            <sz val="9"/>
            <color indexed="81"/>
            <rFont val="Tahoma"/>
            <family val="2"/>
          </rPr>
          <t>Frank B:</t>
        </r>
        <r>
          <rPr>
            <sz val="9"/>
            <color indexed="81"/>
            <rFont val="Tahoma"/>
            <family val="2"/>
          </rPr>
          <t xml:space="preserve">
4,703,940,000</t>
        </r>
      </text>
    </comment>
    <comment ref="N8" authorId="0" shapeId="0" xr:uid="{00000000-0006-0000-1200-000003000000}">
      <text>
        <r>
          <rPr>
            <b/>
            <sz val="9"/>
            <color indexed="81"/>
            <rFont val="Tahoma"/>
            <family val="2"/>
          </rPr>
          <t>Frank B:</t>
        </r>
        <r>
          <rPr>
            <sz val="9"/>
            <color indexed="81"/>
            <rFont val="Tahoma"/>
            <family val="2"/>
          </rPr>
          <t xml:space="preserve">
4,891,193,000</t>
        </r>
      </text>
    </comment>
    <comment ref="C9" authorId="0" shapeId="0" xr:uid="{00000000-0006-0000-1200-000004000000}">
      <text>
        <r>
          <rPr>
            <b/>
            <sz val="9"/>
            <color indexed="81"/>
            <rFont val="Tahoma"/>
            <family val="2"/>
          </rPr>
          <t>Frank B:</t>
        </r>
        <r>
          <rPr>
            <sz val="9"/>
            <color indexed="81"/>
            <rFont val="Tahoma"/>
            <family val="2"/>
          </rPr>
          <t xml:space="preserve">
526,570,000</t>
        </r>
      </text>
    </comment>
    <comment ref="D9" authorId="0" shapeId="0" xr:uid="{00000000-0006-0000-1200-000005000000}">
      <text>
        <r>
          <rPr>
            <b/>
            <sz val="9"/>
            <color indexed="81"/>
            <rFont val="Tahoma"/>
            <family val="2"/>
          </rPr>
          <t>Frank B:</t>
        </r>
        <r>
          <rPr>
            <sz val="9"/>
            <color indexed="81"/>
            <rFont val="Tahoma"/>
            <family val="2"/>
          </rPr>
          <t xml:space="preserve">
Original amount = 146,680,000</t>
        </r>
      </text>
    </comment>
    <comment ref="N9" authorId="0" shapeId="0" xr:uid="{00000000-0006-0000-1200-000006000000}">
      <text>
        <r>
          <rPr>
            <b/>
            <sz val="9"/>
            <color indexed="81"/>
            <rFont val="Tahoma"/>
            <family val="2"/>
          </rPr>
          <t>Frank B:</t>
        </r>
        <r>
          <rPr>
            <sz val="9"/>
            <color indexed="81"/>
            <rFont val="Tahoma"/>
            <family val="2"/>
          </rPr>
          <t xml:space="preserve">
5,052,117,000</t>
        </r>
      </text>
    </comment>
    <comment ref="D10" authorId="0" shapeId="0" xr:uid="{00000000-0006-0000-1200-000007000000}">
      <text>
        <r>
          <rPr>
            <b/>
            <sz val="9"/>
            <color indexed="81"/>
            <rFont val="Tahoma"/>
            <family val="2"/>
          </rPr>
          <t>Frank B:</t>
        </r>
        <r>
          <rPr>
            <sz val="9"/>
            <color indexed="81"/>
            <rFont val="Tahoma"/>
            <family val="2"/>
          </rPr>
          <t xml:space="preserve">
Orginal amount = 176,786,000</t>
        </r>
      </text>
    </comment>
    <comment ref="N10" authorId="0" shapeId="0" xr:uid="{00000000-0006-0000-1200-000008000000}">
      <text>
        <r>
          <rPr>
            <b/>
            <sz val="9"/>
            <color indexed="81"/>
            <rFont val="Tahoma"/>
            <family val="2"/>
          </rPr>
          <t>Frank B:</t>
        </r>
        <r>
          <rPr>
            <sz val="9"/>
            <color indexed="81"/>
            <rFont val="Tahoma"/>
            <family val="2"/>
          </rPr>
          <t xml:space="preserve">
5,584,659,000</t>
        </r>
      </text>
    </comment>
    <comment ref="D11" authorId="0" shapeId="0" xr:uid="{00000000-0006-0000-1200-000009000000}">
      <text>
        <r>
          <rPr>
            <b/>
            <sz val="9"/>
            <color indexed="81"/>
            <rFont val="Tahoma"/>
            <family val="2"/>
          </rPr>
          <t>Frank B:</t>
        </r>
        <r>
          <rPr>
            <sz val="9"/>
            <color indexed="81"/>
            <rFont val="Tahoma"/>
            <family val="2"/>
          </rPr>
          <t xml:space="preserve">
Original amount = 174,535,000</t>
        </r>
      </text>
    </comment>
    <comment ref="N11" authorId="0" shapeId="0" xr:uid="{00000000-0006-0000-1200-00000A000000}">
      <text>
        <r>
          <rPr>
            <b/>
            <sz val="9"/>
            <color indexed="81"/>
            <rFont val="Tahoma"/>
            <family val="2"/>
          </rPr>
          <t>Frank B:</t>
        </r>
        <r>
          <rPr>
            <sz val="9"/>
            <color indexed="81"/>
            <rFont val="Tahoma"/>
            <family val="2"/>
          </rPr>
          <t xml:space="preserve">
6,001,183,000</t>
        </r>
      </text>
    </comment>
    <comment ref="B12" authorId="0" shapeId="0" xr:uid="{00000000-0006-0000-1200-00000B000000}">
      <text>
        <r>
          <rPr>
            <b/>
            <sz val="9"/>
            <color indexed="81"/>
            <rFont val="Tahoma"/>
            <family val="2"/>
          </rPr>
          <t>Frank B:</t>
        </r>
        <r>
          <rPr>
            <sz val="9"/>
            <color indexed="81"/>
            <rFont val="Tahoma"/>
            <family val="2"/>
          </rPr>
          <t xml:space="preserve">
Revised up from 3,354,561,000</t>
        </r>
      </text>
    </comment>
    <comment ref="D12" authorId="0" shapeId="0" xr:uid="{00000000-0006-0000-1200-00000C000000}">
      <text>
        <r>
          <rPr>
            <b/>
            <sz val="9"/>
            <color indexed="81"/>
            <rFont val="Tahoma"/>
            <family val="2"/>
          </rPr>
          <t>Frank B:</t>
        </r>
        <r>
          <rPr>
            <sz val="9"/>
            <color indexed="81"/>
            <rFont val="Tahoma"/>
            <family val="2"/>
          </rPr>
          <t xml:space="preserve">
Original amount = 178,770,000</t>
        </r>
      </text>
    </comment>
    <comment ref="N12" authorId="0" shapeId="0" xr:uid="{00000000-0006-0000-1200-00000D000000}">
      <text>
        <r>
          <rPr>
            <b/>
            <sz val="9"/>
            <color indexed="81"/>
            <rFont val="Tahoma"/>
            <family val="2"/>
          </rPr>
          <t>Frank B:</t>
        </r>
        <r>
          <rPr>
            <sz val="9"/>
            <color indexed="81"/>
            <rFont val="Tahoma"/>
            <family val="2"/>
          </rPr>
          <t xml:space="preserve">
6,102,204,000</t>
        </r>
      </text>
    </comment>
    <comment ref="B13" authorId="0" shapeId="0" xr:uid="{00000000-0006-0000-1200-00000E000000}">
      <text>
        <r>
          <rPr>
            <b/>
            <sz val="9"/>
            <color indexed="81"/>
            <rFont val="Tahoma"/>
            <family val="2"/>
          </rPr>
          <t>Frank B:</t>
        </r>
        <r>
          <rPr>
            <sz val="9"/>
            <color indexed="81"/>
            <rFont val="Tahoma"/>
            <family val="2"/>
          </rPr>
          <t xml:space="preserve">
Revised up from 3,458,249,000</t>
        </r>
      </text>
    </comment>
    <comment ref="D13" authorId="0" shapeId="0" xr:uid="{00000000-0006-0000-1200-00000F000000}">
      <text>
        <r>
          <rPr>
            <b/>
            <sz val="9"/>
            <color indexed="81"/>
            <rFont val="Tahoma"/>
            <family val="2"/>
          </rPr>
          <t>Frank B:</t>
        </r>
        <r>
          <rPr>
            <sz val="9"/>
            <color indexed="81"/>
            <rFont val="Tahoma"/>
            <family val="2"/>
          </rPr>
          <t xml:space="preserve">
Original amt = 186,059,000</t>
        </r>
      </text>
    </comment>
    <comment ref="N13" authorId="0" shapeId="0" xr:uid="{00000000-0006-0000-1200-000010000000}">
      <text>
        <r>
          <rPr>
            <b/>
            <sz val="9"/>
            <color indexed="81"/>
            <rFont val="Tahoma"/>
            <family val="2"/>
          </rPr>
          <t>Frank B:</t>
        </r>
        <r>
          <rPr>
            <sz val="9"/>
            <color indexed="81"/>
            <rFont val="Tahoma"/>
            <family val="2"/>
          </rPr>
          <t xml:space="preserve">
6,239,509,000</t>
        </r>
      </text>
    </comment>
    <comment ref="D14" authorId="0" shapeId="0" xr:uid="{00000000-0006-0000-1200-000011000000}">
      <text>
        <r>
          <rPr>
            <b/>
            <sz val="9"/>
            <color indexed="81"/>
            <rFont val="Tahoma"/>
            <family val="2"/>
          </rPr>
          <t>Frank B:</t>
        </r>
        <r>
          <rPr>
            <sz val="9"/>
            <color indexed="81"/>
            <rFont val="Tahoma"/>
            <family val="2"/>
          </rPr>
          <t xml:space="preserve">
191,759,000=orig amt</t>
        </r>
      </text>
    </comment>
    <comment ref="G14" authorId="0" shapeId="0" xr:uid="{00000000-0006-0000-1200-000012000000}">
      <text>
        <r>
          <rPr>
            <b/>
            <sz val="9"/>
            <color indexed="81"/>
            <rFont val="Tahoma"/>
            <family val="2"/>
          </rPr>
          <t>Frank B:</t>
        </r>
        <r>
          <rPr>
            <sz val="9"/>
            <color indexed="81"/>
            <rFont val="Tahoma"/>
            <family val="2"/>
          </rPr>
          <t xml:space="preserve">
263,031,000=orig amt
</t>
        </r>
      </text>
    </comment>
    <comment ref="H14" authorId="0" shapeId="0" xr:uid="{00000000-0006-0000-1200-000013000000}">
      <text>
        <r>
          <rPr>
            <b/>
            <sz val="9"/>
            <color indexed="81"/>
            <rFont val="Tahoma"/>
            <family val="2"/>
          </rPr>
          <t>Frank B:</t>
        </r>
        <r>
          <rPr>
            <sz val="9"/>
            <color indexed="81"/>
            <rFont val="Tahoma"/>
            <family val="2"/>
          </rPr>
          <t xml:space="preserve">
139,640,000=orig amt</t>
        </r>
      </text>
    </comment>
    <comment ref="D15" authorId="0" shapeId="0" xr:uid="{00000000-0006-0000-1200-000014000000}">
      <text>
        <r>
          <rPr>
            <b/>
            <sz val="9"/>
            <color indexed="81"/>
            <rFont val="Tahoma"/>
            <family val="2"/>
          </rPr>
          <t>Frank B:</t>
        </r>
        <r>
          <rPr>
            <sz val="9"/>
            <color indexed="81"/>
            <rFont val="Tahoma"/>
            <family val="2"/>
          </rPr>
          <t xml:space="preserve">
</t>
        </r>
        <r>
          <rPr>
            <sz val="9"/>
            <color indexed="10"/>
            <rFont val="Tahoma"/>
            <family val="2"/>
          </rPr>
          <t>202,603,000 orig sum
=188,570,036.52
+14,033,366.21</t>
        </r>
      </text>
    </comment>
    <comment ref="G15" authorId="0" shapeId="0" xr:uid="{00000000-0006-0000-1200-000015000000}">
      <text>
        <r>
          <rPr>
            <b/>
            <sz val="9"/>
            <color indexed="81"/>
            <rFont val="Tahoma"/>
            <family val="2"/>
          </rPr>
          <t>Frank B:</t>
        </r>
        <r>
          <rPr>
            <sz val="9"/>
            <color indexed="81"/>
            <rFont val="Tahoma"/>
            <family val="2"/>
          </rPr>
          <t xml:space="preserve">
</t>
        </r>
        <r>
          <rPr>
            <sz val="9"/>
            <color indexed="10"/>
            <rFont val="Tahoma"/>
            <family val="2"/>
          </rPr>
          <t>268,747,998.96
=orig amt</t>
        </r>
      </text>
    </comment>
    <comment ref="H15" authorId="0" shapeId="0" xr:uid="{00000000-0006-0000-1200-000016000000}">
      <text>
        <r>
          <rPr>
            <b/>
            <sz val="9"/>
            <color indexed="81"/>
            <rFont val="Tahoma"/>
            <family val="2"/>
          </rPr>
          <t>Frank B:</t>
        </r>
        <r>
          <rPr>
            <sz val="9"/>
            <color indexed="81"/>
            <rFont val="Tahoma"/>
            <family val="2"/>
          </rPr>
          <t xml:space="preserve">
142,864,493.59
=orig amount</t>
        </r>
      </text>
    </comment>
    <comment ref="I15" authorId="0" shapeId="0" xr:uid="{00000000-0006-0000-1200-000017000000}">
      <text>
        <r>
          <rPr>
            <b/>
            <sz val="9"/>
            <color indexed="81"/>
            <rFont val="Tahoma"/>
            <family val="2"/>
          </rPr>
          <t>Frank B:</t>
        </r>
        <r>
          <rPr>
            <sz val="9"/>
            <color indexed="81"/>
            <rFont val="Tahoma"/>
            <family val="2"/>
          </rPr>
          <t xml:space="preserve">
</t>
        </r>
        <r>
          <rPr>
            <sz val="9"/>
            <color indexed="10"/>
            <rFont val="Tahoma"/>
            <family val="2"/>
          </rPr>
          <t xml:space="preserve">Original sum 22,731,000
=11363775.22
+11366175.1
+520.6
+505.48
</t>
        </r>
      </text>
    </comment>
    <comment ref="L32" authorId="0" shapeId="0" xr:uid="{00000000-0006-0000-1200-000018000000}">
      <text>
        <r>
          <rPr>
            <b/>
            <sz val="9"/>
            <color indexed="81"/>
            <rFont val="Tahoma"/>
            <family val="2"/>
          </rPr>
          <t>Frank B:</t>
        </r>
        <r>
          <rPr>
            <sz val="9"/>
            <color indexed="81"/>
            <rFont val="Tahoma"/>
            <family val="2"/>
          </rPr>
          <t xml:space="preserve">
</t>
        </r>
        <r>
          <rPr>
            <sz val="9"/>
            <color indexed="10"/>
            <rFont val="Tahoma"/>
            <family val="2"/>
          </rPr>
          <t>These new footnotes may need review?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Frank B</author>
  </authors>
  <commentList>
    <comment ref="C5" authorId="0" shapeId="0" xr:uid="{00000000-0006-0000-1300-000001000000}">
      <text>
        <r>
          <rPr>
            <b/>
            <sz val="9"/>
            <color indexed="81"/>
            <rFont val="Tahoma"/>
            <family val="2"/>
          </rPr>
          <t>Frank B:</t>
        </r>
        <r>
          <rPr>
            <sz val="9"/>
            <color indexed="81"/>
            <rFont val="Tahoma"/>
            <family val="2"/>
          </rPr>
          <t xml:space="preserve">
</t>
        </r>
        <r>
          <rPr>
            <sz val="9"/>
            <color indexed="10"/>
            <rFont val="Tahoma"/>
            <family val="2"/>
          </rPr>
          <t>Per Kristin's suggestion, this column would consolidate transportation funds, with breakout columns eliminated to right</t>
        </r>
      </text>
    </comment>
    <comment ref="E5" authorId="0" shapeId="0" xr:uid="{00000000-0006-0000-1300-000002000000}">
      <text>
        <r>
          <rPr>
            <b/>
            <sz val="9"/>
            <color indexed="81"/>
            <rFont val="Tahoma"/>
            <family val="2"/>
          </rPr>
          <t>Frank B:</t>
        </r>
        <r>
          <rPr>
            <sz val="9"/>
            <color indexed="81"/>
            <rFont val="Tahoma"/>
            <family val="2"/>
          </rPr>
          <t xml:space="preserve">
</t>
        </r>
        <r>
          <rPr>
            <sz val="9"/>
            <color indexed="10"/>
            <rFont val="Tahoma"/>
            <family val="2"/>
          </rPr>
          <t xml:space="preserve">"Missing" deposits to the HMO fund have been added (per footnote #13) 
I am concluding that these missed amounts represented errors… </t>
        </r>
      </text>
    </comment>
    <comment ref="P7" authorId="0" shapeId="0" xr:uid="{00000000-0006-0000-1300-000003000000}">
      <text>
        <r>
          <rPr>
            <b/>
            <sz val="9"/>
            <color indexed="81"/>
            <rFont val="Tahoma"/>
            <family val="2"/>
          </rPr>
          <t>Frank B:</t>
        </r>
        <r>
          <rPr>
            <sz val="9"/>
            <color indexed="81"/>
            <rFont val="Tahoma"/>
            <family val="2"/>
          </rPr>
          <t xml:space="preserve">
4,703,940,000</t>
        </r>
      </text>
    </comment>
    <comment ref="P8" authorId="0" shapeId="0" xr:uid="{00000000-0006-0000-1300-000004000000}">
      <text>
        <r>
          <rPr>
            <b/>
            <sz val="9"/>
            <color indexed="81"/>
            <rFont val="Tahoma"/>
            <family val="2"/>
          </rPr>
          <t>Frank B:</t>
        </r>
        <r>
          <rPr>
            <sz val="9"/>
            <color indexed="81"/>
            <rFont val="Tahoma"/>
            <family val="2"/>
          </rPr>
          <t xml:space="preserve">
4,891,193,000</t>
        </r>
      </text>
    </comment>
    <comment ref="P9" authorId="0" shapeId="0" xr:uid="{00000000-0006-0000-1300-000005000000}">
      <text>
        <r>
          <rPr>
            <b/>
            <sz val="9"/>
            <color indexed="81"/>
            <rFont val="Tahoma"/>
            <family val="2"/>
          </rPr>
          <t>Frank B:</t>
        </r>
        <r>
          <rPr>
            <sz val="9"/>
            <color indexed="81"/>
            <rFont val="Tahoma"/>
            <family val="2"/>
          </rPr>
          <t xml:space="preserve">
5,052,117,000</t>
        </r>
      </text>
    </comment>
    <comment ref="P10" authorId="0" shapeId="0" xr:uid="{00000000-0006-0000-1300-000006000000}">
      <text>
        <r>
          <rPr>
            <b/>
            <sz val="9"/>
            <color indexed="81"/>
            <rFont val="Tahoma"/>
            <family val="2"/>
          </rPr>
          <t>Frank B:</t>
        </r>
        <r>
          <rPr>
            <sz val="9"/>
            <color indexed="81"/>
            <rFont val="Tahoma"/>
            <family val="2"/>
          </rPr>
          <t xml:space="preserve">
5,584,659,000</t>
        </r>
      </text>
    </comment>
    <comment ref="P11" authorId="0" shapeId="0" xr:uid="{00000000-0006-0000-1300-000007000000}">
      <text>
        <r>
          <rPr>
            <b/>
            <sz val="9"/>
            <color indexed="81"/>
            <rFont val="Tahoma"/>
            <family val="2"/>
          </rPr>
          <t>Frank B:</t>
        </r>
        <r>
          <rPr>
            <sz val="9"/>
            <color indexed="81"/>
            <rFont val="Tahoma"/>
            <family val="2"/>
          </rPr>
          <t xml:space="preserve">
6,001,183,000</t>
        </r>
      </text>
    </comment>
    <comment ref="B12" authorId="0" shapeId="0" xr:uid="{00000000-0006-0000-1300-000008000000}">
      <text>
        <r>
          <rPr>
            <b/>
            <sz val="9"/>
            <color indexed="81"/>
            <rFont val="Tahoma"/>
            <family val="2"/>
          </rPr>
          <t>Frank B:</t>
        </r>
        <r>
          <rPr>
            <sz val="9"/>
            <color indexed="81"/>
            <rFont val="Tahoma"/>
            <family val="2"/>
          </rPr>
          <t xml:space="preserve">
Revised up from 3,354,561,000</t>
        </r>
      </text>
    </comment>
    <comment ref="P12" authorId="0" shapeId="0" xr:uid="{00000000-0006-0000-1300-000009000000}">
      <text>
        <r>
          <rPr>
            <b/>
            <sz val="9"/>
            <color indexed="81"/>
            <rFont val="Tahoma"/>
            <family val="2"/>
          </rPr>
          <t>Frank B:</t>
        </r>
        <r>
          <rPr>
            <sz val="9"/>
            <color indexed="81"/>
            <rFont val="Tahoma"/>
            <family val="2"/>
          </rPr>
          <t xml:space="preserve">
6,102,204,000</t>
        </r>
      </text>
    </comment>
    <comment ref="B13" authorId="0" shapeId="0" xr:uid="{00000000-0006-0000-1300-00000A000000}">
      <text>
        <r>
          <rPr>
            <b/>
            <sz val="9"/>
            <color indexed="81"/>
            <rFont val="Tahoma"/>
            <family val="2"/>
          </rPr>
          <t>Frank B:</t>
        </r>
        <r>
          <rPr>
            <sz val="9"/>
            <color indexed="81"/>
            <rFont val="Tahoma"/>
            <family val="2"/>
          </rPr>
          <t xml:space="preserve">
Revised up from 3,458,249,000</t>
        </r>
      </text>
    </comment>
    <comment ref="P13" authorId="0" shapeId="0" xr:uid="{00000000-0006-0000-1300-00000B000000}">
      <text>
        <r>
          <rPr>
            <b/>
            <sz val="9"/>
            <color indexed="81"/>
            <rFont val="Tahoma"/>
            <family val="2"/>
          </rPr>
          <t>Frank B:</t>
        </r>
        <r>
          <rPr>
            <sz val="9"/>
            <color indexed="81"/>
            <rFont val="Tahoma"/>
            <family val="2"/>
          </rPr>
          <t xml:space="preserve">
6,239,509,000</t>
        </r>
      </text>
    </comment>
    <comment ref="H14" authorId="0" shapeId="0" xr:uid="{00000000-0006-0000-1300-00000C000000}">
      <text>
        <r>
          <rPr>
            <b/>
            <sz val="9"/>
            <color indexed="81"/>
            <rFont val="Tahoma"/>
            <family val="2"/>
          </rPr>
          <t>Frank B:</t>
        </r>
        <r>
          <rPr>
            <sz val="9"/>
            <color indexed="81"/>
            <rFont val="Tahoma"/>
            <family val="2"/>
          </rPr>
          <t xml:space="preserve">
263,031,000=orig amt
</t>
        </r>
      </text>
    </comment>
    <comment ref="I14" authorId="0" shapeId="0" xr:uid="{00000000-0006-0000-1300-00000D000000}">
      <text>
        <r>
          <rPr>
            <b/>
            <sz val="9"/>
            <color indexed="81"/>
            <rFont val="Tahoma"/>
            <family val="2"/>
          </rPr>
          <t>Frank B:</t>
        </r>
        <r>
          <rPr>
            <sz val="9"/>
            <color indexed="81"/>
            <rFont val="Tahoma"/>
            <family val="2"/>
          </rPr>
          <t xml:space="preserve">
139,640,000=orig amt</t>
        </r>
      </text>
    </comment>
    <comment ref="P14" authorId="0" shapeId="0" xr:uid="{00000000-0006-0000-1300-00000E000000}">
      <text>
        <r>
          <rPr>
            <b/>
            <sz val="9"/>
            <color indexed="81"/>
            <rFont val="Tahoma"/>
            <family val="2"/>
          </rPr>
          <t>Frank B:</t>
        </r>
        <r>
          <rPr>
            <sz val="9"/>
            <color indexed="81"/>
            <rFont val="Tahoma"/>
            <family val="2"/>
          </rPr>
          <t xml:space="preserve">
6,409,139,000</t>
        </r>
      </text>
    </comment>
    <comment ref="H15" authorId="0" shapeId="0" xr:uid="{00000000-0006-0000-1300-00000F000000}">
      <text>
        <r>
          <rPr>
            <b/>
            <sz val="9"/>
            <color indexed="81"/>
            <rFont val="Tahoma"/>
            <family val="2"/>
          </rPr>
          <t>Frank B:</t>
        </r>
        <r>
          <rPr>
            <sz val="9"/>
            <color indexed="81"/>
            <rFont val="Tahoma"/>
            <family val="2"/>
          </rPr>
          <t xml:space="preserve">
</t>
        </r>
        <r>
          <rPr>
            <sz val="9"/>
            <color indexed="10"/>
            <rFont val="Tahoma"/>
            <family val="2"/>
          </rPr>
          <t>268,747,998.96
=orig amt</t>
        </r>
      </text>
    </comment>
    <comment ref="I15" authorId="0" shapeId="0" xr:uid="{00000000-0006-0000-1300-000010000000}">
      <text>
        <r>
          <rPr>
            <b/>
            <sz val="9"/>
            <color indexed="81"/>
            <rFont val="Tahoma"/>
            <family val="2"/>
          </rPr>
          <t>Frank B:</t>
        </r>
        <r>
          <rPr>
            <sz val="9"/>
            <color indexed="81"/>
            <rFont val="Tahoma"/>
            <family val="2"/>
          </rPr>
          <t xml:space="preserve">
142,864,493.59
=orig amount</t>
        </r>
      </text>
    </comment>
    <comment ref="P15" authorId="0" shapeId="0" xr:uid="{00000000-0006-0000-1300-000011000000}">
      <text>
        <r>
          <rPr>
            <b/>
            <sz val="9"/>
            <color indexed="81"/>
            <rFont val="Tahoma"/>
            <family val="2"/>
          </rPr>
          <t>Frank B:</t>
        </r>
        <r>
          <rPr>
            <sz val="9"/>
            <color indexed="81"/>
            <rFont val="Tahoma"/>
            <family val="2"/>
          </rPr>
          <t xml:space="preserve">
6,921,512,000</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ThisWorkbookDataModel"/>
    <s v="{[TAR01_Data_All].[Year].&amp;[2021]}"/>
    <s v="{[TAR01_Data_All].[Year].&amp;[2022]}"/>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<sst xmlns="http://schemas.openxmlformats.org/spreadsheetml/2006/main" count="4293" uniqueCount="1388">
  <si>
    <t>Aggregate (All Funds)</t>
  </si>
  <si>
    <t>Notes:</t>
  </si>
  <si>
    <t>Sales and Use Tax</t>
  </si>
  <si>
    <t>Individual Income Tax</t>
  </si>
  <si>
    <t>Net Revenue Collections</t>
  </si>
  <si>
    <t>General Fund</t>
  </si>
  <si>
    <t>Total Commonwealth Collections</t>
  </si>
  <si>
    <t>Total Department Collections</t>
  </si>
  <si>
    <t>By Other Agencies</t>
  </si>
  <si>
    <t>Total from Other Agencies</t>
  </si>
  <si>
    <t>1. The Fiscal Year runs from July 1 through June 30.</t>
  </si>
  <si>
    <t>Department of Taxation General Fund Expenditures</t>
  </si>
  <si>
    <t>Budget Programs</t>
  </si>
  <si>
    <t>Revenue Administrative Services</t>
  </si>
  <si>
    <t>Research Services</t>
  </si>
  <si>
    <t>Administrative and Support Services</t>
  </si>
  <si>
    <t>Total</t>
  </si>
  <si>
    <t>Cost per $100 of collections</t>
  </si>
  <si>
    <t>Note:</t>
  </si>
  <si>
    <t>Amount</t>
  </si>
  <si>
    <t>Tax</t>
  </si>
  <si>
    <t>County</t>
  </si>
  <si>
    <t>Total Counties</t>
  </si>
  <si>
    <t>City</t>
  </si>
  <si>
    <t xml:space="preserve">Franklin </t>
  </si>
  <si>
    <t xml:space="preserve">Roanoke </t>
  </si>
  <si>
    <t>Virginia Beach</t>
  </si>
  <si>
    <t>Total Cities</t>
  </si>
  <si>
    <t>Aggregate</t>
  </si>
  <si>
    <t>Fiscal Year</t>
  </si>
  <si>
    <t>Table 2.2</t>
  </si>
  <si>
    <t>Taxable</t>
  </si>
  <si>
    <t>$0 or less</t>
  </si>
  <si>
    <t>$1 to $24,999</t>
  </si>
  <si>
    <t>$25,000 to $49,999</t>
  </si>
  <si>
    <t>$50,000 to $99,999</t>
  </si>
  <si>
    <t>$100,000 to $499,999</t>
  </si>
  <si>
    <t>$500,000 to $999,999</t>
  </si>
  <si>
    <t>$1,000,000 to $1,999,999</t>
  </si>
  <si>
    <t>$2,000,000 to $9,999,999</t>
  </si>
  <si>
    <t>$10,000,000 and Over</t>
  </si>
  <si>
    <t>Total before adjustments</t>
  </si>
  <si>
    <t xml:space="preserve">    Departmental adjustments</t>
  </si>
  <si>
    <t>Total Tax Assessment</t>
  </si>
  <si>
    <t>Table 3.1</t>
  </si>
  <si>
    <t>State and Local Retail Sales and Use Tax Net Revenue Collections</t>
  </si>
  <si>
    <t>State Sales and Use Tax</t>
  </si>
  <si>
    <t>Local</t>
  </si>
  <si>
    <t>-</t>
  </si>
  <si>
    <t>Table 4.3, continued</t>
  </si>
  <si>
    <t xml:space="preserve">Accomack </t>
  </si>
  <si>
    <t xml:space="preserve">Gloucester </t>
  </si>
  <si>
    <t xml:space="preserve">Albemarle </t>
  </si>
  <si>
    <t xml:space="preserve">Goochland </t>
  </si>
  <si>
    <t xml:space="preserve">Alleghany </t>
  </si>
  <si>
    <t xml:space="preserve">Grayson </t>
  </si>
  <si>
    <t xml:space="preserve">Amelia </t>
  </si>
  <si>
    <t xml:space="preserve">Greene </t>
  </si>
  <si>
    <t xml:space="preserve">Amherst </t>
  </si>
  <si>
    <t xml:space="preserve">Greensville </t>
  </si>
  <si>
    <t xml:space="preserve">Appomattox </t>
  </si>
  <si>
    <t xml:space="preserve">Halifax </t>
  </si>
  <si>
    <t xml:space="preserve">Arlington </t>
  </si>
  <si>
    <t xml:space="preserve">Hanover </t>
  </si>
  <si>
    <t xml:space="preserve">Augusta </t>
  </si>
  <si>
    <t xml:space="preserve">Henrico </t>
  </si>
  <si>
    <t xml:space="preserve">Bath </t>
  </si>
  <si>
    <t xml:space="preserve">Henry </t>
  </si>
  <si>
    <t xml:space="preserve">Highland </t>
  </si>
  <si>
    <t xml:space="preserve">Bland </t>
  </si>
  <si>
    <t xml:space="preserve">Isle of Wight </t>
  </si>
  <si>
    <t xml:space="preserve">Botetourt </t>
  </si>
  <si>
    <t xml:space="preserve">James City </t>
  </si>
  <si>
    <t xml:space="preserve">Brunswick </t>
  </si>
  <si>
    <t xml:space="preserve">King and Queen </t>
  </si>
  <si>
    <t xml:space="preserve">Buchanan </t>
  </si>
  <si>
    <t xml:space="preserve">King George </t>
  </si>
  <si>
    <t xml:space="preserve">Buckingham </t>
  </si>
  <si>
    <t xml:space="preserve">King William </t>
  </si>
  <si>
    <t xml:space="preserve">Campbell </t>
  </si>
  <si>
    <t xml:space="preserve">Lancaster </t>
  </si>
  <si>
    <t xml:space="preserve">Caroline </t>
  </si>
  <si>
    <t xml:space="preserve">Lee </t>
  </si>
  <si>
    <t xml:space="preserve">Carroll </t>
  </si>
  <si>
    <t xml:space="preserve">Loudoun </t>
  </si>
  <si>
    <t xml:space="preserve">Charles City </t>
  </si>
  <si>
    <t xml:space="preserve">Louisa </t>
  </si>
  <si>
    <t xml:space="preserve">Charlotte </t>
  </si>
  <si>
    <t xml:space="preserve">Lunenburg </t>
  </si>
  <si>
    <t xml:space="preserve">Chesterfield </t>
  </si>
  <si>
    <t xml:space="preserve">Madison </t>
  </si>
  <si>
    <t xml:space="preserve">Clarke </t>
  </si>
  <si>
    <t xml:space="preserve">Mathews </t>
  </si>
  <si>
    <t xml:space="preserve">Craig </t>
  </si>
  <si>
    <t xml:space="preserve">Mecklenburg </t>
  </si>
  <si>
    <t xml:space="preserve">Culpeper </t>
  </si>
  <si>
    <t xml:space="preserve">Middlesex </t>
  </si>
  <si>
    <t xml:space="preserve">Cumberland </t>
  </si>
  <si>
    <t xml:space="preserve">Montgomery </t>
  </si>
  <si>
    <t xml:space="preserve">Dickenson </t>
  </si>
  <si>
    <t xml:space="preserve">Nelson </t>
  </si>
  <si>
    <t xml:space="preserve">Dinwiddie </t>
  </si>
  <si>
    <t xml:space="preserve">New Kent </t>
  </si>
  <si>
    <t xml:space="preserve">Essex </t>
  </si>
  <si>
    <t xml:space="preserve">Northampton </t>
  </si>
  <si>
    <t xml:space="preserve">Fairfax </t>
  </si>
  <si>
    <t xml:space="preserve">Northumberland </t>
  </si>
  <si>
    <t xml:space="preserve">Fauquier </t>
  </si>
  <si>
    <t xml:space="preserve">Nottoway </t>
  </si>
  <si>
    <t xml:space="preserve">Floyd </t>
  </si>
  <si>
    <t xml:space="preserve">Orange </t>
  </si>
  <si>
    <t xml:space="preserve">Fluvanna </t>
  </si>
  <si>
    <t xml:space="preserve">Page </t>
  </si>
  <si>
    <t xml:space="preserve">Patrick </t>
  </si>
  <si>
    <t xml:space="preserve">Frederick </t>
  </si>
  <si>
    <t xml:space="preserve">Pittsylvania </t>
  </si>
  <si>
    <t xml:space="preserve">Giles </t>
  </si>
  <si>
    <t xml:space="preserve">Powhatan </t>
  </si>
  <si>
    <t xml:space="preserve">Prince Edward </t>
  </si>
  <si>
    <t xml:space="preserve">Chesapeake </t>
  </si>
  <si>
    <t xml:space="preserve">Prince George </t>
  </si>
  <si>
    <t xml:space="preserve">Colonial Heights </t>
  </si>
  <si>
    <t xml:space="preserve">Prince William </t>
  </si>
  <si>
    <t xml:space="preserve">Covington </t>
  </si>
  <si>
    <t xml:space="preserve">Pulaski </t>
  </si>
  <si>
    <t xml:space="preserve">Danville </t>
  </si>
  <si>
    <t xml:space="preserve">Rappahannock </t>
  </si>
  <si>
    <t xml:space="preserve">Emporia </t>
  </si>
  <si>
    <t xml:space="preserve">Richmond </t>
  </si>
  <si>
    <t xml:space="preserve">Falls Church </t>
  </si>
  <si>
    <t xml:space="preserve">Rockbridge </t>
  </si>
  <si>
    <t xml:space="preserve">Rockingham </t>
  </si>
  <si>
    <t xml:space="preserve">Fredericksburg </t>
  </si>
  <si>
    <t xml:space="preserve">Russell </t>
  </si>
  <si>
    <t xml:space="preserve">Galax </t>
  </si>
  <si>
    <t xml:space="preserve">Scott </t>
  </si>
  <si>
    <t xml:space="preserve">Hampton </t>
  </si>
  <si>
    <t xml:space="preserve">Shenandoah </t>
  </si>
  <si>
    <t xml:space="preserve">Harrisonburg </t>
  </si>
  <si>
    <t xml:space="preserve">Smyth </t>
  </si>
  <si>
    <t xml:space="preserve">Hopewell </t>
  </si>
  <si>
    <t xml:space="preserve">Southampton </t>
  </si>
  <si>
    <t xml:space="preserve">Lexington </t>
  </si>
  <si>
    <t xml:space="preserve">Spotsylvania </t>
  </si>
  <si>
    <t xml:space="preserve">Lynchburg </t>
  </si>
  <si>
    <t xml:space="preserve">Stafford </t>
  </si>
  <si>
    <t xml:space="preserve">Manassas </t>
  </si>
  <si>
    <t xml:space="preserve">Surry </t>
  </si>
  <si>
    <t xml:space="preserve">Manassas Park </t>
  </si>
  <si>
    <t xml:space="preserve">Sussex </t>
  </si>
  <si>
    <t xml:space="preserve">Martinsville </t>
  </si>
  <si>
    <t xml:space="preserve">Tazewell </t>
  </si>
  <si>
    <t xml:space="preserve">Newport News </t>
  </si>
  <si>
    <t xml:space="preserve">Warren </t>
  </si>
  <si>
    <t xml:space="preserve">Norfolk </t>
  </si>
  <si>
    <t xml:space="preserve">Washington </t>
  </si>
  <si>
    <t xml:space="preserve">Norton </t>
  </si>
  <si>
    <t xml:space="preserve">Westmoreland </t>
  </si>
  <si>
    <t xml:space="preserve">Petersburg </t>
  </si>
  <si>
    <t xml:space="preserve">Wise </t>
  </si>
  <si>
    <t xml:space="preserve">Poquoson </t>
  </si>
  <si>
    <t xml:space="preserve">Wythe </t>
  </si>
  <si>
    <t xml:space="preserve">Portsmouth </t>
  </si>
  <si>
    <t xml:space="preserve">York </t>
  </si>
  <si>
    <t xml:space="preserve">Radford </t>
  </si>
  <si>
    <t xml:space="preserve">Salem </t>
  </si>
  <si>
    <t xml:space="preserve">Staunton </t>
  </si>
  <si>
    <t xml:space="preserve">Suffolk </t>
  </si>
  <si>
    <t xml:space="preserve">Alexandria </t>
  </si>
  <si>
    <t xml:space="preserve">Waynesboro </t>
  </si>
  <si>
    <t xml:space="preserve">Bristol </t>
  </si>
  <si>
    <t xml:space="preserve">Williamsburg </t>
  </si>
  <si>
    <t xml:space="preserve">Buena Vista </t>
  </si>
  <si>
    <t xml:space="preserve">Winchester </t>
  </si>
  <si>
    <t xml:space="preserve">Charlottesville </t>
  </si>
  <si>
    <t>Fairfax City</t>
  </si>
  <si>
    <t>Table 4.1</t>
  </si>
  <si>
    <t>Other Taxes Net Revenue Collections - General Fund</t>
  </si>
  <si>
    <t>Recordation</t>
  </si>
  <si>
    <t>Estate</t>
  </si>
  <si>
    <t>Watercraft</t>
  </si>
  <si>
    <t>Rolling</t>
  </si>
  <si>
    <t>&amp; Deeds</t>
  </si>
  <si>
    <t>Stock Tax</t>
  </si>
  <si>
    <t>4. The soybean excise tax is imposed at a rate of one-half of one percent (0.005) of the net market value of assessed bushels.  All revenues are deposited into the Virginia Soybean Fund.</t>
  </si>
  <si>
    <t>Credit</t>
  </si>
  <si>
    <t>Year Enacted</t>
  </si>
  <si>
    <t>§§ 58.1-439.18 et seq.</t>
  </si>
  <si>
    <t>1981 (effective July 1, 1981)</t>
  </si>
  <si>
    <t>§§ 58.1-334 &amp; 58.1-432</t>
  </si>
  <si>
    <t>1985 (effective 1985)</t>
  </si>
  <si>
    <t>§§ 58.1-337 &amp; 58.1-436</t>
  </si>
  <si>
    <t>1990 (effective 1990)</t>
  </si>
  <si>
    <t>§ 58.1-438.1</t>
  </si>
  <si>
    <t>Tax Credit for Vehicle Emissions Testing Equipment and Clean-Fuel Vehicles and Certain Refueling Property</t>
  </si>
  <si>
    <t>1993 (effective 1993)</t>
  </si>
  <si>
    <t>§ 58.1-439</t>
  </si>
  <si>
    <t>1994 (effective 1995)</t>
  </si>
  <si>
    <t>§ 58.1-439.2</t>
  </si>
  <si>
    <t>1995 (effective 1996)</t>
  </si>
  <si>
    <t>§ 58.1-339.2</t>
  </si>
  <si>
    <t>1996 (effective 1997)</t>
  </si>
  <si>
    <t>§§ 58.1-339.3 &amp; 58.1-439.5</t>
  </si>
  <si>
    <t>1996 (effective 1998)</t>
  </si>
  <si>
    <t>§ 58.1-439.7</t>
  </si>
  <si>
    <t>§ 58.1-332.1</t>
  </si>
  <si>
    <t>Foreign Tax Credit</t>
  </si>
  <si>
    <t>1998 (effective 1998)</t>
  </si>
  <si>
    <t>§ 58.1-339.4</t>
  </si>
  <si>
    <t>Qualified Equity and Subordinated Debt Investments Tax Credit</t>
  </si>
  <si>
    <t>1998 (effective 1999)</t>
  </si>
  <si>
    <t>§ 58.1-439.10</t>
  </si>
  <si>
    <t>§ 58.1-512</t>
  </si>
  <si>
    <t>Land Preservation Tax Credit</t>
  </si>
  <si>
    <t>1999 (effective 2000)</t>
  </si>
  <si>
    <t>§ 58.1-339.6</t>
  </si>
  <si>
    <t>§ 58.1-339.7</t>
  </si>
  <si>
    <t>Livable Home Tax Credit</t>
  </si>
  <si>
    <t>§ 58.1-433.1</t>
  </si>
  <si>
    <t>1999 (effective 2001)</t>
  </si>
  <si>
    <t>§ 58.1-339.8</t>
  </si>
  <si>
    <t>Low-Income Taxpayer Credit</t>
  </si>
  <si>
    <t>2000 (effective 2000)</t>
  </si>
  <si>
    <t>§§ 58.1-339.10 &amp; 58.1-439.12</t>
  </si>
  <si>
    <t>§ 58.1-339.11</t>
  </si>
  <si>
    <t>2006 (effective 2006)</t>
  </si>
  <si>
    <t>§ 58.1-439.12:02</t>
  </si>
  <si>
    <t>Biodiesel and Green Diesel Fuels Producers Tax Credit</t>
  </si>
  <si>
    <t>2008 (effective 2008)</t>
  </si>
  <si>
    <t>Code Section(s)</t>
  </si>
  <si>
    <t>Credit Claimed Against</t>
  </si>
  <si>
    <t>Number of Returns</t>
  </si>
  <si>
    <t>Table 4.3</t>
  </si>
  <si>
    <t>Historic Rehabilitation Tax Credit</t>
  </si>
  <si>
    <t>Table 5.1</t>
  </si>
  <si>
    <t>Table 5.2</t>
  </si>
  <si>
    <t>Table 5.2, continued</t>
  </si>
  <si>
    <t>Directory</t>
  </si>
  <si>
    <t>Virginia Department of Taxation</t>
  </si>
  <si>
    <t>General Mailing Address</t>
  </si>
  <si>
    <t>Office of Tax Policy, Policy Development Division</t>
  </si>
  <si>
    <t>ANNUAL REPORT</t>
  </si>
  <si>
    <t>Report of the Tax Commissioner</t>
  </si>
  <si>
    <t>to the Governor of the Commonwealth of Virginia</t>
  </si>
  <si>
    <t>Craig M. Burns, Tax Commissioner</t>
  </si>
  <si>
    <t>Apple</t>
  </si>
  <si>
    <t>Cotton</t>
  </si>
  <si>
    <t>Sheep</t>
  </si>
  <si>
    <t>% Chg</t>
  </si>
  <si>
    <t>Taxes Administered by the Department of Taxation</t>
  </si>
  <si>
    <t>Revenues</t>
  </si>
  <si>
    <t>General Fund (GF) Revenues</t>
  </si>
  <si>
    <t>Recordation and deeds of conveyance</t>
  </si>
  <si>
    <t>Suits, wills and administration</t>
  </si>
  <si>
    <t>State sales, use, and vending (GF part)</t>
  </si>
  <si>
    <t>Watercraft sales and use</t>
  </si>
  <si>
    <t>Total Department GF Revenues</t>
  </si>
  <si>
    <t>Aircraft sales and use</t>
  </si>
  <si>
    <t>Cigarette Tax</t>
  </si>
  <si>
    <t>Other Tobacco Products</t>
  </si>
  <si>
    <t>Egg excise</t>
  </si>
  <si>
    <t>Forest products</t>
  </si>
  <si>
    <t>Peanut excise</t>
  </si>
  <si>
    <t>Soybeans</t>
  </si>
  <si>
    <t>Tire tax</t>
  </si>
  <si>
    <t>Other</t>
  </si>
  <si>
    <t>Corn excise</t>
  </si>
  <si>
    <t>Small grains tax</t>
  </si>
  <si>
    <t>Litter tax</t>
  </si>
  <si>
    <t>Soft drink excise</t>
  </si>
  <si>
    <t>Table 2.1</t>
  </si>
  <si>
    <t>Corporate Income Tax Revenue</t>
  </si>
  <si>
    <t>1. Revenue represents net tax collections by fiscal year.</t>
  </si>
  <si>
    <t>Table 5.3</t>
  </si>
  <si>
    <t>Counties</t>
  </si>
  <si>
    <t>Cities</t>
  </si>
  <si>
    <t>Total equity capital value based on capital, surplus, and undivided profits</t>
  </si>
  <si>
    <t>Other additions</t>
  </si>
  <si>
    <t>a. U.S. obligations</t>
  </si>
  <si>
    <t>b. Retained earnings and surplus of subsidiaries included in gross capital</t>
  </si>
  <si>
    <t>c. Goodwill</t>
  </si>
  <si>
    <t>Capital attributable to Virginia</t>
  </si>
  <si>
    <t>Deductions of assessed value of real estate otherwise taxed in this state</t>
  </si>
  <si>
    <t>Deductions of book value of tangible personal property otherwise taxed in this state</t>
  </si>
  <si>
    <t>Net taxable capital</t>
  </si>
  <si>
    <t>Local Tax Credit (local Tax Assessment)</t>
  </si>
  <si>
    <t>State Tax Credits:</t>
  </si>
  <si>
    <t>Major Business Facility Job Tax Credit</t>
  </si>
  <si>
    <t>Total State Tax Assessment</t>
  </si>
  <si>
    <t>Table 5.4</t>
  </si>
  <si>
    <t>Bank Franchise Tax Net Revenue Collections</t>
  </si>
  <si>
    <t>Collections</t>
  </si>
  <si>
    <t>Table 1.1</t>
  </si>
  <si>
    <t>Individual Income Tax Liability</t>
  </si>
  <si>
    <t>Taxable Year</t>
  </si>
  <si>
    <t>Table 1.4</t>
  </si>
  <si>
    <t>Number and Class of Exemptions by Virginia Adjusted Gross Income Class</t>
  </si>
  <si>
    <t>Personal</t>
  </si>
  <si>
    <t>Dependent</t>
  </si>
  <si>
    <t>Age</t>
  </si>
  <si>
    <t>Blindness</t>
  </si>
  <si>
    <t>and</t>
  </si>
  <si>
    <t>Below</t>
  </si>
  <si>
    <t>to</t>
  </si>
  <si>
    <t>Total:</t>
  </si>
  <si>
    <t>Table 1.3</t>
  </si>
  <si>
    <t>Number and Class of Returns by Virginia Adjusted Gross Income Class</t>
  </si>
  <si>
    <t>Joint</t>
  </si>
  <si>
    <t>Returns</t>
  </si>
  <si>
    <t>Table 1.2</t>
  </si>
  <si>
    <t>Itemized</t>
  </si>
  <si>
    <t>Standard</t>
  </si>
  <si>
    <t>Exemptions</t>
  </si>
  <si>
    <t>Deductions</t>
  </si>
  <si>
    <t>Over</t>
  </si>
  <si>
    <t>Table 5.6</t>
  </si>
  <si>
    <t>Distribution</t>
  </si>
  <si>
    <t>Accomack</t>
  </si>
  <si>
    <t>Halifax</t>
  </si>
  <si>
    <t>Scott</t>
  </si>
  <si>
    <t>Manassas</t>
  </si>
  <si>
    <t>Albemarle</t>
  </si>
  <si>
    <t>Hanover</t>
  </si>
  <si>
    <t>Shenandoah</t>
  </si>
  <si>
    <t>Manassas Park</t>
  </si>
  <si>
    <t>Alleghany</t>
  </si>
  <si>
    <t>Henrico</t>
  </si>
  <si>
    <t>Smyth</t>
  </si>
  <si>
    <t>Martinsville</t>
  </si>
  <si>
    <t>Amelia</t>
  </si>
  <si>
    <t>Henry</t>
  </si>
  <si>
    <t>Southampton</t>
  </si>
  <si>
    <t>Newport News</t>
  </si>
  <si>
    <t>Amherst</t>
  </si>
  <si>
    <t>Highland</t>
  </si>
  <si>
    <t>Spotsylvania</t>
  </si>
  <si>
    <t>Norfolk</t>
  </si>
  <si>
    <t>Appomattox</t>
  </si>
  <si>
    <t>Isle of Wight</t>
  </si>
  <si>
    <t>Stafford</t>
  </si>
  <si>
    <t>Norton</t>
  </si>
  <si>
    <t>Arlington</t>
  </si>
  <si>
    <t>James City</t>
  </si>
  <si>
    <t>Surry</t>
  </si>
  <si>
    <t>Petersburg</t>
  </si>
  <si>
    <t>Augusta</t>
  </si>
  <si>
    <t>King and Queen</t>
  </si>
  <si>
    <t>Sussex</t>
  </si>
  <si>
    <t>Poquoson</t>
  </si>
  <si>
    <t>Bath</t>
  </si>
  <si>
    <t>King George</t>
  </si>
  <si>
    <t>Tazewell</t>
  </si>
  <si>
    <t>Portsmouth</t>
  </si>
  <si>
    <t>Bedford</t>
  </si>
  <si>
    <t>King William</t>
  </si>
  <si>
    <t>Warren</t>
  </si>
  <si>
    <t>Radford</t>
  </si>
  <si>
    <t>Bland</t>
  </si>
  <si>
    <t>Lancaster</t>
  </si>
  <si>
    <t>Washington</t>
  </si>
  <si>
    <t>Richmond</t>
  </si>
  <si>
    <t>Botetourt</t>
  </si>
  <si>
    <t>Lee</t>
  </si>
  <si>
    <t>Westmoreland</t>
  </si>
  <si>
    <t>Roanoke</t>
  </si>
  <si>
    <t>Brunswick</t>
  </si>
  <si>
    <t>Loudoun</t>
  </si>
  <si>
    <t>Wise</t>
  </si>
  <si>
    <t>Salem</t>
  </si>
  <si>
    <t>Buchanan</t>
  </si>
  <si>
    <t>Louisa</t>
  </si>
  <si>
    <t>Wythe</t>
  </si>
  <si>
    <t>Staunton</t>
  </si>
  <si>
    <t>Buckingham</t>
  </si>
  <si>
    <t>Lunenburg</t>
  </si>
  <si>
    <t>York</t>
  </si>
  <si>
    <t>Suffolk</t>
  </si>
  <si>
    <t>Campbell</t>
  </si>
  <si>
    <t>Madison</t>
  </si>
  <si>
    <t>Caroline</t>
  </si>
  <si>
    <t>Mathews</t>
  </si>
  <si>
    <t>Waynesboro</t>
  </si>
  <si>
    <t>Carroll</t>
  </si>
  <si>
    <t>Mecklenburg</t>
  </si>
  <si>
    <t>Williamsburg</t>
  </si>
  <si>
    <t>Charles City</t>
  </si>
  <si>
    <t>Middlesex</t>
  </si>
  <si>
    <t>Winchester</t>
  </si>
  <si>
    <t>Charlotte</t>
  </si>
  <si>
    <t>Montgomery</t>
  </si>
  <si>
    <t>Chesterfield</t>
  </si>
  <si>
    <t>Nelson</t>
  </si>
  <si>
    <t>Alexandria</t>
  </si>
  <si>
    <t>Clarke</t>
  </si>
  <si>
    <t>New Kent</t>
  </si>
  <si>
    <t>Craig</t>
  </si>
  <si>
    <t>Northampton</t>
  </si>
  <si>
    <t>Bristol</t>
  </si>
  <si>
    <t>Culpeper</t>
  </si>
  <si>
    <t>Northumberland</t>
  </si>
  <si>
    <t>Buena Vista</t>
  </si>
  <si>
    <t>Cumberland</t>
  </si>
  <si>
    <t>Nottoway</t>
  </si>
  <si>
    <t>Charlottesville</t>
  </si>
  <si>
    <t>Dickenson</t>
  </si>
  <si>
    <t>Orange</t>
  </si>
  <si>
    <t>Chesapeake</t>
  </si>
  <si>
    <t>Dinwiddie</t>
  </si>
  <si>
    <t>Page</t>
  </si>
  <si>
    <t>Colonial Heights</t>
  </si>
  <si>
    <t>Essex</t>
  </si>
  <si>
    <t>Patrick</t>
  </si>
  <si>
    <t>Covington</t>
  </si>
  <si>
    <t>Fairfax</t>
  </si>
  <si>
    <t>Pittsylvania</t>
  </si>
  <si>
    <t>Danville</t>
  </si>
  <si>
    <t>Fauquier</t>
  </si>
  <si>
    <t>Powhatan</t>
  </si>
  <si>
    <t>Emporia</t>
  </si>
  <si>
    <t>Floyd</t>
  </si>
  <si>
    <t>Prince Edward</t>
  </si>
  <si>
    <t>Fluvanna</t>
  </si>
  <si>
    <t>Prince George</t>
  </si>
  <si>
    <t>Falls Church</t>
  </si>
  <si>
    <t>Franklin</t>
  </si>
  <si>
    <t>Prince William</t>
  </si>
  <si>
    <t>Frederick</t>
  </si>
  <si>
    <t>Pulaski</t>
  </si>
  <si>
    <t>Fredericksburg</t>
  </si>
  <si>
    <t>Giles</t>
  </si>
  <si>
    <t>Rappahannock</t>
  </si>
  <si>
    <t>Galax</t>
  </si>
  <si>
    <t>Gloucester</t>
  </si>
  <si>
    <t>Hampton</t>
  </si>
  <si>
    <t>Goochland</t>
  </si>
  <si>
    <t>Harrisonburg</t>
  </si>
  <si>
    <t>Grayson</t>
  </si>
  <si>
    <t>Rockbridge</t>
  </si>
  <si>
    <t>Hopewell</t>
  </si>
  <si>
    <t>Greene</t>
  </si>
  <si>
    <t>Rockingham</t>
  </si>
  <si>
    <t>Lexington</t>
  </si>
  <si>
    <t>Greensville</t>
  </si>
  <si>
    <t>Russell</t>
  </si>
  <si>
    <t>Lynchburg</t>
  </si>
  <si>
    <t>Table 5.6, Continued</t>
  </si>
  <si>
    <t>Town</t>
  </si>
  <si>
    <t>Abingdon</t>
  </si>
  <si>
    <t>Lebanon</t>
  </si>
  <si>
    <t>Saint Charles</t>
  </si>
  <si>
    <t>Accomac</t>
  </si>
  <si>
    <t>Damascus</t>
  </si>
  <si>
    <t>Leesburg</t>
  </si>
  <si>
    <t>Saint Paul</t>
  </si>
  <si>
    <t>Alberta</t>
  </si>
  <si>
    <t>Dayton</t>
  </si>
  <si>
    <t>Saltville</t>
  </si>
  <si>
    <t>Altavista</t>
  </si>
  <si>
    <t>Dillwyn</t>
  </si>
  <si>
    <t>Lovettsville</t>
  </si>
  <si>
    <t>Scottsville</t>
  </si>
  <si>
    <t>Drakes Branch</t>
  </si>
  <si>
    <t>Luray</t>
  </si>
  <si>
    <t>Appalachia</t>
  </si>
  <si>
    <t>Dublin</t>
  </si>
  <si>
    <t>Marion</t>
  </si>
  <si>
    <t>Smithfield</t>
  </si>
  <si>
    <t>Dumfries</t>
  </si>
  <si>
    <t>McKenney</t>
  </si>
  <si>
    <t>South Boston</t>
  </si>
  <si>
    <t>Ashland</t>
  </si>
  <si>
    <t>Edinburg</t>
  </si>
  <si>
    <t>Melfa</t>
  </si>
  <si>
    <t>South Hill</t>
  </si>
  <si>
    <t>Berryville</t>
  </si>
  <si>
    <t>Elkton</t>
  </si>
  <si>
    <t>Middleburg</t>
  </si>
  <si>
    <t>Stanardsville</t>
  </si>
  <si>
    <t>Big Stone Gap</t>
  </si>
  <si>
    <t>Farmville</t>
  </si>
  <si>
    <t>Middletown</t>
  </si>
  <si>
    <t>Stanley</t>
  </si>
  <si>
    <t>Blacksburg</t>
  </si>
  <si>
    <t>Fincastle</t>
  </si>
  <si>
    <t>Mineral</t>
  </si>
  <si>
    <t>Blackstone</t>
  </si>
  <si>
    <t>Monterey</t>
  </si>
  <si>
    <t>Strasburg</t>
  </si>
  <si>
    <t>Bluefield</t>
  </si>
  <si>
    <t>Fries</t>
  </si>
  <si>
    <t>Montross</t>
  </si>
  <si>
    <t>Stuart</t>
  </si>
  <si>
    <t>Boones Mill</t>
  </si>
  <si>
    <t>Front Royal</t>
  </si>
  <si>
    <t>Mount Jackson</t>
  </si>
  <si>
    <t>Tappahannock</t>
  </si>
  <si>
    <t>Bowling Green</t>
  </si>
  <si>
    <t>Gate City</t>
  </si>
  <si>
    <t>Narrows</t>
  </si>
  <si>
    <t>Boyce</t>
  </si>
  <si>
    <t>Glade Spring</t>
  </si>
  <si>
    <t>New Castle</t>
  </si>
  <si>
    <t>Timberville</t>
  </si>
  <si>
    <t>Boydton</t>
  </si>
  <si>
    <t>Glasgow</t>
  </si>
  <si>
    <t>New Market</t>
  </si>
  <si>
    <t>Troutville</t>
  </si>
  <si>
    <t>Boykins</t>
  </si>
  <si>
    <t>Gordonsville</t>
  </si>
  <si>
    <t>Newsoms</t>
  </si>
  <si>
    <t>Urbanna</t>
  </si>
  <si>
    <t>Bridgewater</t>
  </si>
  <si>
    <t>Goshen</t>
  </si>
  <si>
    <t>Nickelsville</t>
  </si>
  <si>
    <t>Victoria</t>
  </si>
  <si>
    <t>Broadway</t>
  </si>
  <si>
    <t>Gretna</t>
  </si>
  <si>
    <t>Occoquan</t>
  </si>
  <si>
    <t>Vienna</t>
  </si>
  <si>
    <t>Grottoes</t>
  </si>
  <si>
    <t>Onancock</t>
  </si>
  <si>
    <t>Vinton</t>
  </si>
  <si>
    <t>Brookneal</t>
  </si>
  <si>
    <t>Grundy</t>
  </si>
  <si>
    <t>Onley</t>
  </si>
  <si>
    <t>Wachapreague</t>
  </si>
  <si>
    <t>Wakefield</t>
  </si>
  <si>
    <t>Burkeville</t>
  </si>
  <si>
    <t>Hamilton</t>
  </si>
  <si>
    <t>Painter</t>
  </si>
  <si>
    <t>Warrenton</t>
  </si>
  <si>
    <t>Cape Charles</t>
  </si>
  <si>
    <t>Haymarket</t>
  </si>
  <si>
    <t>Parksley</t>
  </si>
  <si>
    <t>Warsaw</t>
  </si>
  <si>
    <t>Cedar Bluff</t>
  </si>
  <si>
    <t>Haysi</t>
  </si>
  <si>
    <t>Pearisburg</t>
  </si>
  <si>
    <t>Charlotte Court House</t>
  </si>
  <si>
    <t>Herndon</t>
  </si>
  <si>
    <t>Pembroke</t>
  </si>
  <si>
    <t>Waverly</t>
  </si>
  <si>
    <t>Chase City</t>
  </si>
  <si>
    <t>Hillsville</t>
  </si>
  <si>
    <t>Pennington Gap</t>
  </si>
  <si>
    <t>Weber City</t>
  </si>
  <si>
    <t>Chatham</t>
  </si>
  <si>
    <t>Honaker</t>
  </si>
  <si>
    <t>Phenix</t>
  </si>
  <si>
    <t>West Point</t>
  </si>
  <si>
    <t>Chilhowie</t>
  </si>
  <si>
    <t>Hurt</t>
  </si>
  <si>
    <t>Pocahontas</t>
  </si>
  <si>
    <t>White Stone</t>
  </si>
  <si>
    <t>Chincoteague</t>
  </si>
  <si>
    <t>Independence</t>
  </si>
  <si>
    <t>Port Royal</t>
  </si>
  <si>
    <t>Windsor</t>
  </si>
  <si>
    <t>Christiansburg</t>
  </si>
  <si>
    <t>Iron Gate</t>
  </si>
  <si>
    <t>Pound</t>
  </si>
  <si>
    <t>Clarksville</t>
  </si>
  <si>
    <t>Irvington</t>
  </si>
  <si>
    <t>Woodstock</t>
  </si>
  <si>
    <t>Cleveland</t>
  </si>
  <si>
    <t>Ivor</t>
  </si>
  <si>
    <t>Purcellville</t>
  </si>
  <si>
    <t>Clifton</t>
  </si>
  <si>
    <t>Jarratt</t>
  </si>
  <si>
    <t>Quantico</t>
  </si>
  <si>
    <t>Clifton Forge</t>
  </si>
  <si>
    <t>Jonesville</t>
  </si>
  <si>
    <t>Remington</t>
  </si>
  <si>
    <t>Total Towns</t>
  </si>
  <si>
    <t>Clintwood</t>
  </si>
  <si>
    <t>Kenbridge</t>
  </si>
  <si>
    <t>Rich Creek</t>
  </si>
  <si>
    <t>Coeburn</t>
  </si>
  <si>
    <t>Keysville</t>
  </si>
  <si>
    <t>Ridgeway</t>
  </si>
  <si>
    <t>Colonial Beach</t>
  </si>
  <si>
    <t>Kilmarnock</t>
  </si>
  <si>
    <t>Rocky Mount</t>
  </si>
  <si>
    <t>Courtland</t>
  </si>
  <si>
    <t>La Crosse</t>
  </si>
  <si>
    <t>Round Hill</t>
  </si>
  <si>
    <t>Crewe</t>
  </si>
  <si>
    <t>Lawrenceville</t>
  </si>
  <si>
    <t>Rural Retreat</t>
  </si>
  <si>
    <t>Table 5.5</t>
  </si>
  <si>
    <t>Table 5.5, continued</t>
  </si>
  <si>
    <t xml:space="preserve">Halifax   </t>
  </si>
  <si>
    <t xml:space="preserve">Virginia Beach </t>
  </si>
  <si>
    <t>Table 1.5</t>
  </si>
  <si>
    <t>Virginia Adjusted Gross Income by Locality/Income Level</t>
  </si>
  <si>
    <t>$0 to $4,999</t>
  </si>
  <si>
    <t>Table 1.5, continued</t>
  </si>
  <si>
    <r>
      <t>Unassigned</t>
    </r>
    <r>
      <rPr>
        <sz val="10"/>
        <rFont val="Arial"/>
        <family val="2"/>
      </rPr>
      <t>*</t>
    </r>
  </si>
  <si>
    <t>* Returns not assigned to a locality are generally nonresident returns.  In these cases, the taxpayer did not report a locality in which the Virginia portion of income was earned.</t>
  </si>
  <si>
    <t>Table 1.6</t>
  </si>
  <si>
    <t>Filing Status</t>
  </si>
  <si>
    <t>Number</t>
  </si>
  <si>
    <t>Individual</t>
  </si>
  <si>
    <t>Table 1.6, continued</t>
  </si>
  <si>
    <t>Table 1.7</t>
  </si>
  <si>
    <t>Total Net Taxable Income, Amount Taxed at Each Tax Rate, Total Income Tax Liability by Locality</t>
  </si>
  <si>
    <t>Table 1.7, continued</t>
  </si>
  <si>
    <t>Table 1.8</t>
  </si>
  <si>
    <t>Set-Off Debt Transferred to Agencies by Taxable Year</t>
  </si>
  <si>
    <t>Type of Participants</t>
  </si>
  <si>
    <t>State Agencies</t>
  </si>
  <si>
    <t>Circuit Courts</t>
  </si>
  <si>
    <t>District Courts</t>
  </si>
  <si>
    <t>Juvenile and Domestic Courts</t>
  </si>
  <si>
    <t>Combined Courts</t>
  </si>
  <si>
    <t>IRS</t>
  </si>
  <si>
    <t>Towns</t>
  </si>
  <si>
    <t>Social Services</t>
  </si>
  <si>
    <t>TOTAL</t>
  </si>
  <si>
    <t>Table 1.9</t>
  </si>
  <si>
    <t>Refund Match Totals</t>
  </si>
  <si>
    <t>Tax Year</t>
  </si>
  <si>
    <t>Table 1.10</t>
  </si>
  <si>
    <t>Program/ Fund</t>
  </si>
  <si>
    <t xml:space="preserve">Number </t>
  </si>
  <si>
    <t>Virginia Democratic Party*</t>
  </si>
  <si>
    <t>Virginia Republican Party*</t>
  </si>
  <si>
    <t>Virginia Nongame Wildlife Program</t>
  </si>
  <si>
    <t>Virginia Housing Program</t>
  </si>
  <si>
    <t>Virginia Open Space Recreation and Conservation Fund</t>
  </si>
  <si>
    <t>Virginia Family and Children's Trust Fund (FACT)</t>
  </si>
  <si>
    <t>Virginia Elderly and Disabled Transportation Fund</t>
  </si>
  <si>
    <t>Virginia Arts Foundation</t>
  </si>
  <si>
    <t>Chesapeake Bay Restoration</t>
  </si>
  <si>
    <t>Public School Foundations</t>
  </si>
  <si>
    <t>Spay and Neuter Fund</t>
  </si>
  <si>
    <t>Virginia Federation of Humane Societies</t>
  </si>
  <si>
    <t>Cancer Centers</t>
  </si>
  <si>
    <t>Virginia Military Family Relief Fund</t>
  </si>
  <si>
    <t>Public Libraries Foundations</t>
  </si>
  <si>
    <t>Table 4.2</t>
  </si>
  <si>
    <t>Category</t>
  </si>
  <si>
    <t>11  Agriculture</t>
  </si>
  <si>
    <t>21-22  Mining and Utilities</t>
  </si>
  <si>
    <t>23  Construction</t>
  </si>
  <si>
    <t>31-33  Manufacturing</t>
  </si>
  <si>
    <t>42  Wholesale Trade</t>
  </si>
  <si>
    <t>44-45  Retail Trade</t>
  </si>
  <si>
    <t>442  Furniture and Home Furnishings Stores</t>
  </si>
  <si>
    <t>444  Building Material and Garden Equipment and Supplies Dealers</t>
  </si>
  <si>
    <t>445  Food and Beverage Stores</t>
  </si>
  <si>
    <t>448  Clothing and Clothing Accessories Stores</t>
  </si>
  <si>
    <t>452  General Merchandise Stores</t>
  </si>
  <si>
    <t>48-49  Transportation and Warehousing</t>
  </si>
  <si>
    <t>51  Information</t>
  </si>
  <si>
    <t>52  Finance and Insurance</t>
  </si>
  <si>
    <t>53  Real Estate, Rental, and Leasing</t>
  </si>
  <si>
    <t>54  Professional, Scientific, and Technical Services</t>
  </si>
  <si>
    <t>55  Management of Companies and Enterprises</t>
  </si>
  <si>
    <t>61  Educational Services</t>
  </si>
  <si>
    <t>62  Health Care and Social Assistance</t>
  </si>
  <si>
    <t>71  Arts, Entertainment, and Recreation</t>
  </si>
  <si>
    <t>72  Accommodation And Food Services</t>
  </si>
  <si>
    <t>722  Food Services and Drinking Places</t>
  </si>
  <si>
    <t>81  Other Services</t>
  </si>
  <si>
    <t>92  Public Administration</t>
  </si>
  <si>
    <t>Not Categorized</t>
  </si>
  <si>
    <t>2. NAICS codes are self-reported and based on the primary business activity of the taxpayer.</t>
  </si>
  <si>
    <t>Table 6.1</t>
  </si>
  <si>
    <t>Table of Contents</t>
  </si>
  <si>
    <t xml:space="preserve">Net Revenue Collections and Expenditures                                                                </t>
  </si>
  <si>
    <t>1.10</t>
  </si>
  <si>
    <t>Corporate Income Tax</t>
  </si>
  <si>
    <t>Individual and Corporate Income Tax Credits</t>
  </si>
  <si>
    <t>4.2</t>
  </si>
  <si>
    <t>4.3</t>
  </si>
  <si>
    <t>Other State Taxes</t>
  </si>
  <si>
    <t>5.3</t>
  </si>
  <si>
    <t>5.4</t>
  </si>
  <si>
    <t>5.5</t>
  </si>
  <si>
    <t>5.6</t>
  </si>
  <si>
    <t>§ 58.1-439.12:05</t>
  </si>
  <si>
    <t>Green Job Creation Tax Credit</t>
  </si>
  <si>
    <t>2010 (effective 2010)</t>
  </si>
  <si>
    <t>§ 58.1-439.12:04</t>
  </si>
  <si>
    <t>Tax Credit for Participating Landlords (Community of Opportunity)</t>
  </si>
  <si>
    <t>State Forests Fund</t>
  </si>
  <si>
    <t>§ 58.1-339.12</t>
  </si>
  <si>
    <t>Farm Wineries and Vineyards Tax Credit</t>
  </si>
  <si>
    <t>2011 (effective 2011)</t>
  </si>
  <si>
    <t>§ 58.1-439.12:03</t>
  </si>
  <si>
    <t>Motion Picture Production Tax Credit (refundable)</t>
  </si>
  <si>
    <t>§ 58.1-439.12:06</t>
  </si>
  <si>
    <t>International Trade Facility Tax Credit</t>
  </si>
  <si>
    <t>§ 58.1-439.12:08</t>
  </si>
  <si>
    <t>§ 58.1-439.12:09</t>
  </si>
  <si>
    <t>Barge and Rail Usage Tax Credit</t>
  </si>
  <si>
    <t>§ 58.1-439.12:10</t>
  </si>
  <si>
    <t>Virginia Port Volume Increase Tax Credit</t>
  </si>
  <si>
    <t>Nonprofit Exemption Annual Report</t>
  </si>
  <si>
    <t>Amount ($)</t>
  </si>
  <si>
    <t>State and Local Retail Sales &amp; Use  
Tax Expenditure Resulting From Purchases 
Made by Nonprofit Organizations</t>
  </si>
  <si>
    <t>Wytheville</t>
  </si>
  <si>
    <t>Franklin City</t>
  </si>
  <si>
    <t>Richmond City</t>
  </si>
  <si>
    <t>Roanoke City</t>
  </si>
  <si>
    <t>Bloxom</t>
  </si>
  <si>
    <t>Broadnax</t>
  </si>
  <si>
    <t>Stephens City</t>
  </si>
  <si>
    <t>Non-General Fund (Non-GF) Revenues</t>
  </si>
  <si>
    <t>Total Department Non-GF Revenues</t>
  </si>
  <si>
    <t>Non-General Fund</t>
  </si>
  <si>
    <t xml:space="preserve">GF (tax) </t>
  </si>
  <si>
    <t xml:space="preserve">Non-GF (tax) </t>
  </si>
  <si>
    <t xml:space="preserve">Non-GF(other agency) </t>
  </si>
  <si>
    <t xml:space="preserve">Percent </t>
  </si>
  <si>
    <t>5.7</t>
  </si>
  <si>
    <t>Table 5.7</t>
  </si>
  <si>
    <t>Up to $24,999</t>
  </si>
  <si>
    <t>% used</t>
  </si>
  <si>
    <t xml:space="preserve">Total After Adjustments </t>
  </si>
  <si>
    <t>Insurance Premiums License Tax</t>
  </si>
  <si>
    <t xml:space="preserve">4. Tax assessed shown is before any credits claimed. </t>
  </si>
  <si>
    <t>5. If a company reports negative taxable premium income, its taxable premium income is treated as zero in this table.</t>
  </si>
  <si>
    <t>6. Some columns may not match totals due to rounding.</t>
  </si>
  <si>
    <t>Education Improvement Scholarships Tax Credit</t>
  </si>
  <si>
    <t xml:space="preserve">Amount </t>
  </si>
  <si>
    <t xml:space="preserve">Credit </t>
  </si>
  <si>
    <t>Neighborhood Assistance Act Tax Credit</t>
  </si>
  <si>
    <t>§ 58.1-439.26</t>
  </si>
  <si>
    <t>Education Improvement Scholarships Tax Credits</t>
  </si>
  <si>
    <t>2012 (effective 2013)</t>
  </si>
  <si>
    <t>Bedford County</t>
  </si>
  <si>
    <t>Fairfax County</t>
  </si>
  <si>
    <t>Franklin County</t>
  </si>
  <si>
    <t>Isle Of Wight</t>
  </si>
  <si>
    <t>King And Queen</t>
  </si>
  <si>
    <t>Richmond County</t>
  </si>
  <si>
    <t>Roanoke County</t>
  </si>
  <si>
    <t xml:space="preserve">*check if footnotes have changed </t>
  </si>
  <si>
    <t xml:space="preserve">Virginia College Saving Plan (Virginia 529) </t>
  </si>
  <si>
    <t xml:space="preserve">check footnote </t>
  </si>
  <si>
    <t>Office of Customer Services</t>
  </si>
  <si>
    <t>P.O. Box 1115</t>
  </si>
  <si>
    <t>Richmond, VA  23218-1115</t>
  </si>
  <si>
    <t>2010 (effective 2011)</t>
  </si>
  <si>
    <t>Virginia Adjusted Gross Income, Exemptions, Itemized and Standard Deductions, Total Taxable Income, Total Tax Liability, and Average Tax Rates</t>
  </si>
  <si>
    <t xml:space="preserve">Addition for reserve for loan losses </t>
  </si>
  <si>
    <t>d. Other deductions (total)</t>
  </si>
  <si>
    <t>Capital before Virginia modifications</t>
  </si>
  <si>
    <t>Low Income Housing Tax Credit</t>
  </si>
  <si>
    <t>Other Taxes Net Revenue Collections - Non-General Fund</t>
  </si>
  <si>
    <t>7. The Aircraft Sales and Use Tax is imposed at a rate of 2 percent of the sales price.  All revenues from this tax are deposited in a special fund within the Commonwealth Transportation Fund for the administration of the aviation laws of the Commonwealth.</t>
  </si>
  <si>
    <t>4. The watercraft sales and use tax is imposed at a rate of 2 percent of the purchase price, up to a maximum of $2,000.</t>
  </si>
  <si>
    <t>5. The rolling stock tax on railroads, freight car companies, and certified motor vehicle carriers is $1 on each $100 of assessed value.</t>
  </si>
  <si>
    <t xml:space="preserve">1. The tax rate is 6% of the corporation's Virginia taxable income, except in the case of certain energy suppliers and telecommunication companies that are subject to a Minimum Tax. </t>
  </si>
  <si>
    <t>2. Tax assessed shown is before any credits.</t>
  </si>
  <si>
    <t>1. The Set-Off Debt program applies an overpayment amount on a taxpayer's return against accounts receivable due to an agency of the Commonwealth.</t>
  </si>
  <si>
    <t>2. Tax liability is before any tax credits but after the spouse tax adjustment.</t>
  </si>
  <si>
    <t>1.  Bedford County data includes data from the City of Bedford- which reverted to a town, effective July 1, 2013.</t>
  </si>
  <si>
    <t>Separately</t>
  </si>
  <si>
    <t xml:space="preserve">Married Filing </t>
  </si>
  <si>
    <t>1. The tax rate is 2% for taxable income of $3,000 or less; 3% for taxable income $3,001 to $5,000; 5% for taxable income $5,001 to $17,000; and 5.75% for taxable income over $17,000.</t>
  </si>
  <si>
    <t>2. Exemption and deduction amounts for nonresidents include the full amount before the Virginia allocable portion is computed.</t>
  </si>
  <si>
    <t>3. Tax liability is before any tax credits but after the spouse tax adjustment.</t>
  </si>
  <si>
    <t>4. Average tax rate is computed by dividing total tax liability by the total taxable income.</t>
  </si>
  <si>
    <t>5. All revenue generated by the Individual Income Tax is deposited to the General Fund.</t>
  </si>
  <si>
    <t xml:space="preserve">6. Exemptions claimed includes personal, age, blind and dependent exemptions. </t>
  </si>
  <si>
    <t>1. Tax liability is before any tax credits but after the spouse tax adjustment.</t>
  </si>
  <si>
    <t xml:space="preserve">Corporate Income Tax </t>
  </si>
  <si>
    <t>Net Revenue Collections After Refunds by Tax Type</t>
  </si>
  <si>
    <t>By the Commonwealth of Virginia</t>
  </si>
  <si>
    <t xml:space="preserve">Recordation Tax and Deeds of Conveyance Revenue Collections by Locality </t>
  </si>
  <si>
    <t>Exemptions, Standard and Itemized Deductions, and Number of Returns by Filing Status/Locality</t>
  </si>
  <si>
    <t>4. Not all sales are subject to the Retail Sales and Use Tax. Numerous sales are excluded or exempted.</t>
  </si>
  <si>
    <t xml:space="preserve">Estate Tax </t>
  </si>
  <si>
    <t>§ 58.1-439.12:11</t>
  </si>
  <si>
    <t>Major Research and Development Expenses Tax Credit</t>
  </si>
  <si>
    <t>§ 58.1-439.12:12</t>
  </si>
  <si>
    <r>
      <t>United States Olympic Committee</t>
    </r>
    <r>
      <rPr>
        <vertAlign val="superscript"/>
        <sz val="10"/>
        <color indexed="8"/>
        <rFont val="Arial"/>
        <family val="2"/>
      </rPr>
      <t>#</t>
    </r>
  </si>
  <si>
    <r>
      <t>Community Policing Fund</t>
    </r>
    <r>
      <rPr>
        <vertAlign val="superscript"/>
        <sz val="10"/>
        <color indexed="8"/>
        <rFont val="Arial"/>
        <family val="2"/>
      </rPr>
      <t>#</t>
    </r>
  </si>
  <si>
    <r>
      <t>Historic Resources Fund</t>
    </r>
    <r>
      <rPr>
        <vertAlign val="superscript"/>
        <sz val="10"/>
        <color indexed="8"/>
        <rFont val="Arial"/>
        <family val="2"/>
      </rPr>
      <t>#</t>
    </r>
  </si>
  <si>
    <r>
      <t>Uninsured Medical Catastrophe Fund</t>
    </r>
    <r>
      <rPr>
        <vertAlign val="superscript"/>
        <sz val="10"/>
        <color indexed="8"/>
        <rFont val="Arial"/>
        <family val="2"/>
      </rPr>
      <t>#</t>
    </r>
  </si>
  <si>
    <r>
      <t>War Memorial &amp; National D-Day Memorial</t>
    </r>
    <r>
      <rPr>
        <vertAlign val="superscript"/>
        <sz val="10"/>
        <color indexed="8"/>
        <rFont val="Arial"/>
        <family val="2"/>
      </rPr>
      <t>#</t>
    </r>
  </si>
  <si>
    <r>
      <t>Tuition Assistance Grant Fund</t>
    </r>
    <r>
      <rPr>
        <vertAlign val="superscript"/>
        <sz val="10"/>
        <color indexed="8"/>
        <rFont val="Arial"/>
        <family val="2"/>
      </rPr>
      <t>#</t>
    </r>
  </si>
  <si>
    <r>
      <t>Martin Luther King, Jr. Living History Public Policy Center Fund</t>
    </r>
    <r>
      <rPr>
        <vertAlign val="superscript"/>
        <sz val="10"/>
        <color indexed="8"/>
        <rFont val="Arial"/>
        <family val="2"/>
      </rPr>
      <t>#</t>
    </r>
  </si>
  <si>
    <r>
      <t>Celebrating Special Children, Inc.</t>
    </r>
    <r>
      <rPr>
        <vertAlign val="superscript"/>
        <sz val="10"/>
        <color indexed="8"/>
        <rFont val="Arial"/>
        <family val="2"/>
      </rPr>
      <t>#</t>
    </r>
  </si>
  <si>
    <t>Community Foundations^</t>
  </si>
  <si>
    <t>Virginia Foundation of Community College Education^</t>
  </si>
  <si>
    <t>Breast and Cervical Cancer Prevention Treatment Fund^</t>
  </si>
  <si>
    <t>Middle Peninsula Chesapeake Bay Public Access Authority^</t>
  </si>
  <si>
    <t>Virginia Aquarium and Marine Science Center^</t>
  </si>
  <si>
    <t>Virginia Capitol Preservation Foundation^</t>
  </si>
  <si>
    <t>Office of the Secretary of Veteran Affairs and Homeland Security^</t>
  </si>
  <si>
    <t>Federation of Virginia Food Banks^</t>
  </si>
  <si>
    <t>VDA Medicare Part D Counseling Fund^</t>
  </si>
  <si>
    <t xml:space="preserve">^ These organizations were added to  2016 Virginia Individual Income Tax return. </t>
  </si>
  <si>
    <r>
      <t>Tax Value Assistance to Localities</t>
    </r>
    <r>
      <rPr>
        <vertAlign val="superscript"/>
        <sz val="12"/>
        <color indexed="8"/>
        <rFont val="Arial"/>
        <family val="2"/>
      </rPr>
      <t>#</t>
    </r>
  </si>
  <si>
    <t>Council (SLEAC) and makes expenditures on behalf of SLEAC. These expenditures are not included above.</t>
  </si>
  <si>
    <t>Local Property Taxes</t>
  </si>
  <si>
    <t>Table 7.1</t>
  </si>
  <si>
    <t>Table 6.2</t>
  </si>
  <si>
    <t>FMV Land</t>
  </si>
  <si>
    <t>FMV Taxable Land</t>
  </si>
  <si>
    <t>FMV Structures</t>
  </si>
  <si>
    <t>Total FMV</t>
  </si>
  <si>
    <t>Total Taxable FMV</t>
  </si>
  <si>
    <t>Local Levy</t>
  </si>
  <si>
    <t>Reporting Year</t>
  </si>
  <si>
    <t xml:space="preserve">Bedford </t>
  </si>
  <si>
    <t>Table 6.2, continued</t>
  </si>
  <si>
    <t xml:space="preserve">Harrisonburg  </t>
  </si>
  <si>
    <t xml:space="preserve">Lexington  </t>
  </si>
  <si>
    <t xml:space="preserve">Manassas  </t>
  </si>
  <si>
    <t xml:space="preserve">Norton  </t>
  </si>
  <si>
    <t xml:space="preserve">Williamsburg  </t>
  </si>
  <si>
    <t>1. The data in this table are reported as certified by local Commissioners of the Revenue and Assessors.</t>
  </si>
  <si>
    <t>2. Levies shown do not include penalties and interest collected.</t>
  </si>
  <si>
    <r>
      <t>3. Taxable fair market value is the total fair market of real estate minus the special assessment for land preservation (</t>
    </r>
    <r>
      <rPr>
        <i/>
        <sz val="9"/>
        <rFont val="Arial"/>
        <family val="2"/>
      </rPr>
      <t>Va. Code §</t>
    </r>
    <r>
      <rPr>
        <sz val="9"/>
        <rFont val="Arial"/>
        <family val="2"/>
      </rPr>
      <t xml:space="preserve"> 58.1-3230).</t>
    </r>
  </si>
  <si>
    <t>4. The taxable fair market value is equal to the total fair market value for localities which do not have a special assessment for land preservation.</t>
  </si>
  <si>
    <t xml:space="preserve">5. Bedford County data includes data from the City of Bedford- which reverted to a town, effective July 1, 2013.  </t>
  </si>
  <si>
    <t xml:space="preserve">6. For a few counties, the data may also include the data for towns that have their own school divisions. </t>
  </si>
  <si>
    <t>Table 6.3</t>
  </si>
  <si>
    <t>Taxes Lost</t>
  </si>
  <si>
    <t>Fair Market Value</t>
  </si>
  <si>
    <t>Fair Market Value Tax Exempt Real Estate</t>
  </si>
  <si>
    <t>(Real Estate and</t>
  </si>
  <si>
    <t>Tax Exempt to</t>
  </si>
  <si>
    <t>Due to</t>
  </si>
  <si>
    <t>Real Estate</t>
  </si>
  <si>
    <t>Government</t>
  </si>
  <si>
    <t>Non-Government</t>
  </si>
  <si>
    <t>Total Tax Exempt</t>
  </si>
  <si>
    <t>Tax Exempt)</t>
  </si>
  <si>
    <t>Table 6.3, continued</t>
  </si>
  <si>
    <t xml:space="preserve">2. Bedford County data includes data from the City of Bedford- which reverted to a town, effective July 1, 2013. </t>
  </si>
  <si>
    <t xml:space="preserve">3. For a few counties, the data may also include the data for towns that have their own school divisions. </t>
  </si>
  <si>
    <t>Table 6.4</t>
  </si>
  <si>
    <t>Tangible Personal Property, Machinery and Tools, Merchants' Capital, and Public Service Corporations</t>
  </si>
  <si>
    <t>Tangible Personal Property</t>
  </si>
  <si>
    <t>Machinery and Tools</t>
  </si>
  <si>
    <t>Merchants' Capital</t>
  </si>
  <si>
    <t>Public Service Corporations</t>
  </si>
  <si>
    <t>Values</t>
  </si>
  <si>
    <t>Levies</t>
  </si>
  <si>
    <t>Table 6.4, continued</t>
  </si>
  <si>
    <t>2. Data are based on information provided by the local Commissioners of the Revenue and Assessors.</t>
  </si>
  <si>
    <t>3. Tangible personal property includes motor vehicles, watercraft, aircraft, farm animals and machinery, business property, household goods, etc.</t>
  </si>
  <si>
    <t>5. Machinery and Tools includes machinery and equipment used in a manufacturing, mining, processing or reprocessing, radio and television broadcasting, etc.</t>
  </si>
  <si>
    <t>6. Merchants' Capital includes inventory of stock on hand, daily rental property, and all tangible personal property for sale.</t>
  </si>
  <si>
    <t>7. Property of Public Service Corporations (PSC's) includes merchants' capital, real estate taxed, and tangible personal property.</t>
  </si>
  <si>
    <t xml:space="preserve">8. Bedford County data includes data from the City of Bedford- which reverted to a town, effective July 1, 2013. </t>
  </si>
  <si>
    <t>Assessed Values, Levies Assessed, and Average Tax Rates</t>
  </si>
  <si>
    <t>Tangible Personal</t>
  </si>
  <si>
    <t>Machinery</t>
  </si>
  <si>
    <t>Merchants'</t>
  </si>
  <si>
    <t>Public Service</t>
  </si>
  <si>
    <t>Year</t>
  </si>
  <si>
    <t>Property</t>
  </si>
  <si>
    <t>and Tools</t>
  </si>
  <si>
    <t>Capital</t>
  </si>
  <si>
    <t>Corporations</t>
  </si>
  <si>
    <t>Taxable Property</t>
  </si>
  <si>
    <t>Assessed Values</t>
  </si>
  <si>
    <t>Levies Assessed</t>
  </si>
  <si>
    <t>Average Tax Rates per $100 of Assessed Value</t>
  </si>
  <si>
    <t>1.Average tax rate is computed as the aggregate levy for all counties and cities divided by the aggregate assessed value for all counties and cities.</t>
  </si>
  <si>
    <t xml:space="preserve">n/b: pulled updated values from revised annual report so wldnt match FY17 annual report </t>
  </si>
  <si>
    <t>2018 - 2019</t>
  </si>
  <si>
    <t>US Treasury</t>
  </si>
  <si>
    <t>Falls Church*</t>
  </si>
  <si>
    <t>Portsmouth*</t>
  </si>
  <si>
    <t xml:space="preserve">4. Some localities exempt certain categories from taxation. For a few counties, the data may also include the data for towns that have their own school divisions. </t>
  </si>
  <si>
    <t>VIRGINIA TAX</t>
  </si>
  <si>
    <r>
      <t>Home Energy Assistance</t>
    </r>
    <r>
      <rPr>
        <vertAlign val="superscript"/>
        <sz val="10"/>
        <color indexed="8"/>
        <rFont val="Arial"/>
        <family val="2"/>
      </rPr>
      <t>#</t>
    </r>
  </si>
  <si>
    <t>2. Effective beginning with Taxable Year 2017, Virginia entered into an agreement with U.S. Treasury to offset tax payments to collect nontax debts owed to the United States.</t>
  </si>
  <si>
    <t>*check FN</t>
  </si>
  <si>
    <t>Real Estate Fair Market Value (FMV), Fair Market Value (Taxable), and Local Levy by Locality - Tax Year 2019</t>
  </si>
  <si>
    <t>Comparison of Tax Exempt Value to Total Fair Market Value (FMV) of Real Estate by Locality - Tax Year 2019</t>
  </si>
  <si>
    <t>Assessed Values and Levies by Locality - Tax Year 2019</t>
  </si>
  <si>
    <t>§ 58.1-439.6:1</t>
  </si>
  <si>
    <t>Worker Training Tax Credit</t>
  </si>
  <si>
    <t xml:space="preserve">* Locality did not submit requested data for Tax Year 2019 and as such the locality's Tax Year 2018 data is being reported.  </t>
  </si>
  <si>
    <t>2019 - 2020</t>
  </si>
  <si>
    <t xml:space="preserve">Fairfax City </t>
  </si>
  <si>
    <t>Poquoson*</t>
  </si>
  <si>
    <t>Petersburg*</t>
  </si>
  <si>
    <t>Manassas Park*</t>
  </si>
  <si>
    <t>Hampton*</t>
  </si>
  <si>
    <t>Alexandria*</t>
  </si>
  <si>
    <t>James City*</t>
  </si>
  <si>
    <t>Arlington*</t>
  </si>
  <si>
    <t>Richmond*</t>
  </si>
  <si>
    <t>Children of America Finding Hope**</t>
  </si>
  <si>
    <t xml:space="preserve">** This organization was removed from the 2016 Virginia Individual Income Tax return and was added back to the 2018 Virginia Individual Income Tax return. </t>
  </si>
  <si>
    <t>Taxable Year 2019</t>
  </si>
  <si>
    <t>Adjusted Gross
Income Classes</t>
  </si>
  <si>
    <t>Single 
Returns</t>
  </si>
  <si>
    <t>Total 
Number of 
Returns</t>
  </si>
  <si>
    <t xml:space="preserve">Married 
Filing Joint </t>
  </si>
  <si>
    <t xml:space="preserve">Married 
Filing Separately </t>
  </si>
  <si>
    <t>Adjusted Gross 
Income Classes</t>
  </si>
  <si>
    <t>Total Number 
of Returns</t>
  </si>
  <si>
    <t>Total Number 
of Exemptions</t>
  </si>
  <si>
    <t>Total Net 
Taxable Income</t>
  </si>
  <si>
    <t>Total Income 
Tax Liability</t>
  </si>
  <si>
    <t>Fiscal Year 
2018</t>
  </si>
  <si>
    <t>Fiscal Year 
2019</t>
  </si>
  <si>
    <t>Fiscal Year 
2020</t>
  </si>
  <si>
    <t>FY 2015</t>
  </si>
  <si>
    <t>FY 2016</t>
  </si>
  <si>
    <t>FY 2017</t>
  </si>
  <si>
    <t>FY 2018</t>
  </si>
  <si>
    <t>FY 2019</t>
  </si>
  <si>
    <t>FY 2020</t>
  </si>
  <si>
    <t>FY 2021</t>
  </si>
  <si>
    <r>
      <t>Notes:</t>
    </r>
    <r>
      <rPr>
        <sz val="10"/>
        <color theme="0"/>
        <rFont val="Arial Narrow"/>
        <family val="2"/>
      </rPr>
      <t xml:space="preserve"> (check footnotes if changes needed)</t>
    </r>
  </si>
  <si>
    <t>Central VA Region</t>
  </si>
  <si>
    <t>Historic Triangle</t>
  </si>
  <si>
    <t xml:space="preserve">Northern Virginia Region </t>
  </si>
  <si>
    <t xml:space="preserve">Hampton Roads 
Region </t>
  </si>
  <si>
    <t>General 
Fund</t>
  </si>
  <si>
    <t>Subtotal 
State</t>
  </si>
  <si>
    <t>Local 
Option</t>
  </si>
  <si>
    <t>Public Education SOQ / Real Estate Property Tax Relief</t>
  </si>
  <si>
    <t>Total 
State and Local</t>
  </si>
  <si>
    <t>Fiscal 
Year</t>
  </si>
  <si>
    <t>State subtotal</t>
  </si>
  <si>
    <t>Local option</t>
  </si>
  <si>
    <t>State + Local</t>
  </si>
  <si>
    <t>`</t>
  </si>
  <si>
    <t>11. Effective FY 2010, dealers with annual taxable sales above a $1 million threshold are required to make a June payment equal to 90% of their sales and use tax liability for the previous June. For the payment due June 2021, the threshold was $10 million of annual taxable sales.</t>
  </si>
  <si>
    <t>Diff %</t>
  </si>
  <si>
    <t>Annual Report</t>
  </si>
  <si>
    <t>TAX data</t>
  </si>
  <si>
    <t>FY</t>
  </si>
  <si>
    <t>SUT totals from:</t>
  </si>
  <si>
    <t>prior Annual Report data</t>
  </si>
  <si>
    <t>FIPS</t>
  </si>
  <si>
    <t>Fiscal Year 
2021</t>
  </si>
  <si>
    <t>2019-2020</t>
  </si>
  <si>
    <t>Total Taxable Property</t>
  </si>
  <si>
    <t>Merchants' 
Capital</t>
  </si>
  <si>
    <t>Machinery 
and Tools</t>
  </si>
  <si>
    <t>Tangible 
Personal Property</t>
  </si>
  <si>
    <t>Taxable 
Real Estate</t>
  </si>
  <si>
    <t>1. A local license tax may be imposed on gross receipts under Va. Code § 58.1-3706.</t>
  </si>
  <si>
    <t>3. Taxable fair market value is the total fair market of real estate minus the special assessment for land preservation (Code of Virginia, Section 58.1-3230).</t>
  </si>
  <si>
    <t>4. Some localities exempt certain of these categories from taxation.</t>
  </si>
  <si>
    <t xml:space="preserve">3. The taxable sales figures presented are based on Virginia sales tax revenue reported on the dealers' returns.  However, the period covered by the report reflects all deposits received during the timeframe noted on the report, regardless of the taxpayer's filing period.  Late filing of returns and audits may result in year-over-year increases in taxable sales that do not reflect growth during the period covered by the table. </t>
  </si>
  <si>
    <t>Data source: 018C.0 Annual Taxable Sales Report from Virginia Tax BI platform</t>
  </si>
  <si>
    <t>Data source: Nonprofit Organization Tax Exemption Annual Report from Nonprofit Exemption Unit, Virginia Department of Taxation</t>
  </si>
  <si>
    <t>Data source: Bank Franchise Tax Unit, Virginia Department of Taxation</t>
  </si>
  <si>
    <t>Data source: Property Tax Unit, Virginia Department of Taxation</t>
  </si>
  <si>
    <t>Data source: 349.0 Communication Tax Annual Report from BI platform, Virginia Department of Taxation</t>
  </si>
  <si>
    <t>Data source: Department of Accounts</t>
  </si>
  <si>
    <t>Data source: Revenue Status Report RGL008 from Cardinal financial reporting system, Commonwealth of Virginia</t>
  </si>
  <si>
    <t>Data source: Department of Accounts and data pull from ARPRD database, Virginia Department of Taxation</t>
  </si>
  <si>
    <t>Data source: Report 138.0 from Office of Technology, Virginia Department of Taxation</t>
  </si>
  <si>
    <t>Data source: Report 138.A from Office of Technology, Virginia Department of Taxation</t>
  </si>
  <si>
    <t>Data source: Reports 138.B and 138.C from Office of Technology, Virginia Department of Taxation</t>
  </si>
  <si>
    <t>Data source: Reports 138.D from Office of Technology, Virginia Department of Taxation</t>
  </si>
  <si>
    <t>Data source: Fiscal Year Credit Report by Policy Development, Virginia Department of Taxation</t>
  </si>
  <si>
    <t>Data source: January "checkoffs" report using VA 529 Report and Report 138.E from Office of Technology, Virginia Department of Taxation</t>
  </si>
  <si>
    <t xml:space="preserve">10. Effective July 1, 2018, a new state tax of 1.0% was imposed on sales made in the Historic Triangle Region in the City of  Williamsburg and the counties of James City and York, with the exception of food purchased for human consumption. </t>
  </si>
  <si>
    <t xml:space="preserve"> 9. Effective July 1, 2013, a new state tax of 0.7% was imposed on localities in Northern Virginia region and Hampton Roads region.</t>
  </si>
  <si>
    <t xml:space="preserve"> 1. The sales and use tax on aircraft and on watercraft are reported separately in Tables 5.1 and 5.2, respectively.</t>
  </si>
  <si>
    <t xml:space="preserve"> 2. The sales and use tax on motor vehicles is administered by the Department of Motor Vehicles and is not reported here.</t>
  </si>
  <si>
    <t xml:space="preserve"> 3. Revenues of a 1% tax of the 4.3% state tax is returned to localities for education, based on each locality's school-age population.</t>
  </si>
  <si>
    <t xml:space="preserve"> 4. Revenues of a 1/2% tax of the 4.3% state tax is allocated to the Transportation Trust Fund for use by the Commonwealth Transportation Board.</t>
  </si>
  <si>
    <t xml:space="preserve"> 5. The local option tax of 1% is distributed to localities based on point of sale.  Local tax collections are net of all adjustments and costs of collection.</t>
  </si>
  <si>
    <t xml:space="preserve"> 6. Revenues of a 3/8% tax of the 4.3% state tax is allocated to the Public Education Standards of Quality/Local Real Estate Property Tax Relief Fund.</t>
  </si>
  <si>
    <t xml:space="preserve"> 7. On January 1, 2000, the state tax on unprepared food for human consumption was reduced from 3.5 % to 3.0 % and then reduced to 1.5 % on July 1, 2005.</t>
  </si>
  <si>
    <t xml:space="preserve"> 8. Effective July 1, 2013, the state tax was increased from 4% to 4.3%. Of the 0.3% increase, 0.175% goes to Highway Maintenance Operating Fund, 0.05% goes to Intercity Passenger Rail and 0.075% goes to Commonwealth Mass Transit Fund. </t>
  </si>
  <si>
    <t xml:space="preserve">12. Prior to FY 2017, the Commonwealth Accounting and Reporting System (CARS) was the data source for net revenue collections. Effective with FY 2017, the Revenue Status Report from the Cardinal financial system is the data source for net revenue collections. </t>
  </si>
  <si>
    <t>13. Effective July 1, 2019, the sales and use tax was extended to include remote sellers without a physical presence in the state. States were given the ability to do so by the U.S. Supreme Court's "Wayfair" decision of June 21, 2018</t>
  </si>
  <si>
    <t>14. For FY 2020 and prior years, the HMO fund amounts have been adjusted to include certain SUT revenue deposited in the Commonwealth Transportation Fund plus all other SUT revenue deposited in the HMO fund.</t>
  </si>
  <si>
    <r>
      <t xml:space="preserve">Highway  Maintenance Operating Fund </t>
    </r>
    <r>
      <rPr>
        <b/>
        <sz val="9"/>
        <color rgb="FFFF0000"/>
        <rFont val="Calibri"/>
        <family val="2"/>
      </rPr>
      <t>¹⁴ ¹⁵</t>
    </r>
  </si>
  <si>
    <r>
      <t>Transportation Trust Fund</t>
    </r>
    <r>
      <rPr>
        <b/>
        <sz val="9"/>
        <color rgb="FFFF0000"/>
        <rFont val="Arial"/>
        <family val="2"/>
      </rPr>
      <t xml:space="preserve"> ¹</t>
    </r>
    <r>
      <rPr>
        <b/>
        <sz val="9"/>
        <color rgb="FFFF0000"/>
        <rFont val="Calibri"/>
        <family val="2"/>
      </rPr>
      <t>⁵</t>
    </r>
  </si>
  <si>
    <r>
      <t>Intercity Passenger Rail Operating Fund</t>
    </r>
    <r>
      <rPr>
        <b/>
        <sz val="9"/>
        <color rgb="FFFF0000"/>
        <rFont val="Arial"/>
        <family val="2"/>
      </rPr>
      <t xml:space="preserve"> ¹</t>
    </r>
    <r>
      <rPr>
        <b/>
        <sz val="9"/>
        <color rgb="FFFF0000"/>
        <rFont val="Calibri"/>
        <family val="2"/>
      </rPr>
      <t>⁵</t>
    </r>
  </si>
  <si>
    <r>
      <t xml:space="preserve">Commonwealth Mass Transit Fund </t>
    </r>
    <r>
      <rPr>
        <b/>
        <sz val="9"/>
        <color rgb="FFFF0000"/>
        <rFont val="Arial"/>
        <family val="2"/>
      </rPr>
      <t>¹</t>
    </r>
    <r>
      <rPr>
        <b/>
        <sz val="9"/>
        <color rgb="FFFF0000"/>
        <rFont val="Calibri"/>
        <family val="2"/>
      </rPr>
      <t>⁵</t>
    </r>
  </si>
  <si>
    <t>3. Prior to July 1, 2010, the peanut excise tax was imposed at the rate of 15 cents per 100 pounds.  Effective July 1, 2010, the peanut excise tax was imposed at the rate of 30 cents per 100 pounds. Effective July 1, 2021, the peanut excise tax was reduced to the rate of 25 cents per 100 pounds. All revenues are deposited into the Peanut Fund.</t>
  </si>
  <si>
    <t>1. The data in this table are as reported by local Commissioners of the Revenue and Assessors to the Virginia Department of Taxation, Property Tax Unit</t>
  </si>
  <si>
    <t>* See note in Table 1.5 concerning returns not assigned to a locality.</t>
  </si>
  <si>
    <t>Back</t>
  </si>
  <si>
    <t>15. Starting in FY 2021, various transportation SUT revenues  have been consolidated in the Commonwealth Transportation Fund per legislation</t>
  </si>
  <si>
    <t>1. Totals in Table 1.7 may not match totals in previous tables due to minor variations in rounding.</t>
  </si>
  <si>
    <t>5. Effective September 1, 2004, the tax on cigarettes was imposed at a rate of 20 cents per pack of 20 cigarettes. Effective July 1, 2005, the tax on cigarette was imposed at a rate of 30 cents per pack of 20 cigarettes.   Effective July 1, 2020, the tax on cigarettes was imposed at a rate of 60 cents per pack of 20 cigarettes.  All revenue from the Cigarette Tax is deposited into the Virginia Health Care Fund.</t>
  </si>
  <si>
    <t>6. Prior to July 1, 2020, other tobacco products were taxed at 10 percent of the sales price charged by the wholesale dealer.  Beginning July 1, 2020, other tobacco products are taxed at 20 percent of the sales price charged by the wholesale dealer.  Also, effective July 1, 2020 liquid nicotine products are taxed at a rate of $0.066 per milliliter.  Beginning January 1, 2021, the tax is imposed on heated tobacco products at the rate of 2.25 cents per stick.  All revenues from this tax are deposited into the Virginia Health Care Fund.</t>
  </si>
  <si>
    <t>2. The egg excise tax is imposed at the rate of 5 cents per 30-dozen case or 11 cents per 100 pounds of liquid eggs.  All revenue from this tax are deposited into the Virginia Egg Fund.</t>
  </si>
  <si>
    <t>Data source: Report 146.0 Premium License Tax Preference Credit and Report 138.F Insurance Premium License Tax from Office of Technology, Virginia Department of Taxation</t>
  </si>
  <si>
    <t xml:space="preserve"> 4. The local option tax of 1% is distributed to localities based on point of sale.  Local tax collections are net of all adjustments and costs of collection.</t>
  </si>
  <si>
    <t xml:space="preserve"> 5. Revenues of a 3/8% tax of the 4.3% state tax is allocated to the Public Education Standards of Quality/Local Real Estate Property Tax Relief Fund.</t>
  </si>
  <si>
    <t xml:space="preserve"> 6. On January 1, 2000, the state tax on unprepared food for human consumption was reduced from 3.5 % to 3.0 % and then reduced to 1.5 % on July 1, 2005.</t>
  </si>
  <si>
    <t xml:space="preserve"> 7. Effective July 1, 2013, the state tax was increased from 4% to 4.3%. Of the 0.3% increase, 0.175% goes to Highway Maintenance Operating Fund, 0.05% goes to Intercity Passenger Rail and 0.075% goes to Commonwealth Mass Transit Fund. </t>
  </si>
  <si>
    <t xml:space="preserve"> 8. A new state tax of 0.7% was imposed on localities in Northern Virginia region and Hampton Roads region effective July 1, 2013, and in the Central Virginia region effective October 1, 2020.</t>
  </si>
  <si>
    <t xml:space="preserve"> 9. Effective July 1, 2018, a new state tax of 1.0% was imposed on sales made in the Historic Triangle Region in the City of  Williamsburg and the counties of James City and York, with the exception of food purchased for human consumption. </t>
  </si>
  <si>
    <t>10. Effective FY 2010, dealers with annual taxable sales above a $1 million threshold are required to make a June payment equal to 90% of their sales and use tax liability for the previous June. For the payment due June 2021, the threshold was $10 million of annual taxable sales.</t>
  </si>
  <si>
    <t xml:space="preserve">11. Prior to FY 2017, the Commonwealth Accounting and Reporting System (CARS) was the data source for net revenue collections. Effective with FY 2017, the Revenue Status Report from the Cardinal financial system is the data source for net revenue collections. </t>
  </si>
  <si>
    <t>12. Effective July 1, 2019, the sales and use tax was extended to include remote sellers without a physical presence in the state. States were given the ability to do so by the U.S. Supreme Court's "Wayfair" decision of June 21, 2018</t>
  </si>
  <si>
    <t>14. Starting in FY 2021, state transportation SUT revenues have been consolidated in the Commonwealth Transportation Fund per legislation</t>
  </si>
  <si>
    <r>
      <t>Commonwealth Transportation Fund ¹</t>
    </r>
    <r>
      <rPr>
        <b/>
        <sz val="9"/>
        <rFont val="Calibri"/>
        <family val="2"/>
      </rPr>
      <t>⁴</t>
    </r>
  </si>
  <si>
    <r>
      <t>Transportation Trust Fund ¹</t>
    </r>
    <r>
      <rPr>
        <b/>
        <sz val="9"/>
        <rFont val="Calibri"/>
        <family val="2"/>
      </rPr>
      <t>⁴</t>
    </r>
  </si>
  <si>
    <r>
      <t xml:space="preserve">Highway  Maintenance Operating Fund </t>
    </r>
    <r>
      <rPr>
        <b/>
        <sz val="9"/>
        <rFont val="Calibri"/>
        <family val="2"/>
      </rPr>
      <t>¹³ ¹⁴</t>
    </r>
  </si>
  <si>
    <r>
      <t>Intercity Passenger Rail Operating Fund ¹</t>
    </r>
    <r>
      <rPr>
        <b/>
        <sz val="9"/>
        <rFont val="Calibri"/>
        <family val="2"/>
      </rPr>
      <t>⁴</t>
    </r>
  </si>
  <si>
    <r>
      <t>Commonwealth Mass Transit Fund ¹</t>
    </r>
    <r>
      <rPr>
        <b/>
        <sz val="9"/>
        <rFont val="Calibri"/>
        <family val="2"/>
      </rPr>
      <t>⁴</t>
    </r>
  </si>
  <si>
    <r>
      <t>Additional Tax Certain Localities</t>
    </r>
    <r>
      <rPr>
        <b/>
        <sz val="9"/>
        <color rgb="FF7030A0"/>
        <rFont val="Arial"/>
        <family val="2"/>
      </rPr>
      <t>¹</t>
    </r>
    <r>
      <rPr>
        <b/>
        <sz val="9"/>
        <color rgb="FF7030A0"/>
        <rFont val="Calibri"/>
        <family val="2"/>
      </rPr>
      <t>⁵</t>
    </r>
  </si>
  <si>
    <t>14. Certain localities have statutory authority to levy an additional sales and use tax of up to one percent. Halifax County imposed this new tax effective July 1, 2020 and Henry County imposed the tax effective April 1, 2021.</t>
  </si>
  <si>
    <r>
      <t>Transportation ¹</t>
    </r>
    <r>
      <rPr>
        <b/>
        <sz val="9"/>
        <rFont val="Calibri"/>
        <family val="2"/>
      </rPr>
      <t>³</t>
    </r>
  </si>
  <si>
    <r>
      <t>Additional Tax Certain Localities</t>
    </r>
    <r>
      <rPr>
        <b/>
        <sz val="9"/>
        <color rgb="FF7030A0"/>
        <rFont val="Arial"/>
        <family val="2"/>
      </rPr>
      <t>¹</t>
    </r>
    <r>
      <rPr>
        <b/>
        <sz val="9"/>
        <color rgb="FF7030A0"/>
        <rFont val="Calibri"/>
        <family val="2"/>
      </rPr>
      <t>⁴</t>
    </r>
  </si>
  <si>
    <t xml:space="preserve">13. Prior to FY 2021, transportation funding included distributions to the Transportation Trust Fund, Highway Maintenance Operating Fund, Intercity Passenger Rail Operating Fund, and Commonwealth Mass Transit Fund. For a detailed breakdown of such distributions, see prior annual reports. Pursuant to 2020 HB 1414 and SB 890 (2020 Acts of Assembly, Chapters ___ and ___), such funding was distributed solely to the Commonwealth Transportation Fund, effective July 1, 2021. </t>
  </si>
  <si>
    <r>
      <t>Directory</t>
    </r>
    <r>
      <rPr>
        <sz val="10"/>
        <rFont val="Arial"/>
        <family val="2"/>
      </rPr>
      <t xml:space="preserve"> ……………………………………...……………………....………………….……………………………………………………………………….…………………..……………………………..    </t>
    </r>
  </si>
  <si>
    <t>2. If a return was amended or audited during the fiscal year, only the additional credit amount (or reduction) is included.</t>
  </si>
  <si>
    <t>3. The amount shown for the Coalfields Employment Enhancement Tax credit includes the amount refunded to taxpayers, as well as that deposited with the Coalfields Economic Development Authority.</t>
  </si>
  <si>
    <t>4. A refundable tax credit is one which is not limited by the amount of the taxpayer's tax liability.</t>
  </si>
  <si>
    <t xml:space="preserve"> Share of 
State Tax</t>
  </si>
  <si>
    <t>Total 
Amount</t>
  </si>
  <si>
    <t>Tax Exempt to Total FMV</t>
  </si>
  <si>
    <t>Fair Market Value 
Real Estate</t>
  </si>
  <si>
    <t>Total FMV 
(Real Estate &amp; Tax Exempt)</t>
  </si>
  <si>
    <t>Taxes Lost 
Due to Exemptions</t>
  </si>
  <si>
    <t>2017</t>
  </si>
  <si>
    <t>2018</t>
  </si>
  <si>
    <t>2019</t>
  </si>
  <si>
    <t>2021</t>
  </si>
  <si>
    <t>56  Administrative, Support, Waste Management, &amp; Remediation Services</t>
  </si>
  <si>
    <r>
      <t xml:space="preserve">Insurance Premiums License Tax: </t>
    </r>
    <r>
      <rPr>
        <sz val="12"/>
        <rFont val="Arial"/>
        <family val="2"/>
      </rPr>
      <t>Number of Returns, Taxable Premium Income, and Tax Liability</t>
    </r>
  </si>
  <si>
    <r>
      <t xml:space="preserve">Insurance Companies </t>
    </r>
    <r>
      <rPr>
        <sz val="10"/>
        <rFont val="Arial"/>
        <family val="2"/>
      </rPr>
      <t xml:space="preserve">(Form 800) </t>
    </r>
  </si>
  <si>
    <r>
      <t>Surplus Lines Brokers</t>
    </r>
    <r>
      <rPr>
        <sz val="10"/>
        <rFont val="Arial"/>
        <family val="2"/>
      </rPr>
      <t xml:space="preserve"> (Form 802) </t>
    </r>
  </si>
  <si>
    <t xml:space="preserve">Taxable Premium Income Reported for Virginia </t>
  </si>
  <si>
    <t>Taxable 
Premium Income</t>
  </si>
  <si>
    <t>Tax 
Assessed</t>
  </si>
  <si>
    <t>Percent of Total (Tax)</t>
  </si>
  <si>
    <t>Fiscal Year 
2022</t>
  </si>
  <si>
    <t>Reported Taxable Income From Virginia Sources</t>
  </si>
  <si>
    <t>Percent 
of Total</t>
  </si>
  <si>
    <t>Number of Payments</t>
  </si>
  <si>
    <t>1. The Refund Match program automatically matches an overpayment on a taxpayer's return to any outstanding tax due to the Department of Taxation, with the exception of fiduciary and estate tax accounts.</t>
  </si>
  <si>
    <t>Taxed at 2% Rate</t>
  </si>
  <si>
    <t>Taxed at 3% Rate</t>
  </si>
  <si>
    <t>Taxed at 5% Rate</t>
  </si>
  <si>
    <t>Taxed at 5.75% Rate</t>
  </si>
  <si>
    <t>51001</t>
  </si>
  <si>
    <t>51003</t>
  </si>
  <si>
    <t>51005</t>
  </si>
  <si>
    <t>51007</t>
  </si>
  <si>
    <t>51009</t>
  </si>
  <si>
    <t>51011</t>
  </si>
  <si>
    <t>51013</t>
  </si>
  <si>
    <t>51015</t>
  </si>
  <si>
    <t>51017</t>
  </si>
  <si>
    <t>51019</t>
  </si>
  <si>
    <t>51021</t>
  </si>
  <si>
    <t>51023</t>
  </si>
  <si>
    <t>51025</t>
  </si>
  <si>
    <t>51027</t>
  </si>
  <si>
    <t>51029</t>
  </si>
  <si>
    <t>51031</t>
  </si>
  <si>
    <t>51033</t>
  </si>
  <si>
    <t>51035</t>
  </si>
  <si>
    <t>51036</t>
  </si>
  <si>
    <t>51037</t>
  </si>
  <si>
    <t>51041</t>
  </si>
  <si>
    <t>51043</t>
  </si>
  <si>
    <t>51045</t>
  </si>
  <si>
    <t>51047</t>
  </si>
  <si>
    <t>51049</t>
  </si>
  <si>
    <t>51051</t>
  </si>
  <si>
    <t>51053</t>
  </si>
  <si>
    <t>51057</t>
  </si>
  <si>
    <t>51059</t>
  </si>
  <si>
    <t>51061</t>
  </si>
  <si>
    <t>51063</t>
  </si>
  <si>
    <t>51065</t>
  </si>
  <si>
    <t>51067</t>
  </si>
  <si>
    <t>51069</t>
  </si>
  <si>
    <t>51071</t>
  </si>
  <si>
    <t>51073</t>
  </si>
  <si>
    <t>51075</t>
  </si>
  <si>
    <t>51077</t>
  </si>
  <si>
    <t>51079</t>
  </si>
  <si>
    <t>51081</t>
  </si>
  <si>
    <t>51083</t>
  </si>
  <si>
    <t>51085</t>
  </si>
  <si>
    <t>51087</t>
  </si>
  <si>
    <t>51089</t>
  </si>
  <si>
    <t>51091</t>
  </si>
  <si>
    <t>51093</t>
  </si>
  <si>
    <t>51095</t>
  </si>
  <si>
    <t>51097</t>
  </si>
  <si>
    <t>51099</t>
  </si>
  <si>
    <t>51101</t>
  </si>
  <si>
    <t>51103</t>
  </si>
  <si>
    <t>51105</t>
  </si>
  <si>
    <t>51107</t>
  </si>
  <si>
    <t>51109</t>
  </si>
  <si>
    <t>51111</t>
  </si>
  <si>
    <t>51113</t>
  </si>
  <si>
    <t>51115</t>
  </si>
  <si>
    <t>51117</t>
  </si>
  <si>
    <t>51119</t>
  </si>
  <si>
    <t>51121</t>
  </si>
  <si>
    <t>51125</t>
  </si>
  <si>
    <t>51127</t>
  </si>
  <si>
    <t>51131</t>
  </si>
  <si>
    <t>51133</t>
  </si>
  <si>
    <t>51135</t>
  </si>
  <si>
    <t>51137</t>
  </si>
  <si>
    <t>51139</t>
  </si>
  <si>
    <t>51141</t>
  </si>
  <si>
    <t>51143</t>
  </si>
  <si>
    <t>51145</t>
  </si>
  <si>
    <t>51147</t>
  </si>
  <si>
    <t>51149</t>
  </si>
  <si>
    <t>51153</t>
  </si>
  <si>
    <t>51155</t>
  </si>
  <si>
    <t>51157</t>
  </si>
  <si>
    <t>51159</t>
  </si>
  <si>
    <t>51161</t>
  </si>
  <si>
    <t>51163</t>
  </si>
  <si>
    <t>51165</t>
  </si>
  <si>
    <t>51167</t>
  </si>
  <si>
    <t>51169</t>
  </si>
  <si>
    <t>51171</t>
  </si>
  <si>
    <t>51173</t>
  </si>
  <si>
    <t>51175</t>
  </si>
  <si>
    <t>51177</t>
  </si>
  <si>
    <t>51179</t>
  </si>
  <si>
    <t>51181</t>
  </si>
  <si>
    <t>51183</t>
  </si>
  <si>
    <t>51185</t>
  </si>
  <si>
    <t>51187</t>
  </si>
  <si>
    <t>51191</t>
  </si>
  <si>
    <t>51193</t>
  </si>
  <si>
    <t>51195</t>
  </si>
  <si>
    <t>51197</t>
  </si>
  <si>
    <t>51199</t>
  </si>
  <si>
    <t>51510</t>
  </si>
  <si>
    <t>51520</t>
  </si>
  <si>
    <t>51530</t>
  </si>
  <si>
    <t>51540</t>
  </si>
  <si>
    <t>51550</t>
  </si>
  <si>
    <t>51570</t>
  </si>
  <si>
    <t>51580</t>
  </si>
  <si>
    <t>51590</t>
  </si>
  <si>
    <t>51595</t>
  </si>
  <si>
    <t>51600</t>
  </si>
  <si>
    <t>51610</t>
  </si>
  <si>
    <t>51620</t>
  </si>
  <si>
    <t>51630</t>
  </si>
  <si>
    <t>51640</t>
  </si>
  <si>
    <t>51650</t>
  </si>
  <si>
    <t>51660</t>
  </si>
  <si>
    <t>51670</t>
  </si>
  <si>
    <t>51678</t>
  </si>
  <si>
    <t>51680</t>
  </si>
  <si>
    <t>51683</t>
  </si>
  <si>
    <t>51685</t>
  </si>
  <si>
    <t>51690</t>
  </si>
  <si>
    <t>51700</t>
  </si>
  <si>
    <t>51710</t>
  </si>
  <si>
    <t>51720</t>
  </si>
  <si>
    <t>51730</t>
  </si>
  <si>
    <t>51735</t>
  </si>
  <si>
    <t>51740</t>
  </si>
  <si>
    <t>51750</t>
  </si>
  <si>
    <t>51760</t>
  </si>
  <si>
    <t>51770</t>
  </si>
  <si>
    <t>51775</t>
  </si>
  <si>
    <t>51790</t>
  </si>
  <si>
    <t>51800</t>
  </si>
  <si>
    <t>51810</t>
  </si>
  <si>
    <t>51820</t>
  </si>
  <si>
    <t>51830</t>
  </si>
  <si>
    <t>51840</t>
  </si>
  <si>
    <t>00300</t>
  </si>
  <si>
    <t>Total 
Returns</t>
  </si>
  <si>
    <t>Married 
Filing Joint</t>
  </si>
  <si>
    <t>Married 
Filing Separately</t>
  </si>
  <si>
    <t>$5,000 to $9,999</t>
  </si>
  <si>
    <t>$10,000 to $14,999</t>
  </si>
  <si>
    <t>$15,000 to $19,999</t>
  </si>
  <si>
    <t>$20,000 to $24,999</t>
  </si>
  <si>
    <t>$25,000 to $29,999</t>
  </si>
  <si>
    <t>$30,000 to $39,999</t>
  </si>
  <si>
    <t>$40,000 to $49,999</t>
  </si>
  <si>
    <t>$50,000 to $74,999</t>
  </si>
  <si>
    <t>$75,000 to $99,999</t>
  </si>
  <si>
    <t>$100,000 and Over</t>
  </si>
  <si>
    <t>Total Adjusted Gross Income</t>
  </si>
  <si>
    <t>Adjusted Gross Income Classes</t>
  </si>
  <si>
    <t>Exemptions Claimed ($)</t>
  </si>
  <si>
    <t>Itemized Deductions Claimed ($)</t>
  </si>
  <si>
    <t>Standard Deductions  Claimed ($)</t>
  </si>
  <si>
    <t>Total Deductions Claimed ($)</t>
  </si>
  <si>
    <t>Total Taxable Income</t>
  </si>
  <si>
    <t>Total Tax Liability</t>
  </si>
  <si>
    <t>Average Tax Rate</t>
  </si>
  <si>
    <t xml:space="preserve">Data source: Net Revenue Collections are from Revenue Status Report RGL008 from Cardinal financial reporting system, Commonwealth of Virginia; </t>
  </si>
  <si>
    <t xml:space="preserve">Data source: Tax Department GF expenditures are from Revenue Status Report RGL006 from Cardinal financial reporting system, Commonwealth of Virginia; </t>
  </si>
  <si>
    <t>Data source: SLEAC expenditures excluded from Tax expenditures are provided by request from Revenue Accounting, Department of Taxation</t>
  </si>
  <si>
    <t>FY 2022</t>
  </si>
  <si>
    <t>Agricultural Best Management Practices Tax Credit</t>
  </si>
  <si>
    <t>Riparian Forest Buffer Protection for Waterways Tax Credit</t>
  </si>
  <si>
    <t>Research and Development Expenses Tax Credit (refundable)</t>
  </si>
  <si>
    <t>Conservation Tillage and Precision Agriculture Equipment Tax Credit</t>
  </si>
  <si>
    <t>Tax Credits:  Individual and Corporate Income Tax, Insurance Premium License Tax, and Bank Franchise Tax</t>
  </si>
  <si>
    <t>13. For FY 2020 and prior years, the HMO fund amounts have been adjusted to include all SUT revenue deposited in the HMO fund; for this reason, the HMOF numbers reported in prior years may differ.</t>
  </si>
  <si>
    <t>The Honorable Glenn Youngkin, Governor</t>
  </si>
  <si>
    <t>The Honorable Stephen E. Cummings, Secretary of Finance</t>
  </si>
  <si>
    <t>Voluntary Contributions by Taxable Year</t>
  </si>
  <si>
    <t>The Transportation SUT revenues are as compiled in Table 4.1</t>
  </si>
  <si>
    <r>
      <t xml:space="preserve">7. Total deductions represents standard and itemized deduction and does not include other deductions in </t>
    </r>
    <r>
      <rPr>
        <i/>
        <sz val="9"/>
        <color theme="1" tint="0.14999847407452621"/>
        <rFont val="Arial Narrow"/>
        <family val="2"/>
      </rPr>
      <t xml:space="preserve">Va. Code § </t>
    </r>
    <r>
      <rPr>
        <sz val="9"/>
        <color theme="1" tint="0.14999847407452621"/>
        <rFont val="Arial Narrow"/>
        <family val="2"/>
      </rPr>
      <t xml:space="preserve"> 58.1-322.03.</t>
    </r>
  </si>
  <si>
    <t>3. Effective January 1, 2014, the General Assembly enacted legislation that allowed an individual to designate their individual income tax refund, or a portion thereof, to be deposited into one or more Virginia College Savings Plan accounts (Virginia 529).</t>
  </si>
  <si>
    <t xml:space="preserve"> 6. The state tax on unprepared food for human consumption was reduced from 3.5 % to 3.0 % on January 1, 2000; reduced to 1.5 % on July 1, 2005; and eliminated effective January 1, 2023</t>
  </si>
  <si>
    <t>10. Effective FY 2010, dealers with annual taxable sales above a $1 million threshold were required to make a June payment equal to 90% of their sales and use tax liability for the previous June. The threshold was raised to $10 million for the payment due June 2021.  This accelerated June payment was eliminated for the payment due June 2022.</t>
  </si>
  <si>
    <t>11. Prior to FY 2017, the Commonwealth Accounting and Reporting System (CARS) was the data source for net revenue collections. Effective with FY 2017, the Revenue Status Report from the Cardinal financial system is the data source for net revenue collections. The exception is Additional Tax Certain Localities, which requires a custom report.</t>
  </si>
  <si>
    <r>
      <t xml:space="preserve">6. The administration and collection of Insurance Premiums License Tax was transferred from SCC's Bureau of Insurance to the Department of Taxation, effective for taxable years beginning on or after January, 2013. Prior to Taxable Year 2015, depending on the line(s) of insurance from which the premiums were derived, the tax rates were 2.25%, 1.00%, and 0.75% for insurance companies. After Taxable Year 2015, depending on the line(s) of insurance from which the premiums were derived, the tax rates are 2.25% and 1.00% for insurance companies. Surplus lines brokers are subject to a rate of 2.25%. The figures above represent the General Fund share after the required transfer to the Transportation Trust Fund per Chapter 896, 2007 </t>
    </r>
    <r>
      <rPr>
        <i/>
        <sz val="9"/>
        <color theme="1" tint="0.14999847407452621"/>
        <rFont val="Arial Narrow"/>
        <family val="2"/>
      </rPr>
      <t>Acts of Assembly</t>
    </r>
    <r>
      <rPr>
        <sz val="9"/>
        <color theme="1" tint="0.14999847407452621"/>
        <rFont val="Arial Narrow"/>
        <family val="2"/>
      </rPr>
      <t xml:space="preserve">. </t>
    </r>
  </si>
  <si>
    <t>Insurance Premiums</t>
  </si>
  <si>
    <t>Suits &amp;</t>
  </si>
  <si>
    <t>Wills</t>
  </si>
  <si>
    <t xml:space="preserve">Notes: </t>
  </si>
  <si>
    <t>Tire Recycling</t>
  </si>
  <si>
    <t>Egg Excise</t>
  </si>
  <si>
    <t>Peanut Excise</t>
  </si>
  <si>
    <t>Aircraft Tax</t>
  </si>
  <si>
    <r>
      <t>Other Tobacco 
Products</t>
    </r>
    <r>
      <rPr>
        <b/>
        <sz val="10"/>
        <color theme="0"/>
        <rFont val="Arial"/>
        <family val="2"/>
      </rPr>
      <t>__</t>
    </r>
  </si>
  <si>
    <t>Corn Tax</t>
  </si>
  <si>
    <t>Cotton Tax</t>
  </si>
  <si>
    <t>Small Grains</t>
  </si>
  <si>
    <t>Litter Tax</t>
  </si>
  <si>
    <t>Sheep Tax</t>
  </si>
  <si>
    <t>Apple Tax</t>
  </si>
  <si>
    <t>Soft Drink 
Excise Tax</t>
  </si>
  <si>
    <r>
      <t>Soybean Excise</t>
    </r>
    <r>
      <rPr>
        <b/>
        <sz val="10"/>
        <color theme="0"/>
        <rFont val="Arial"/>
        <family val="2"/>
      </rPr>
      <t>_</t>
    </r>
  </si>
  <si>
    <t>Falls Church *</t>
  </si>
  <si>
    <t xml:space="preserve">Manassas Park  </t>
  </si>
  <si>
    <t xml:space="preserve">Poquoson  </t>
  </si>
  <si>
    <t xml:space="preserve">Fairfax County </t>
  </si>
  <si>
    <t>2. Taxable fair market value is the total fair market of real estate minus the special assessment for land preservation (Code of Virginia, Section 58.1-3230).</t>
  </si>
  <si>
    <t>3. The taxable fair market value is equal to the total fair market value for localities which do not have a special assessment for land preservation.</t>
  </si>
  <si>
    <t>2. A local license tax may be imposed on gross receipts under the Code of Virginia, Section 58.1-3706.</t>
  </si>
  <si>
    <t xml:space="preserve">Richmond  County </t>
  </si>
  <si>
    <t>2. The data source for net revenue collections is the Revenue Status Report from the Cardinal financial system,</t>
  </si>
  <si>
    <t>2. Prior to FY 2017, the Commonwealth Accounting and Reporting System was the data source for Corporate Income Tax revenue. Effective with FY 2017, the data source is the Revenue Status Report from the Cardinal financial system.</t>
  </si>
  <si>
    <t xml:space="preserve">Nonprofit Organization Tax Exemption Annual Report By Fiscal Year </t>
  </si>
  <si>
    <t>License Tax</t>
  </si>
  <si>
    <t>Forest Products</t>
  </si>
  <si>
    <t>*</t>
  </si>
  <si>
    <t>Amount *</t>
  </si>
  <si>
    <t>*Note that the 2019 Amounts for Counties, Cities, and Towns have been corrected to reflect Finalized Claims excluding administrative costs</t>
  </si>
  <si>
    <t>http://www.tax.virginia.gov</t>
  </si>
  <si>
    <t>This report was prepared by:</t>
  </si>
  <si>
    <t>http://www.coopercenter.org</t>
  </si>
  <si>
    <t>Other economic and demographic data is available from the University of Virginia's Weldon Cooper Center for Public Service, which can be reached by telephone at (434) 243-5232 or online at:</t>
  </si>
  <si>
    <t xml:space="preserve">3. Insurance companies are subject to tax on their gross premium income. Depending on the line(s) of insurance from which the premiums were derived, the tax rates for taxable year 2021 were 2.25% and 1.00%. Surplus lines brokers are required to pay the tax on each policy of insurance they produce during the preceding calendar year with an insurer that is not licensed to conduct business in Virginia. Surplus lines brokers are subject to a rate of 2.25%. </t>
  </si>
  <si>
    <t xml:space="preserve">1. The figures stated above are net of refunds.  </t>
  </si>
  <si>
    <t>3. The tax on suits is $5 for debts under $50,000, $15 for debts $50,000 and greater but not exceeding $100,000, and $25 for debts $100,000 and greater.  Prior to July 1, 2007, Virginia had an estate tax that was equal to the federal credit for state death taxes. With the elimination of the federal credit, the Virginia estate tax was effectively repealed.</t>
  </si>
  <si>
    <t>1. The Tire Recycling Fee is imposed at a rate of 50 cents per tire. All revenues from the fee are deposited into the Waste Tire Trust Fund.</t>
  </si>
  <si>
    <t>2. This tax is collected from consumers by their service providers and remitted to the Department of Taxation on a monthly basis.  In cases where a consumer purchases taxable communications services and no tax is collected from the consumer on the purchase by the provider, the consumer is responsible for paying a communications use tax.</t>
  </si>
  <si>
    <t xml:space="preserve">2. For insurance companies, taxable premium income means direct premium income allocated to Virginia after taking into account any adjustments. For surplus lines brokers, taxable premium income is premium income from policies for insureds whose home state is Virginia after taking into account any additional or returned premiums. </t>
  </si>
  <si>
    <t xml:space="preserve">1. The Department’s estimate of annual revenue impact of the nonprofit entity exemption is based on the amounts of exempt purchases reported to the Department by nonprofit entities on their applications for a new or renewed exemption under Va. Code § 58.1-609.11.    </t>
  </si>
  <si>
    <t>Cattle Tax</t>
  </si>
  <si>
    <t/>
  </si>
  <si>
    <t>8. The Virginia Department of Taxation began collecting the Cattle Tax Assessment in FY 2019 pursuant to 2018 Senate Bill 374 (Chapter 469, 2018 Acts of Assembly).</t>
  </si>
  <si>
    <t>9. The corn assessment is imposed at the rate of 1 cent per bushel.  All revenues from the tax are deposited into the Virginia Corn Fund.</t>
  </si>
  <si>
    <t>10. The cotton assessment is imposed at the rate of 95 cents per bale.  All revenues from the tax are deposited into the Virginia Cotton Fund.</t>
  </si>
  <si>
    <t>11. The small grains assessment is imposed at the rate of one-half of one percent (.005) of the net selling price per bushel.  All revenues from the tax are deposited into the Virginia Small Grains Fund.</t>
  </si>
  <si>
    <t>12. The forest products tax is imposed at different rates based on the type of product.  Revenues from the tax are deposited into the Reforestation of Timberlands State Fund and the Protection and Development of Forest Resources State Fund.</t>
  </si>
  <si>
    <t>13. The soft drink excise tax is imposed on wholesalers or distributors of carbonated soft drinks on a sliding scale based on gross receipts.  The tax revenues is deposited into the Litter Control and Recycling Fund.</t>
  </si>
  <si>
    <t>14. Legislation effective July 1, 2020 changed the litter tax to $20 per establishment operated by a manufacturer, wholesaler or retailer. An additional annual tax of $30 per establishment is to be paid by businesses making or distributing certain product categories (i.e., groceries, soft drinks/carbonated beverages, and beer). A penalty of $100 plus an amount equal to the tax due is imposed on all delinquent taxes.</t>
  </si>
  <si>
    <t>15. The sheep assessment is imposed at the rate of 50 cents per head.  All revenues from the tax are deposited into the Virginia Sheep Industry Promotion and Development Fund.</t>
  </si>
  <si>
    <t>16. The apple excise tax is 2.5 cents per tree run bushel of ungraded apples grown in the Commonwealth. Revenues from the tax are deposited into the Apple Fund.</t>
  </si>
  <si>
    <t>Ck shares</t>
  </si>
  <si>
    <t xml:space="preserve"> </t>
  </si>
  <si>
    <t>Ck Shares</t>
  </si>
  <si>
    <t>General Fund (TAX)</t>
  </si>
  <si>
    <t>Non-General Fund (TAX)</t>
  </si>
  <si>
    <t>General Fund (Other Agencies)</t>
  </si>
  <si>
    <t>Non-General Fund (Other Agencies)</t>
  </si>
  <si>
    <t xml:space="preserve">1. The administration and collection of Insurance Premiums License Tax was transferred from SCC's Bureau of Insurance to the Department of Taxation effective for taxable years beginning on or after January 1, 2013. </t>
  </si>
  <si>
    <t xml:space="preserve">2. The primary source for these expenditures is report RGL008 (Statement of Appropriations, Allotments, and Expenditures) from the Cardinal financial system. </t>
  </si>
  <si>
    <t>The expenditures on behalf of SLEAC are provided by the Fiscal Office, Virginia Department of Taxation</t>
  </si>
  <si>
    <t>FISCAL YEAR 2023</t>
  </si>
  <si>
    <t>*  Number of returns for this credit is not available for release because fewer than four returns claiming the credit were processed in FY 2023.</t>
  </si>
  <si>
    <t>§ 58.1-435</t>
  </si>
  <si>
    <t>1989 (effective 1990)</t>
  </si>
  <si>
    <t>§ 38.2-1611.1(B)</t>
  </si>
  <si>
    <t>Guaranty Fund Assessment Tax Credit</t>
  </si>
  <si>
    <t>1997 (effective 1998)</t>
  </si>
  <si>
    <t>§ 58.1-2510</t>
  </si>
  <si>
    <t>Refundable Retaliatory Costs Tax Credit</t>
  </si>
  <si>
    <t>§ 58.1-390.3(E)</t>
  </si>
  <si>
    <t>2022 (effective 2021)</t>
  </si>
  <si>
    <t>For Returns Processed During Fiscal Year 2023, Sorted by Year Enacted</t>
  </si>
  <si>
    <t>Corporate Income Tax:  Number of Returns, Taxable Income, and Tax Liability</t>
  </si>
  <si>
    <t>Based on returns filed for Taxable Year 2021*</t>
  </si>
  <si>
    <r>
      <t>Number of  Corporate Returns</t>
    </r>
    <r>
      <rPr>
        <b/>
        <sz val="10"/>
        <rFont val="Calibri"/>
        <family val="2"/>
      </rPr>
      <t>⁴</t>
    </r>
  </si>
  <si>
    <r>
      <t>Taxable Income</t>
    </r>
    <r>
      <rPr>
        <b/>
        <sz val="10"/>
        <rFont val="Calibri"/>
        <family val="2"/>
      </rPr>
      <t>³</t>
    </r>
  </si>
  <si>
    <r>
      <t xml:space="preserve">Tax 
Assessed </t>
    </r>
    <r>
      <rPr>
        <b/>
        <sz val="10"/>
        <rFont val="Calibri"/>
        <family val="2"/>
      </rPr>
      <t>¹ ²</t>
    </r>
  </si>
  <si>
    <t>3. If a corporation reports a negative taxable income, its taxable income is treated as zero in this table.</t>
  </si>
  <si>
    <t xml:space="preserve">4. Excludes pass-through entities such as S corporations, partnerships and limited liability companies generally file Form 502. Any income flows through to owners of each pass-through entity and they report all taxable income on their tax returns. </t>
  </si>
  <si>
    <t>* This table is not comparable to equivalent tables in annual reports prior to FY 2006.  Returns are selected for inclusion in this table if the tax reporting period on the return began in 2021.  Reports prior to FY 2006 selected returns based on the state fiscal year in which they were received.</t>
  </si>
  <si>
    <t xml:space="preserve">2. Each Fiscal Year, the State's blended Retail Sales and Use Tax rate is used to calculate the tax expenditure resulting from purchases made by Non-profit organizations. From Fiscal Year 2007 to Fiscal year 2013, the blended Retail Sales and Use Tax rate used to calculate the non-profit tax exemption was 5%. From Fiscal Year 2014 to Fiscal year 2019, the blended Retail Sales and Use Tax rate used to calculate the non-profit tax exemption was 5.67%. The blended rate was: 5.69% in FY 2020; 5.737% in FY 2021; 5.783% in FY 2022; ; 5.787% in FY 2023; </t>
  </si>
  <si>
    <t>Real Estate Fair Market Value (FMV), Fair Market Value (Taxable), and Local Levy by Locality - Tax Year 2022</t>
  </si>
  <si>
    <t>2022</t>
  </si>
  <si>
    <t>* 2021 data includes corrections that surfaced during checks of data collection for 2022</t>
  </si>
  <si>
    <t>2021*</t>
  </si>
  <si>
    <t>**Average tax rate is computed as the aggregate levy for all counties and cities divided by the aggregate assessed value for all counties and cities.</t>
  </si>
  <si>
    <t>Comparison of Tax Exempt Value to Total Fair Market Value (FMV) of Real Estate by Locality - Tax Year 2022</t>
  </si>
  <si>
    <t>Tangible Personal Property, Machinery &amp; Tools, Merchants' Capital, and Public Service Corporations:  Assessed Values &amp; Levies by Locality - Tax Year 2022</t>
  </si>
  <si>
    <t>Communications Sales Tax Distributions, Fiscal Year 2023</t>
  </si>
  <si>
    <t>3. The distributions for FY 2023 were based on collections for May 2022 through April 2023.</t>
  </si>
  <si>
    <t>Fiscal Year 2023</t>
  </si>
  <si>
    <t>Bank Franchise Tax Assessment Tax Statement - Fiscal Year 2023</t>
  </si>
  <si>
    <t>Local Sales Tax Distribution - Fiscal Year 2023</t>
  </si>
  <si>
    <t>Annual Taxable Sales by Industry for the Commonwealth of Virginia by Calendar Year*</t>
  </si>
  <si>
    <t>2020**</t>
  </si>
  <si>
    <t>*The source for this table was changed to a different report, which shifted sales from "Not Categorized" to five industries (Mining &amp; Utilities, Transportation &amp; Warehousing, Information, Finance &amp; Insurance, and Public Administration; The total across NAICS groups did not change.</t>
  </si>
  <si>
    <t>**2020 revised upward because data was erroneously excluded from "Not Categorized"</t>
  </si>
  <si>
    <t>2. Contributions are reported by taxable year for returns that are processed during the subsequent calendar year. For example, contributions reported for Taxable Year 2022 are from all returns processed in calendar year 2023. The majority of returns processed in calendar year 2023 are for TY 2022; however, some returns from previous taxable years maybe included.</t>
  </si>
  <si>
    <t>1. Taxpayers may make voluntary contributions to qualifying organizations from their tax refunds, or tax payments for some organizations.  If the contribution exceeds a refund, it increases the amount of the tax payment.</t>
  </si>
  <si>
    <r>
      <t xml:space="preserve">* Contributions to political parties are limited to $25 ($50 on a joint return), see </t>
    </r>
    <r>
      <rPr>
        <i/>
        <sz val="10"/>
        <color theme="1" tint="0.14999847407452621"/>
        <rFont val="Arial Narrow"/>
        <family val="2"/>
      </rPr>
      <t>Va. Code §</t>
    </r>
    <r>
      <rPr>
        <sz val="10"/>
        <color theme="1" tint="0.14999847407452621"/>
        <rFont val="Arial Narrow"/>
        <family val="2"/>
      </rPr>
      <t xml:space="preserve">  58.1-344.3 (B) (3).  </t>
    </r>
  </si>
  <si>
    <r>
      <t xml:space="preserve"># </t>
    </r>
    <r>
      <rPr>
        <sz val="10"/>
        <color theme="1" tint="0.14999847407452621"/>
        <rFont val="Arial Narrow"/>
        <family val="2"/>
      </rPr>
      <t>These organizations were removed from the 2016 Virginia Individual Income Tax return with the exception of 'Home Energy Assistance,' which was removed from the 2017 tax return. Amounts reported for 2022 represent contributions made on returns filed for prior years and processed in the 2023 calendar year.</t>
    </r>
  </si>
  <si>
    <t>2020</t>
  </si>
  <si>
    <t>Taxable Year 2021</t>
  </si>
  <si>
    <t>FY 2023</t>
  </si>
  <si>
    <r>
      <t xml:space="preserve"># </t>
    </r>
    <r>
      <rPr>
        <sz val="10"/>
        <color theme="1" tint="0.14999847407452621"/>
        <rFont val="Arial Narrow"/>
        <family val="2"/>
      </rPr>
      <t>The Department of Taxation is custodian of the funds appropriated to the State Land Evaluation Advisory</t>
    </r>
  </si>
  <si>
    <t>Expenditures on behalf of SLEAC were $117,191 in FY 2022 and $230,535 in FY 2023</t>
  </si>
  <si>
    <t>Insurance Tax Credits Claimed on Returns Processed during FY 2023</t>
  </si>
  <si>
    <t>1. Bank Franchise revenue is the total as reported in Table 5.3; it is not taken from the Revenue Status Report in the Cardinal financial system.</t>
  </si>
  <si>
    <r>
      <t>Bank Franchise (less credits)</t>
    </r>
    <r>
      <rPr>
        <sz val="12"/>
        <rFont val="Calibri"/>
        <family val="2"/>
      </rPr>
      <t>¹</t>
    </r>
  </si>
  <si>
    <r>
      <t xml:space="preserve">Individual Income </t>
    </r>
    <r>
      <rPr>
        <sz val="12"/>
        <rFont val="Calibri"/>
        <family val="2"/>
      </rPr>
      <t>²</t>
    </r>
  </si>
  <si>
    <t>As reported in these tables, individual income tax includes individual and fiduciary income tax, individual estimated income tax, and employer income tax withholding.</t>
  </si>
  <si>
    <t>3. Rolling Stock Tax includes Railroad and Car line company taxes.</t>
  </si>
  <si>
    <r>
      <t>Rolling Stock Tax</t>
    </r>
    <r>
      <rPr>
        <sz val="12"/>
        <rFont val="Calibri"/>
        <family val="2"/>
      </rPr>
      <t>³</t>
    </r>
  </si>
  <si>
    <t>4. As reported in these tables, revenues do not include the local sales tax or interest and penalties collected.</t>
  </si>
  <si>
    <t>5. Starting in FY 2021, state transportation SUT revenues have been consolidated in the Commonwealth Transportation Fund per legislation.</t>
  </si>
  <si>
    <r>
      <t>State Sales &amp; Use Tax (transportation funds)</t>
    </r>
    <r>
      <rPr>
        <sz val="12"/>
        <rFont val="Calibri"/>
        <family val="2"/>
      </rPr>
      <t>⁴ ⁵</t>
    </r>
  </si>
  <si>
    <t>6. The Virginia Department of Taxation began collecting the Cattle Tax Assessment in FY 2019 pursuant to 2018 Senate Bill 374 (Chapter 469, 2018 Acts of Assembly).</t>
  </si>
  <si>
    <t>7. Figures may not sum to totals because of rounding.</t>
  </si>
  <si>
    <r>
      <t>Cattle Tax</t>
    </r>
    <r>
      <rPr>
        <sz val="12"/>
        <rFont val="Calibri"/>
        <family val="2"/>
      </rPr>
      <t>⁶</t>
    </r>
  </si>
  <si>
    <t>2. Individual income for FY 2022 and FY 2021 was revised upward (by 0.4% each year) to include Estimated and Fiduciary Income Tax that was excluded in error;</t>
  </si>
  <si>
    <t>Sales Tax total</t>
  </si>
  <si>
    <t>2. One-half of the (Recordation &amp; Deeds) revenues from the additional grantor's tax imposed at a rate of 50 cents on every $500 of value are deposited into the General Fund and one-half are deposited into the treasury of the locality. Effective July 1, 2013, a regional congestion fee is imposed at the rate of $0.15 per $100 in the Northern Virginia Region.  Effective July 1, 2020, the regional congestion fee was replaced with a regional WMATA capital fee of $0.10 per $100 in any county or city that is a member of the Northern Virginia Transportation Authority  and a regional congestion relief fee of $0.10 per $100 in any county or city that is a member of Planning District 8.</t>
  </si>
  <si>
    <t>2. Levies do not include penalties and interest collected.</t>
  </si>
  <si>
    <t>* No Public Service values or levies reported for 2022</t>
  </si>
  <si>
    <t>Manassas Park **</t>
  </si>
  <si>
    <t>Also, note that this report does not include Type 12 sales tax on Remote Sellers;  Only included is sales tax on traditional sellers with a physical location in Virginia.</t>
  </si>
  <si>
    <t>1. The current classifications are based on the North American Industry Classification System (NAICS). Prior to 2005, different business classification codes were used.</t>
  </si>
  <si>
    <t>** 2022 TPP incomplete. Used last reported data of 2021</t>
  </si>
  <si>
    <t>Waste Motor Oil Burning Equipment Tax Credit</t>
  </si>
  <si>
    <t>Recyclable Materials Processing Equipment Tax Credit</t>
  </si>
  <si>
    <t>2016 (effective 2016)</t>
  </si>
  <si>
    <t>Food Donation Tax Credit</t>
  </si>
  <si>
    <t>2019 (effective 2019)</t>
  </si>
  <si>
    <t>Pass-Through Entity Elective Tax Credit</t>
  </si>
  <si>
    <t xml:space="preserve">1. Number of returns and amounts are for income tax returns processed during FY 2023, regardless of taxable year.  For most credits, returns for multiple taxable years were processed during the fiscal year.  The total may include carryovers from prior years.   </t>
  </si>
  <si>
    <t xml:space="preserve">Bank, Corporate, Individual </t>
  </si>
  <si>
    <t xml:space="preserve">Corporate, Individual </t>
  </si>
  <si>
    <t xml:space="preserve">Individual </t>
  </si>
  <si>
    <t xml:space="preserve">Corporate </t>
  </si>
  <si>
    <t xml:space="preserve">Bank, Corporate, Individual, Insurance </t>
  </si>
  <si>
    <t xml:space="preserve">Insurance </t>
  </si>
  <si>
    <t>3. General Fund revenue for FY 2022 and 2021 was revised upward slightly to include certain Individual Income tax excluded in error, per note on next page.</t>
  </si>
  <si>
    <t>4. Non-General Fund revenue for FY 2022 and 2021 was revised upward slightly to include revenue from certain federal sources excluded in error.</t>
  </si>
  <si>
    <t>5. Includes all taxes administered by the Department of Taxation.</t>
  </si>
  <si>
    <t>General Fund ³</t>
  </si>
  <si>
    <t>Non-General Fund ⁴</t>
  </si>
  <si>
    <t>By the Department of Taxation ⁵</t>
  </si>
  <si>
    <t>Based on tax returns filed for Taxable Year 2021*</t>
  </si>
  <si>
    <t xml:space="preserve">7. The amount of insurance tax credits reported is for returns processed during FY 2023, regardless of taxable year. This table lists only insurance tax credits claimed that were greater than zero.   </t>
  </si>
  <si>
    <t xml:space="preserve">* This table is based on the same taxable year as the previous Tax Annual Report to be consistent with the taxable year used for the Individual and Corporate Income Tax tables. </t>
  </si>
  <si>
    <t>except where noted in "Net Revenue Collections After Refunds by Tax Type" table on next page</t>
  </si>
  <si>
    <t>Data source: Data pull from Virginia Tax system using SQL code provided by Rose Curtin for Additional Tax Certain Localities</t>
  </si>
  <si>
    <t>1. Communications taxes in Virginia include: 5% Communications Sales tax on telecommunications services, 75ȼ State E-911 tax for landline and Voice Over Internet Protocol (VoIP) phones, a wireless E-911 surcharge of $0.82 and a prepaid wireless E-911 charge of $0.55, and $1.20 Landline telephone and cable TV franchise right of way fees</t>
  </si>
  <si>
    <t>15. Certain localities have statutory authority to levy an additional sales and use tax of up to one percent. Halifax (effective July 1, 2020) and Henry (effective April 1, 2021) counties were the first to impose this tax followed by Charlotte, Gloucester, Northampton, and Patrick counties in FY 2022; and Danville City in FY 2023.</t>
  </si>
  <si>
    <t>Conservation Tillage Equipment Tax Credit ⁵</t>
  </si>
  <si>
    <t>Low-Income Housing Tax Credit ⁶</t>
  </si>
  <si>
    <t>Coalfield Employment Enhancement Tax Credit (Refundable) ⁷</t>
  </si>
  <si>
    <t xml:space="preserve">5. Sunset in 2021. However, these credits are still being claimed because certain provisions of the credits delay when they may be claimed. </t>
  </si>
  <si>
    <t xml:space="preserve">6. Repealed in 2010. However, these credits are still being claimed because certain provisions of the credits delay when they may be claimed. </t>
  </si>
  <si>
    <t xml:space="preserve">9. Repealed in 2013. However, these credits are still being claimed because certain provisions of the credits delay when they may be claimed. </t>
  </si>
  <si>
    <r>
      <t xml:space="preserve">Long-term Care Insurance Tax Credit </t>
    </r>
    <r>
      <rPr>
        <sz val="10"/>
        <color theme="1"/>
        <rFont val="Arial"/>
        <family val="2"/>
      </rPr>
      <t>⁹</t>
    </r>
  </si>
  <si>
    <t>Political Candidates Contribution Tax Credit ⁸</t>
  </si>
  <si>
    <t>Virginia Coal Employment and Production Incentive Tax Credit ⁷</t>
  </si>
  <si>
    <t xml:space="preserve">7. Repealed in 2021. However, these credits are still being claimed because certain provisions of the credits delay when they may be claimed. </t>
  </si>
  <si>
    <t xml:space="preserve">8. Repealed in 2017. However, these credits are still being claimed because certain provisions of the credits delay when they may be claimed.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</si>
</sst>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0"/>
    <numFmt numFmtId="165" formatCode="[$$-409]#,##0.00"/>
    <numFmt numFmtId="166" formatCode="0.0"/>
    <numFmt numFmtId="167" formatCode="&quot;$&quot;#,##0"/>
    <numFmt numFmtId="168" formatCode="&quot;$&quot;#,##0.00"/>
    <numFmt numFmtId="169" formatCode="0.0%"/>
    <numFmt numFmtId="170" formatCode="#,##0.0"/>
    <numFmt numFmtId="171" formatCode="0.0000%"/>
    <numFmt numFmtId="172" formatCode="0.000"/>
    <numFmt numFmtId="173" formatCode="&quot;$&quot;#,##0.0"/>
    <numFmt numFmtId="174" formatCode="#,##0.0_);\(#,##0.0\)"/>
    <numFmt numFmtId="175" formatCode="[$$-409]#,##0_);\([$$-409]#,##0\)"/>
    <numFmt numFmtId="176" formatCode="0.00\ %"/>
    <numFmt numFmtId="177" formatCode="General_)"/>
    <numFmt numFmtId="178" formatCode="0.000%"/>
    <numFmt numFmtId="179" formatCode="_(* #,##0_);_(* \(#,##0\);_(* &quot;-&quot;??_);_(@_)"/>
    <numFmt numFmtId="180" formatCode="#,##0;\-#,##0;0"/>
  </numFmts>
  <fonts count="222">
    <font>
      <sz val="10"/>
      <name val="Arial"/>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name val="Arial"/>
      <family val="2"/>
    </font>
    <font>
      <sz val="12"/>
      <name val="Arial"/>
      <family val="2"/>
    </font>
    <font>
      <sz val="12"/>
      <name val="COUR"/>
    </font>
    <font>
      <b/>
      <sz val="12"/>
      <name val="Arial"/>
      <family val="2"/>
    </font>
    <font>
      <b/>
      <sz val="12"/>
      <name val="Arial"/>
      <family val="2"/>
    </font>
    <font>
      <sz val="12"/>
      <name val="Arial"/>
      <family val="2"/>
    </font>
    <font>
      <b/>
      <sz val="12"/>
      <color indexed="8"/>
      <name val="Arial"/>
      <family val="2"/>
    </font>
    <font>
      <sz val="12"/>
      <color indexed="8"/>
      <name val="Arial"/>
      <family val="2"/>
    </font>
    <font>
      <sz val="10"/>
      <name val="Arial"/>
      <family val="2"/>
    </font>
    <font>
      <sz val="8"/>
      <name val="Arial"/>
      <family val="2"/>
    </font>
    <font>
      <sz val="10"/>
      <name val="COUR"/>
    </font>
    <font>
      <b/>
      <u/>
      <sz val="12"/>
      <name val="Arial"/>
      <family val="2"/>
    </font>
    <font>
      <b/>
      <sz val="10"/>
      <color indexed="8"/>
      <name val="Arial"/>
      <family val="2"/>
    </font>
    <font>
      <b/>
      <sz val="10"/>
      <name val="Arial"/>
      <family val="2"/>
    </font>
    <font>
      <sz val="10"/>
      <color indexed="8"/>
      <name val="Arial"/>
      <family val="2"/>
    </font>
    <font>
      <sz val="10"/>
      <name val="Arial "/>
    </font>
    <font>
      <sz val="10"/>
      <name val="Arial "/>
      <family val="2"/>
    </font>
    <font>
      <sz val="11"/>
      <name val="Arial"/>
      <family val="2"/>
    </font>
    <font>
      <b/>
      <sz val="14"/>
      <name val="Arial"/>
      <family val="2"/>
    </font>
    <font>
      <sz val="9"/>
      <name val="Arial"/>
      <family val="2"/>
    </font>
    <font>
      <b/>
      <sz val="10"/>
      <name val="Arial"/>
      <family val="2"/>
    </font>
    <font>
      <b/>
      <sz val="9"/>
      <name val="Arial"/>
      <family val="2"/>
    </font>
    <font>
      <sz val="14"/>
      <name val="Arial"/>
      <family val="2"/>
    </font>
    <font>
      <sz val="10"/>
      <name val="Bookman Old Style"/>
      <family val="1"/>
    </font>
    <font>
      <sz val="10"/>
      <color indexed="8"/>
      <name val="Arial"/>
      <family val="2"/>
    </font>
    <font>
      <b/>
      <u/>
      <sz val="10"/>
      <name val="Arial"/>
      <family val="2"/>
    </font>
    <font>
      <b/>
      <sz val="11"/>
      <name val="Arial"/>
      <family val="2"/>
    </font>
    <font>
      <b/>
      <sz val="8"/>
      <name val="Arial"/>
      <family val="2"/>
    </font>
    <font>
      <sz val="8"/>
      <name val="Arial"/>
      <family val="2"/>
    </font>
    <font>
      <sz val="12"/>
      <name val="Times New Roman"/>
      <family val="1"/>
    </font>
    <font>
      <u/>
      <sz val="9"/>
      <name val="Arial"/>
      <family val="2"/>
    </font>
    <font>
      <b/>
      <sz val="10"/>
      <name val="COUR"/>
    </font>
    <font>
      <b/>
      <u/>
      <sz val="12"/>
      <name val="Arial"/>
      <family val="2"/>
    </font>
    <font>
      <u/>
      <sz val="11"/>
      <name val="Arial"/>
      <family val="2"/>
    </font>
    <font>
      <b/>
      <sz val="16"/>
      <name val="Arial"/>
      <family val="2"/>
    </font>
    <font>
      <sz val="16"/>
      <name val="Arial"/>
      <family val="2"/>
    </font>
    <font>
      <sz val="10"/>
      <name val="Arial"/>
      <family val="2"/>
    </font>
    <font>
      <b/>
      <sz val="14"/>
      <name val="Arial"/>
      <family val="2"/>
    </font>
    <font>
      <sz val="10"/>
      <color indexed="47"/>
      <name val="Arial"/>
      <family val="2"/>
    </font>
    <font>
      <b/>
      <sz val="10"/>
      <color indexed="12"/>
      <name val="Arial"/>
      <family val="2"/>
    </font>
    <font>
      <sz val="10"/>
      <name val="Courier"/>
      <family val="3"/>
    </font>
    <font>
      <sz val="10"/>
      <color indexed="9"/>
      <name val="Arial"/>
      <family val="2"/>
    </font>
    <font>
      <sz val="9"/>
      <color indexed="9"/>
      <name val="Arial"/>
      <family val="2"/>
    </font>
    <font>
      <sz val="9"/>
      <name val="Bookman Old Style"/>
      <family val="1"/>
    </font>
    <font>
      <b/>
      <sz val="12"/>
      <name val="Arial "/>
    </font>
    <font>
      <b/>
      <sz val="10"/>
      <name val="Arial "/>
    </font>
    <font>
      <sz val="11"/>
      <color theme="1"/>
      <name val="Calibri"/>
      <family val="2"/>
      <scheme val="minor"/>
    </font>
    <font>
      <sz val="10"/>
      <color theme="0"/>
      <name val="Arial"/>
      <family val="2"/>
    </font>
    <font>
      <sz val="12"/>
      <color theme="0"/>
      <name val="Arial"/>
      <family val="2"/>
    </font>
    <font>
      <sz val="10"/>
      <name val="Arial"/>
      <family val="2"/>
    </font>
    <font>
      <i/>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FF0000"/>
      <name val="Arial"/>
      <family val="2"/>
    </font>
    <font>
      <sz val="11"/>
      <name val="Arial "/>
    </font>
    <font>
      <sz val="10"/>
      <color theme="1"/>
      <name val="Arial"/>
      <family val="2"/>
    </font>
    <font>
      <b/>
      <sz val="12"/>
      <color theme="1"/>
      <name val="Arial"/>
      <family val="2"/>
    </font>
    <font>
      <sz val="12"/>
      <color rgb="FFC00000"/>
      <name val="Arial"/>
      <family val="2"/>
    </font>
    <font>
      <sz val="12"/>
      <color theme="1"/>
      <name val="Arial"/>
      <family val="2"/>
    </font>
    <font>
      <sz val="9"/>
      <color theme="1"/>
      <name val="Arial"/>
      <family val="2"/>
    </font>
    <font>
      <i/>
      <sz val="10"/>
      <color theme="0" tint="-0.499984740745262"/>
      <name val="Arial "/>
    </font>
    <font>
      <sz val="12"/>
      <color theme="0" tint="-0.14999847407452621"/>
      <name val="Arial"/>
      <family val="2"/>
    </font>
    <font>
      <sz val="10"/>
      <color rgb="FFC00000"/>
      <name val="Arial"/>
      <family val="2"/>
    </font>
    <font>
      <sz val="9"/>
      <color rgb="FFC00000"/>
      <name val="Arial"/>
      <family val="2"/>
    </font>
    <font>
      <i/>
      <sz val="10"/>
      <color rgb="FFC00000"/>
      <name val="Arial"/>
      <family val="2"/>
    </font>
    <font>
      <i/>
      <sz val="9"/>
      <color rgb="FFC00000"/>
      <name val="Arial"/>
      <family val="2"/>
    </font>
    <font>
      <sz val="8"/>
      <color rgb="FFC00000"/>
      <name val="Arial"/>
      <family val="2"/>
    </font>
    <font>
      <b/>
      <sz val="9"/>
      <color indexed="8"/>
      <name val="Arial"/>
      <family val="2"/>
    </font>
    <font>
      <sz val="10"/>
      <color theme="0"/>
      <name val="Arial "/>
      <family val="2"/>
    </font>
    <font>
      <sz val="10"/>
      <color theme="1"/>
      <name val="Arial "/>
      <family val="2"/>
    </font>
    <font>
      <b/>
      <sz val="10"/>
      <color theme="1"/>
      <name val="Arial"/>
      <family val="2"/>
    </font>
    <font>
      <b/>
      <sz val="9"/>
      <color theme="1"/>
      <name val="Arial"/>
      <family val="2"/>
    </font>
    <font>
      <sz val="14"/>
      <color theme="1"/>
      <name val="Arial"/>
      <family val="2"/>
    </font>
    <font>
      <sz val="8"/>
      <color theme="1"/>
      <name val="Arial"/>
      <family val="2"/>
    </font>
    <font>
      <u/>
      <sz val="10"/>
      <color theme="10"/>
      <name val="Arial"/>
      <family val="2"/>
    </font>
    <font>
      <sz val="11"/>
      <color theme="1"/>
      <name val="Arial"/>
      <family val="2"/>
    </font>
    <font>
      <sz val="10"/>
      <color theme="1"/>
      <name val="COUR"/>
    </font>
    <font>
      <sz val="10"/>
      <color theme="0" tint="-0.499984740745262"/>
      <name val="Arial"/>
      <family val="2"/>
    </font>
    <font>
      <sz val="10"/>
      <color rgb="FFC00000"/>
      <name val="Arial "/>
      <family val="2"/>
    </font>
    <font>
      <sz val="12"/>
      <color theme="0" tint="-0.499984740745262"/>
      <name val="Arial"/>
      <family val="2"/>
    </font>
    <font>
      <b/>
      <sz val="8"/>
      <color theme="1"/>
      <name val="Arial"/>
      <family val="2"/>
    </font>
    <font>
      <sz val="10"/>
      <color theme="0" tint="-0.499984740745262"/>
      <name val="Arial "/>
      <family val="2"/>
    </font>
    <font>
      <sz val="10"/>
      <name val="Segoe UI"/>
      <family val="2"/>
    </font>
    <font>
      <b/>
      <sz val="9"/>
      <color theme="0" tint="-0.499984740745262"/>
      <name val="Arial"/>
      <family val="2"/>
    </font>
    <font>
      <b/>
      <sz val="10"/>
      <color theme="0" tint="-0.499984740745262"/>
      <name val="Arial"/>
      <family val="2"/>
    </font>
    <font>
      <i/>
      <sz val="12"/>
      <color theme="0"/>
      <name val="Arial"/>
      <family val="2"/>
    </font>
    <font>
      <i/>
      <sz val="10"/>
      <color theme="0" tint="-0.249977111117893"/>
      <name val="Arial"/>
      <family val="2"/>
    </font>
    <font>
      <sz val="12"/>
      <color theme="0" tint="-0.249977111117893"/>
      <name val="Arial"/>
      <family val="2"/>
    </font>
    <font>
      <sz val="10"/>
      <color rgb="FFFFFFFF"/>
      <name val="Arial"/>
      <family val="2"/>
    </font>
    <font>
      <vertAlign val="superscript"/>
      <sz val="10"/>
      <color indexed="8"/>
      <name val="Arial"/>
      <family val="2"/>
    </font>
    <font>
      <i/>
      <sz val="12"/>
      <color theme="0" tint="-0.249977111117893"/>
      <name val="Arial"/>
      <family val="2"/>
    </font>
    <font>
      <sz val="10"/>
      <color theme="0" tint="-0.249977111117893"/>
      <name val="Arial"/>
      <family val="2"/>
    </font>
    <font>
      <i/>
      <sz val="10"/>
      <color theme="0" tint="-0.249977111117893"/>
      <name val="Arial "/>
    </font>
    <font>
      <sz val="10"/>
      <color theme="0" tint="-0.249977111117893"/>
      <name val="COUR"/>
    </font>
    <font>
      <b/>
      <sz val="10"/>
      <color theme="0" tint="-0.249977111117893"/>
      <name val="Arial"/>
      <family val="2"/>
    </font>
    <font>
      <sz val="10"/>
      <color theme="0"/>
      <name val="COUR"/>
    </font>
    <font>
      <vertAlign val="superscript"/>
      <sz val="12"/>
      <color indexed="8"/>
      <name val="Arial"/>
      <family val="2"/>
    </font>
    <font>
      <b/>
      <sz val="9"/>
      <color rgb="FFC00000"/>
      <name val="Arial"/>
      <family val="2"/>
    </font>
    <font>
      <sz val="9"/>
      <color theme="0" tint="-0.249977111117893"/>
      <name val="Arial"/>
      <family val="2"/>
    </font>
    <font>
      <i/>
      <sz val="9"/>
      <name val="Arial"/>
      <family val="2"/>
    </font>
    <font>
      <sz val="9"/>
      <color theme="0" tint="-0.499984740745262"/>
      <name val="Arial"/>
      <family val="2"/>
    </font>
    <font>
      <sz val="10"/>
      <color theme="0" tint="-0.14999847407452621"/>
      <name val="Arial"/>
      <family val="2"/>
    </font>
    <font>
      <b/>
      <sz val="12"/>
      <color theme="0" tint="-0.34998626667073579"/>
      <name val="Arial"/>
      <family val="2"/>
    </font>
    <font>
      <sz val="12"/>
      <color theme="0" tint="-0.34998626667073579"/>
      <name val="Arial"/>
      <family val="2"/>
    </font>
    <font>
      <i/>
      <sz val="10"/>
      <color theme="0" tint="-0.34998626667073579"/>
      <name val="Arial"/>
      <family val="2"/>
    </font>
    <font>
      <i/>
      <sz val="12"/>
      <color theme="0" tint="-0.34998626667073579"/>
      <name val="Arial"/>
      <family val="2"/>
    </font>
    <font>
      <sz val="9"/>
      <color rgb="FFFFFFFF"/>
      <name val="Arial"/>
      <family val="2"/>
    </font>
    <font>
      <i/>
      <sz val="10"/>
      <color theme="0" tint="-0.14999847407452621"/>
      <name val="Arial"/>
      <family val="2"/>
    </font>
    <font>
      <b/>
      <sz val="12"/>
      <color theme="0"/>
      <name val="Arial"/>
      <family val="2"/>
    </font>
    <font>
      <i/>
      <sz val="12"/>
      <color theme="0" tint="-0.499984740745262"/>
      <name val="Arial"/>
      <family val="2"/>
    </font>
    <font>
      <i/>
      <sz val="9"/>
      <color theme="0"/>
      <name val="Arial"/>
      <family val="2"/>
    </font>
    <font>
      <b/>
      <sz val="12"/>
      <color theme="0" tint="-0.499984740745262"/>
      <name val="Arial"/>
      <family val="2"/>
    </font>
    <font>
      <b/>
      <sz val="9"/>
      <color theme="0"/>
      <name val="Arial"/>
      <family val="2"/>
    </font>
    <font>
      <sz val="8"/>
      <color theme="0" tint="-0.499984740745262"/>
      <name val="Arial"/>
      <family val="2"/>
    </font>
    <font>
      <sz val="10"/>
      <name val="Arial Narrow"/>
      <family val="2"/>
    </font>
    <font>
      <sz val="10"/>
      <color theme="1"/>
      <name val="Arial Narrow"/>
      <family val="2"/>
    </font>
    <font>
      <sz val="9"/>
      <name val="Arial Narrow"/>
      <family val="2"/>
    </font>
    <font>
      <b/>
      <sz val="10"/>
      <color rgb="FFC00000"/>
      <name val="Arial"/>
      <family val="2"/>
    </font>
    <font>
      <b/>
      <sz val="10"/>
      <color theme="0" tint="-0.499984740745262"/>
      <name val="Arial Narrow"/>
      <family val="2"/>
    </font>
    <font>
      <b/>
      <sz val="10"/>
      <name val="Arial Narrow"/>
      <family val="2"/>
    </font>
    <font>
      <sz val="10"/>
      <color theme="0" tint="-0.499984740745262"/>
      <name val="Arial Narrow"/>
      <family val="2"/>
    </font>
    <font>
      <sz val="10"/>
      <color theme="0"/>
      <name val="Arial Narrow"/>
      <family val="2"/>
    </font>
    <font>
      <b/>
      <sz val="9"/>
      <name val="Arial Narrow"/>
      <family val="2"/>
    </font>
    <font>
      <sz val="10"/>
      <color theme="0" tint="-0.499984740745262"/>
      <name val="Bookman Old Style"/>
      <family val="1"/>
    </font>
    <font>
      <sz val="9"/>
      <color rgb="FF0070C0"/>
      <name val="Arial Narrow"/>
      <family val="2"/>
    </font>
    <font>
      <sz val="9"/>
      <color indexed="81"/>
      <name val="Tahoma"/>
      <family val="2"/>
    </font>
    <font>
      <b/>
      <sz val="9"/>
      <color indexed="81"/>
      <name val="Tahoma"/>
      <family val="2"/>
    </font>
    <font>
      <sz val="12"/>
      <color theme="0" tint="-0.499984740745262"/>
      <name val="COUR"/>
    </font>
    <font>
      <sz val="9"/>
      <color indexed="10"/>
      <name val="Tahoma"/>
      <family val="2"/>
    </font>
    <font>
      <sz val="10"/>
      <color rgb="FFC00000"/>
      <name val="Arial Narrow"/>
      <family val="2"/>
    </font>
    <font>
      <sz val="10"/>
      <color theme="0" tint="-0.34998626667073579"/>
      <name val="Arial Narrow"/>
      <family val="2"/>
    </font>
    <font>
      <sz val="12"/>
      <color rgb="FF0070C0"/>
      <name val="Arial"/>
      <family val="2"/>
    </font>
    <font>
      <sz val="10"/>
      <color theme="0" tint="-0.499984740745262"/>
      <name val="COUR"/>
    </font>
    <font>
      <sz val="10"/>
      <color rgb="FF0070C0"/>
      <name val="Arial"/>
      <family val="2"/>
    </font>
    <font>
      <b/>
      <sz val="9"/>
      <color rgb="FFFF0000"/>
      <name val="Calibri"/>
      <family val="2"/>
    </font>
    <font>
      <sz val="12"/>
      <color theme="0" tint="-0.34998626667073579"/>
      <name val="Arial Narrow"/>
      <family val="2"/>
    </font>
    <font>
      <b/>
      <sz val="9"/>
      <color rgb="FFFF0000"/>
      <name val="Arial"/>
      <family val="2"/>
    </font>
    <font>
      <u/>
      <sz val="10"/>
      <color rgb="FFC00000"/>
      <name val="Arial Narrow"/>
      <family val="2"/>
    </font>
    <font>
      <b/>
      <sz val="10"/>
      <color rgb="FFC00000"/>
      <name val="Arial Narrow"/>
      <family val="2"/>
    </font>
    <font>
      <u/>
      <sz val="10"/>
      <name val="Arial Narrow"/>
      <family val="2"/>
    </font>
    <font>
      <sz val="9"/>
      <color theme="3"/>
      <name val="Arial"/>
      <family val="2"/>
    </font>
    <font>
      <b/>
      <sz val="11"/>
      <color theme="0" tint="-0.499984740745262"/>
      <name val="Arial"/>
      <family val="2"/>
    </font>
    <font>
      <b/>
      <u/>
      <sz val="9"/>
      <color theme="0" tint="-0.499984740745262"/>
      <name val="Arial"/>
      <family val="2"/>
    </font>
    <font>
      <sz val="9"/>
      <color theme="4" tint="-0.499984740745262"/>
      <name val="Arial"/>
      <family val="2"/>
    </font>
    <font>
      <b/>
      <u/>
      <sz val="10"/>
      <name val="Arial Narrow"/>
      <family val="2"/>
    </font>
    <font>
      <sz val="8"/>
      <color rgb="FFFFFFFF"/>
      <name val="Arial Narrow"/>
      <family val="2"/>
    </font>
    <font>
      <b/>
      <sz val="14"/>
      <color theme="1"/>
      <name val="Arial"/>
      <family val="2"/>
    </font>
    <font>
      <sz val="10"/>
      <color rgb="FF7030A0"/>
      <name val="Arial Narrow"/>
      <family val="2"/>
    </font>
    <font>
      <sz val="10"/>
      <color rgb="FF7030A0"/>
      <name val="Arial"/>
      <family val="2"/>
    </font>
    <font>
      <b/>
      <sz val="9"/>
      <name val="Calibri"/>
      <family val="2"/>
    </font>
    <font>
      <b/>
      <sz val="9"/>
      <color rgb="FF7030A0"/>
      <name val="Arial"/>
      <family val="2"/>
    </font>
    <font>
      <b/>
      <sz val="9"/>
      <color rgb="FF7030A0"/>
      <name val="Calibri"/>
      <family val="2"/>
    </font>
    <font>
      <b/>
      <sz val="11"/>
      <name val="Arial Narrow"/>
      <family val="2"/>
    </font>
    <font>
      <sz val="12"/>
      <name val="Arial Narrow"/>
      <family val="2"/>
    </font>
    <font>
      <sz val="12"/>
      <color indexed="8"/>
      <name val="Arial Narrow"/>
      <family val="2"/>
    </font>
    <font>
      <sz val="9"/>
      <color theme="0" tint="-0.499984740745262"/>
      <name val="Arial Narrow"/>
      <family val="2"/>
    </font>
    <font>
      <b/>
      <sz val="14"/>
      <color theme="0" tint="-0.499984740745262"/>
      <name val="Arial Narrow"/>
      <family val="2"/>
    </font>
    <font>
      <b/>
      <sz val="12"/>
      <color theme="0" tint="-0.499984740745262"/>
      <name val="Arial Narrow"/>
      <family val="2"/>
    </font>
    <font>
      <sz val="12"/>
      <color theme="0" tint="-0.499984740745262"/>
      <name val="Arial Narrow"/>
      <family val="2"/>
    </font>
    <font>
      <sz val="9"/>
      <color theme="1"/>
      <name val="Arial Narrow"/>
      <family val="2"/>
    </font>
    <font>
      <sz val="9"/>
      <color theme="0" tint="-0.249977111117893"/>
      <name val="Arial Narrow"/>
      <family val="2"/>
    </font>
    <font>
      <sz val="9"/>
      <color theme="0" tint="-0.34998626667073579"/>
      <name val="Arial Narrow"/>
      <family val="2"/>
    </font>
    <font>
      <sz val="9"/>
      <color theme="3"/>
      <name val="Arial Narrow"/>
      <family val="2"/>
    </font>
    <font>
      <sz val="9"/>
      <color theme="1" tint="0.34998626667073579"/>
      <name val="Arial"/>
      <family val="2"/>
    </font>
    <font>
      <sz val="9"/>
      <color theme="1" tint="0.14999847407452621"/>
      <name val="Arial Narrow"/>
      <family val="2"/>
    </font>
    <font>
      <sz val="10"/>
      <color theme="1" tint="0.14999847407452621"/>
      <name val="Arial"/>
      <family val="2"/>
    </font>
    <font>
      <b/>
      <sz val="9"/>
      <color theme="0" tint="-0.499984740745262"/>
      <name val="Arial Narrow"/>
      <family val="2"/>
    </font>
    <font>
      <sz val="9"/>
      <color rgb="FFC00000"/>
      <name val="Arial Narrow"/>
      <family val="2"/>
    </font>
    <font>
      <i/>
      <sz val="9"/>
      <color theme="1" tint="0.14999847407452621"/>
      <name val="Arial Narrow"/>
      <family val="2"/>
    </font>
    <font>
      <sz val="9"/>
      <color rgb="FFFF0000"/>
      <name val="Arial Narrow"/>
      <family val="2"/>
    </font>
    <font>
      <b/>
      <sz val="9"/>
      <color theme="1" tint="0.14999847407452621"/>
      <name val="Arial Narrow"/>
      <family val="2"/>
    </font>
    <font>
      <sz val="9"/>
      <color theme="0"/>
      <name val="Arial Narrow"/>
      <family val="2"/>
    </font>
    <font>
      <b/>
      <sz val="10"/>
      <color theme="0"/>
      <name val="Arial"/>
      <family val="2"/>
    </font>
    <font>
      <sz val="8"/>
      <color theme="0" tint="-0.249977111117893"/>
      <name val="COUR"/>
    </font>
    <font>
      <sz val="12"/>
      <name val="Calibri"/>
      <family val="2"/>
    </font>
    <font>
      <sz val="10"/>
      <color theme="1" tint="0.14999847407452621"/>
      <name val="Arial Narrow"/>
      <family val="2"/>
    </font>
    <font>
      <sz val="12"/>
      <color theme="0" tint="-0.249977111117893"/>
      <name val="COUR"/>
    </font>
    <font>
      <b/>
      <sz val="12"/>
      <color theme="0" tint="-0.249977111117893"/>
      <name val="Arial"/>
      <family val="2"/>
    </font>
    <font>
      <b/>
      <sz val="10"/>
      <color theme="0" tint="-0.34998626667073579"/>
      <name val="Arial Narrow"/>
      <family val="2"/>
    </font>
    <font>
      <i/>
      <sz val="12"/>
      <name val="Arial"/>
      <family val="2"/>
    </font>
    <font>
      <b/>
      <sz val="10"/>
      <name val="Calibri"/>
      <family val="2"/>
    </font>
    <font>
      <sz val="10"/>
      <color theme="1" tint="0.249977111117893"/>
      <name val="Arial Narrow"/>
      <family val="2"/>
    </font>
    <font>
      <b/>
      <sz val="10"/>
      <color theme="1" tint="0.14999847407452621"/>
      <name val="Arial Narrow"/>
      <family val="2"/>
    </font>
    <font>
      <sz val="10"/>
      <color theme="1" tint="0.34998626667073579"/>
      <name val="Arial"/>
      <family val="2"/>
    </font>
    <font>
      <sz val="10"/>
      <color theme="0" tint="-0.34998626667073579"/>
      <name val="Arial"/>
      <family val="2"/>
    </font>
    <font>
      <sz val="9"/>
      <color theme="0" tint="-0.34998626667073579"/>
      <name val="Arial"/>
      <family val="2"/>
    </font>
    <font>
      <b/>
      <sz val="10"/>
      <color theme="1" tint="0.34998626667073579"/>
      <name val="Arial"/>
      <family val="2"/>
    </font>
    <font>
      <sz val="8"/>
      <color theme="1" tint="0.34998626667073579"/>
      <name val="Arial"/>
      <family val="2"/>
    </font>
    <font>
      <b/>
      <sz val="8"/>
      <color theme="1" tint="0.34998626667073579"/>
      <name val="Arial"/>
      <family val="2"/>
    </font>
    <font>
      <sz val="10"/>
      <color theme="1" tint="0.34998626667073579"/>
      <name val="Bookman Old Style"/>
      <family val="1"/>
    </font>
    <font>
      <sz val="9"/>
      <color theme="0" tint="-0.34998626667073579"/>
      <name val="Arial "/>
      <family val="2"/>
    </font>
    <font>
      <sz val="9"/>
      <name val="Arial "/>
      <family val="2"/>
    </font>
    <font>
      <i/>
      <sz val="10"/>
      <color theme="1" tint="0.14999847407452621"/>
      <name val="Arial Narrow"/>
      <family val="2"/>
    </font>
    <font>
      <vertAlign val="superscript"/>
      <sz val="10"/>
      <color theme="1" tint="0.14999847407452621"/>
      <name val="Arial Narrow"/>
      <family val="2"/>
    </font>
    <font>
      <sz val="10"/>
      <color theme="1" tint="0.34998626667073579"/>
      <name val="Arial Narrow"/>
      <family val="2"/>
    </font>
    <font>
      <sz val="8"/>
      <name val="Arial"/>
      <family val="2"/>
    </font>
    <font>
      <sz val="12"/>
      <color theme="1" tint="0.499984740745262"/>
      <name val="Arial"/>
      <family val="2"/>
    </font>
    <font>
      <sz val="12"/>
      <color theme="1" tint="0.499984740745262"/>
      <name val="Arial Narrow"/>
      <family val="2"/>
    </font>
    <font>
      <sz val="11"/>
      <name val="Calibri"/>
      <family val="2"/>
      <scheme val="minor"/>
    </font>
    <font>
      <sz val="11"/>
      <color rgb="FFC00000"/>
      <name val="Calibri"/>
      <family val="2"/>
      <scheme val="minor"/>
    </font>
    <font>
      <sz val="10"/>
      <color theme="0" tint="-0.34998626667073579"/>
      <name val="Arial "/>
      <family val="2"/>
    </font>
  </fonts>
  <fills count="41">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FF"/>
        <bgColor indexed="64"/>
      </patternFill>
    </fill>
  </fills>
  <borders count="62">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8"/>
      </top>
      <bottom/>
      <diagonal/>
    </border>
    <border>
      <left/>
      <right/>
      <top style="thin">
        <color indexed="64"/>
      </top>
      <bottom style="double">
        <color indexed="8"/>
      </bottom>
      <diagonal/>
    </border>
    <border>
      <left/>
      <right/>
      <top style="medium">
        <color indexed="8"/>
      </top>
      <bottom/>
      <diagonal/>
    </border>
    <border>
      <left/>
      <right/>
      <top/>
      <bottom style="thin">
        <color indexed="8"/>
      </bottom>
      <diagonal/>
    </border>
    <border>
      <left/>
      <right/>
      <top style="thin">
        <color indexed="8"/>
      </top>
      <bottom style="thin">
        <color indexed="8"/>
      </bottom>
      <diagonal/>
    </border>
    <border>
      <left/>
      <right/>
      <top/>
      <bottom style="medium">
        <color indexed="8"/>
      </bottom>
      <diagonal/>
    </border>
    <border>
      <left/>
      <right/>
      <top style="thick">
        <color indexed="64"/>
      </top>
      <bottom/>
      <diagonal/>
    </border>
    <border>
      <left/>
      <right/>
      <top/>
      <bottom style="double">
        <color indexed="64"/>
      </bottom>
      <diagonal/>
    </border>
    <border>
      <left/>
      <right/>
      <top/>
      <bottom style="thick">
        <color indexed="64"/>
      </bottom>
      <diagonal/>
    </border>
    <border>
      <left/>
      <right/>
      <top style="thin">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style="thin">
        <color indexed="8"/>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op>
      <bottom/>
      <diagonal/>
    </border>
    <border>
      <left style="thin">
        <color theme="0"/>
      </left>
      <right/>
      <top/>
      <bottom/>
      <diagonal/>
    </border>
    <border>
      <left/>
      <right/>
      <top/>
      <bottom style="thin">
        <color auto="1"/>
      </bottom>
      <diagonal/>
    </border>
    <border>
      <left/>
      <right/>
      <top style="thin">
        <color indexed="8"/>
      </top>
      <bottom style="double">
        <color auto="1"/>
      </bottom>
      <diagonal/>
    </border>
    <border>
      <left/>
      <right/>
      <top style="medium">
        <color auto="1"/>
      </top>
      <bottom/>
      <diagonal/>
    </border>
    <border>
      <left/>
      <right/>
      <top/>
      <bottom style="thin">
        <color rgb="FFFFFFFF"/>
      </bottom>
      <diagonal/>
    </border>
    <border>
      <left/>
      <right/>
      <top/>
      <bottom style="thin">
        <color theme="1"/>
      </bottom>
      <diagonal/>
    </border>
    <border>
      <left/>
      <right/>
      <top style="medium">
        <color auto="1"/>
      </top>
      <bottom style="thin">
        <color auto="1"/>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double">
        <color auto="1"/>
      </bottom>
      <diagonal/>
    </border>
    <border>
      <left style="thin">
        <color indexed="8"/>
      </left>
      <right/>
      <top style="thin">
        <color indexed="8"/>
      </top>
      <bottom style="double">
        <color auto="1"/>
      </bottom>
      <diagonal/>
    </border>
    <border>
      <left style="thin">
        <color indexed="8"/>
      </left>
      <right style="thin">
        <color indexed="8"/>
      </right>
      <top/>
      <bottom style="double">
        <color auto="1"/>
      </bottom>
      <diagonal/>
    </border>
    <border>
      <left/>
      <right/>
      <top/>
      <bottom style="thin">
        <color indexed="64"/>
      </bottom>
      <diagonal/>
    </border>
    <border>
      <left/>
      <right/>
      <top/>
      <bottom style="thin">
        <color theme="0" tint="-0.34998626667073579"/>
      </bottom>
      <diagonal/>
    </border>
  </borders>
  <cellStyleXfs count="113">
    <xf numFmtId="0" fontId="0" fillId="0" borderId="0"/>
    <xf numFmtId="43" fontId="42" fillId="0" borderId="0" applyFont="0" applyFill="0" applyBorder="0" applyAlignment="0" applyProtection="0"/>
    <xf numFmtId="43" fontId="52" fillId="0" borderId="0" applyFont="0" applyFill="0" applyBorder="0" applyAlignment="0" applyProtection="0"/>
    <xf numFmtId="44" fontId="6" fillId="0" borderId="0" applyFont="0" applyFill="0" applyBorder="0" applyAlignment="0" applyProtection="0"/>
    <xf numFmtId="44" fontId="14" fillId="0" borderId="0" applyFont="0" applyFill="0" applyBorder="0" applyAlignment="0" applyProtection="0"/>
    <xf numFmtId="44" fontId="42" fillId="0" borderId="0" applyFont="0" applyFill="0" applyBorder="0" applyAlignment="0" applyProtection="0"/>
    <xf numFmtId="44" fontId="14" fillId="0" borderId="0" applyFont="0" applyFill="0" applyBorder="0" applyProtection="0"/>
    <xf numFmtId="0" fontId="52" fillId="0" borderId="0"/>
    <xf numFmtId="0" fontId="14" fillId="0" borderId="0"/>
    <xf numFmtId="0" fontId="11" fillId="0" borderId="0"/>
    <xf numFmtId="0" fontId="14" fillId="0" borderId="0"/>
    <xf numFmtId="0" fontId="7" fillId="0" borderId="0"/>
    <xf numFmtId="0" fontId="7" fillId="0" borderId="0"/>
    <xf numFmtId="0" fontId="6" fillId="0" borderId="0"/>
    <xf numFmtId="0" fontId="7" fillId="0" borderId="0"/>
    <xf numFmtId="0" fontId="11" fillId="0" borderId="0"/>
    <xf numFmtId="0" fontId="7" fillId="0" borderId="0"/>
    <xf numFmtId="0" fontId="11" fillId="0" borderId="0"/>
    <xf numFmtId="8" fontId="11" fillId="0" borderId="0"/>
    <xf numFmtId="0" fontId="7" fillId="0" borderId="0"/>
    <xf numFmtId="0" fontId="42" fillId="0" borderId="0"/>
    <xf numFmtId="0" fontId="42" fillId="0" borderId="0"/>
    <xf numFmtId="0" fontId="21" fillId="0" borderId="0"/>
    <xf numFmtId="0" fontId="21" fillId="0" borderId="0"/>
    <xf numFmtId="0" fontId="7" fillId="0" borderId="0"/>
    <xf numFmtId="0" fontId="42" fillId="0" borderId="0"/>
    <xf numFmtId="0" fontId="11" fillId="0" borderId="0"/>
    <xf numFmtId="0" fontId="14" fillId="0" borderId="0"/>
    <xf numFmtId="0" fontId="21" fillId="0" borderId="0"/>
    <xf numFmtId="0" fontId="42" fillId="0" borderId="0"/>
    <xf numFmtId="0" fontId="42" fillId="0" borderId="0"/>
    <xf numFmtId="177" fontId="46" fillId="0" borderId="0"/>
    <xf numFmtId="0" fontId="14" fillId="0" borderId="0"/>
    <xf numFmtId="0" fontId="14" fillId="0" borderId="0"/>
    <xf numFmtId="0" fontId="42" fillId="0" borderId="0"/>
    <xf numFmtId="0" fontId="14" fillId="0" borderId="0"/>
    <xf numFmtId="9" fontId="6" fillId="0" borderId="0" applyFont="0" applyFill="0" applyBorder="0" applyAlignment="0" applyProtection="0"/>
    <xf numFmtId="9" fontId="42" fillId="0" borderId="0" applyFont="0" applyFill="0" applyBorder="0" applyAlignment="0" applyProtection="0"/>
    <xf numFmtId="9" fontId="14" fillId="0" borderId="0" applyFont="0" applyFill="0" applyBorder="0" applyAlignment="0" applyProtection="0"/>
    <xf numFmtId="9" fontId="52" fillId="0" borderId="0" applyFont="0" applyFill="0" applyBorder="0" applyAlignment="0" applyProtection="0"/>
    <xf numFmtId="0" fontId="6" fillId="0" borderId="0"/>
    <xf numFmtId="43" fontId="57" fillId="0" borderId="0" applyFont="0" applyFill="0" applyBorder="0" applyAlignment="0" applyProtection="0"/>
    <xf numFmtId="0" fontId="58" fillId="0" borderId="0" applyNumberFormat="0" applyFill="0" applyBorder="0" applyAlignment="0" applyProtection="0"/>
    <xf numFmtId="0" fontId="59" fillId="0" borderId="30" applyNumberFormat="0" applyFill="0" applyAlignment="0" applyProtection="0"/>
    <xf numFmtId="0" fontId="60" fillId="0" borderId="31" applyNumberFormat="0" applyFill="0" applyAlignment="0" applyProtection="0"/>
    <xf numFmtId="0" fontId="61" fillId="0" borderId="32" applyNumberFormat="0" applyFill="0" applyAlignment="0" applyProtection="0"/>
    <xf numFmtId="0" fontId="61" fillId="0" borderId="0" applyNumberFormat="0" applyFill="0" applyBorder="0" applyAlignment="0" applyProtection="0"/>
    <xf numFmtId="0" fontId="62" fillId="5" borderId="0" applyNumberFormat="0" applyBorder="0" applyAlignment="0" applyProtection="0"/>
    <xf numFmtId="0" fontId="63" fillId="6" borderId="0" applyNumberFormat="0" applyBorder="0" applyAlignment="0" applyProtection="0"/>
    <xf numFmtId="0" fontId="64" fillId="7" borderId="0" applyNumberFormat="0" applyBorder="0" applyAlignment="0" applyProtection="0"/>
    <xf numFmtId="0" fontId="65" fillId="8" borderId="33" applyNumberFormat="0" applyAlignment="0" applyProtection="0"/>
    <xf numFmtId="0" fontId="66" fillId="9" borderId="34" applyNumberFormat="0" applyAlignment="0" applyProtection="0"/>
    <xf numFmtId="0" fontId="67" fillId="9" borderId="33" applyNumberFormat="0" applyAlignment="0" applyProtection="0"/>
    <xf numFmtId="0" fontId="68" fillId="0" borderId="35" applyNumberFormat="0" applyFill="0" applyAlignment="0" applyProtection="0"/>
    <xf numFmtId="0" fontId="69" fillId="10" borderId="36" applyNumberFormat="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0" borderId="38" applyNumberFormat="0" applyFill="0" applyAlignment="0" applyProtection="0"/>
    <xf numFmtId="0" fontId="73"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73" fillId="15" borderId="0" applyNumberFormat="0" applyBorder="0" applyAlignment="0" applyProtection="0"/>
    <xf numFmtId="0" fontId="73"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3" fillId="19" borderId="0" applyNumberFormat="0" applyBorder="0" applyAlignment="0" applyProtection="0"/>
    <xf numFmtId="0" fontId="73"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3" fillId="23" borderId="0" applyNumberFormat="0" applyBorder="0" applyAlignment="0" applyProtection="0"/>
    <xf numFmtId="0" fontId="73"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3" fillId="27" borderId="0" applyNumberFormat="0" applyBorder="0" applyAlignment="0" applyProtection="0"/>
    <xf numFmtId="0" fontId="73"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3" fillId="31" borderId="0" applyNumberFormat="0" applyBorder="0" applyAlignment="0" applyProtection="0"/>
    <xf numFmtId="0" fontId="73"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3" fillId="35" borderId="0" applyNumberFormat="0" applyBorder="0" applyAlignment="0" applyProtection="0"/>
    <xf numFmtId="0" fontId="5" fillId="0" borderId="0"/>
    <xf numFmtId="0" fontId="5" fillId="11" borderId="37" applyNumberFormat="0" applyFont="0" applyAlignment="0" applyProtection="0"/>
    <xf numFmtId="0" fontId="21" fillId="0" borderId="0"/>
    <xf numFmtId="44" fontId="21" fillId="0" borderId="0" applyFont="0" applyFill="0" applyBorder="0" applyAlignment="0" applyProtection="0"/>
    <xf numFmtId="0" fontId="95" fillId="0" borderId="0" applyNumberFormat="0" applyFill="0" applyBorder="0" applyAlignment="0" applyProtection="0">
      <alignment vertical="top"/>
      <protection locked="0"/>
    </xf>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Protection="0"/>
    <xf numFmtId="0" fontId="7" fillId="0" borderId="0"/>
    <xf numFmtId="43" fontId="6" fillId="0" borderId="0" applyFont="0" applyFill="0" applyBorder="0" applyAlignment="0" applyProtection="0"/>
    <xf numFmtId="43" fontId="4"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4" fillId="0" borderId="0"/>
    <xf numFmtId="0" fontId="6" fillId="0" borderId="0"/>
    <xf numFmtId="9" fontId="4" fillId="0" borderId="0" applyFont="0" applyFill="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37" applyNumberFormat="0" applyFont="0" applyAlignment="0" applyProtection="0"/>
  </cellStyleXfs>
  <cellXfs count="1653">
    <xf numFmtId="0" fontId="0" fillId="0" borderId="0" xfId="0"/>
    <xf numFmtId="0" fontId="7" fillId="0" borderId="0" xfId="0" applyFont="1"/>
    <xf numFmtId="0" fontId="9" fillId="0" borderId="0" xfId="0" applyFont="1" applyAlignment="1">
      <alignment horizontal="center"/>
    </xf>
    <xf numFmtId="0" fontId="9" fillId="0" borderId="0" xfId="0" applyFont="1"/>
    <xf numFmtId="0" fontId="14" fillId="0" borderId="0" xfId="0" applyFont="1"/>
    <xf numFmtId="10" fontId="7" fillId="0" borderId="0" xfId="0" applyNumberFormat="1" applyFont="1"/>
    <xf numFmtId="0" fontId="6" fillId="0" borderId="0" xfId="0" applyFont="1"/>
    <xf numFmtId="0" fontId="10" fillId="0" borderId="0" xfId="0" applyFont="1"/>
    <xf numFmtId="0" fontId="16" fillId="0" borderId="0" xfId="0" applyFont="1"/>
    <xf numFmtId="10" fontId="10" fillId="0" borderId="0" xfId="0" applyNumberFormat="1" applyFont="1" applyAlignment="1">
      <alignment horizontal="center"/>
    </xf>
    <xf numFmtId="10" fontId="7" fillId="0" borderId="0" xfId="0" applyNumberFormat="1" applyFont="1" applyAlignment="1">
      <alignment horizontal="center"/>
    </xf>
    <xf numFmtId="164" fontId="7" fillId="0" borderId="0" xfId="0" applyNumberFormat="1" applyFont="1" applyAlignment="1">
      <alignment horizontal="right"/>
    </xf>
    <xf numFmtId="0" fontId="9" fillId="0" borderId="2" xfId="0" applyFont="1" applyBorder="1"/>
    <xf numFmtId="10" fontId="6" fillId="0" borderId="0" xfId="36" applyNumberFormat="1"/>
    <xf numFmtId="10" fontId="6" fillId="0" borderId="0" xfId="0" applyNumberFormat="1" applyFont="1"/>
    <xf numFmtId="3" fontId="6" fillId="0" borderId="0" xfId="0" applyNumberFormat="1" applyFont="1"/>
    <xf numFmtId="0" fontId="19" fillId="0" borderId="0" xfId="0" applyFont="1"/>
    <xf numFmtId="0" fontId="9" fillId="0" borderId="0" xfId="14" applyFont="1"/>
    <xf numFmtId="37" fontId="25" fillId="0" borderId="0" xfId="14" applyNumberFormat="1" applyFont="1"/>
    <xf numFmtId="39" fontId="25" fillId="0" borderId="0" xfId="14" applyNumberFormat="1" applyFont="1"/>
    <xf numFmtId="0" fontId="6" fillId="0" borderId="0" xfId="13"/>
    <xf numFmtId="37" fontId="14" fillId="0" borderId="0" xfId="14" applyNumberFormat="1" applyFont="1"/>
    <xf numFmtId="39" fontId="14" fillId="0" borderId="0" xfId="14" applyNumberFormat="1" applyFont="1"/>
    <xf numFmtId="3" fontId="14" fillId="0" borderId="0" xfId="14" applyNumberFormat="1" applyFont="1"/>
    <xf numFmtId="169" fontId="14" fillId="0" borderId="0" xfId="36" applyNumberFormat="1" applyFont="1"/>
    <xf numFmtId="167" fontId="14" fillId="0" borderId="0" xfId="14" applyNumberFormat="1" applyFont="1" applyAlignment="1">
      <alignment horizontal="right"/>
    </xf>
    <xf numFmtId="169" fontId="14" fillId="0" borderId="0" xfId="14" applyNumberFormat="1" applyFont="1" applyAlignment="1">
      <alignment horizontal="right"/>
    </xf>
    <xf numFmtId="3" fontId="14" fillId="0" borderId="0" xfId="14" applyNumberFormat="1" applyFont="1" applyAlignment="1">
      <alignment horizontal="right"/>
    </xf>
    <xf numFmtId="0" fontId="26" fillId="0" borderId="8" xfId="14" applyFont="1" applyBorder="1" applyAlignment="1">
      <alignment horizontal="left"/>
    </xf>
    <xf numFmtId="37" fontId="26" fillId="0" borderId="8" xfId="14" applyNumberFormat="1" applyFont="1" applyBorder="1"/>
    <xf numFmtId="9" fontId="26" fillId="0" borderId="8" xfId="14" applyNumberFormat="1" applyFont="1" applyBorder="1"/>
    <xf numFmtId="37" fontId="27" fillId="0" borderId="0" xfId="14" applyNumberFormat="1" applyFont="1"/>
    <xf numFmtId="9" fontId="27" fillId="0" borderId="0" xfId="14" applyNumberFormat="1" applyFont="1"/>
    <xf numFmtId="5" fontId="27" fillId="0" borderId="0" xfId="14" applyNumberFormat="1" applyFont="1"/>
    <xf numFmtId="0" fontId="7" fillId="0" borderId="0" xfId="16"/>
    <xf numFmtId="0" fontId="9" fillId="0" borderId="0" xfId="16" applyFont="1"/>
    <xf numFmtId="0" fontId="11" fillId="0" borderId="9" xfId="16" applyFont="1" applyBorder="1"/>
    <xf numFmtId="0" fontId="11" fillId="0" borderId="0" xfId="16" applyFont="1"/>
    <xf numFmtId="0" fontId="14" fillId="0" borderId="0" xfId="16" applyFont="1" applyAlignment="1">
      <alignment horizontal="center"/>
    </xf>
    <xf numFmtId="37" fontId="14" fillId="0" borderId="0" xfId="16" applyNumberFormat="1" applyFont="1"/>
    <xf numFmtId="10" fontId="11" fillId="0" borderId="0" xfId="36" applyNumberFormat="1" applyFont="1"/>
    <xf numFmtId="0" fontId="25" fillId="0" borderId="0" xfId="16" applyFont="1"/>
    <xf numFmtId="0" fontId="32" fillId="0" borderId="0" xfId="16" applyFont="1" applyAlignment="1">
      <alignment horizontal="center"/>
    </xf>
    <xf numFmtId="4" fontId="9" fillId="0" borderId="0" xfId="0" applyNumberFormat="1" applyFont="1"/>
    <xf numFmtId="3" fontId="9" fillId="0" borderId="0" xfId="0" applyNumberFormat="1" applyFont="1"/>
    <xf numFmtId="4" fontId="19" fillId="0" borderId="0" xfId="0" applyNumberFormat="1" applyFont="1"/>
    <xf numFmtId="0" fontId="16" fillId="0" borderId="10" xfId="0" applyFont="1" applyBorder="1"/>
    <xf numFmtId="0" fontId="37" fillId="0" borderId="10" xfId="0" applyFont="1" applyBorder="1" applyAlignment="1">
      <alignment horizontal="center"/>
    </xf>
    <xf numFmtId="3" fontId="18" fillId="0" borderId="1" xfId="0" applyNumberFormat="1" applyFont="1" applyBorder="1" applyAlignment="1">
      <alignment horizontal="center"/>
    </xf>
    <xf numFmtId="0" fontId="18" fillId="0" borderId="1" xfId="0" applyFont="1" applyBorder="1" applyAlignment="1">
      <alignment horizontal="center"/>
    </xf>
    <xf numFmtId="1" fontId="20" fillId="0" borderId="0" xfId="0" applyNumberFormat="1" applyFont="1" applyAlignment="1">
      <alignment horizontal="center"/>
    </xf>
    <xf numFmtId="0" fontId="24" fillId="0" borderId="0" xfId="0" applyFont="1"/>
    <xf numFmtId="0" fontId="39" fillId="0" borderId="0" xfId="0" applyFont="1" applyAlignment="1">
      <alignment horizontal="centerContinuous"/>
    </xf>
    <xf numFmtId="0" fontId="23" fillId="0" borderId="0" xfId="0" applyFont="1"/>
    <xf numFmtId="0" fontId="32" fillId="0" borderId="0" xfId="0" applyFont="1"/>
    <xf numFmtId="0" fontId="23" fillId="0" borderId="11" xfId="0" applyFont="1" applyBorder="1"/>
    <xf numFmtId="0" fontId="11" fillId="0" borderId="0" xfId="0" applyFont="1"/>
    <xf numFmtId="0" fontId="40" fillId="0" borderId="0" xfId="0" applyFont="1"/>
    <xf numFmtId="0" fontId="41" fillId="0" borderId="0" xfId="0" applyFont="1"/>
    <xf numFmtId="0" fontId="28" fillId="0" borderId="0" xfId="0" applyFont="1"/>
    <xf numFmtId="0" fontId="0" fillId="0" borderId="0" xfId="0" applyAlignment="1">
      <alignment vertical="center"/>
    </xf>
    <xf numFmtId="0" fontId="9" fillId="0" borderId="0" xfId="0" applyFont="1" applyAlignment="1">
      <alignment vertical="center"/>
    </xf>
    <xf numFmtId="0" fontId="0" fillId="0" borderId="12" xfId="0" applyBorder="1" applyAlignment="1">
      <alignment vertical="center"/>
    </xf>
    <xf numFmtId="0" fontId="0" fillId="0" borderId="12" xfId="0" applyBorder="1"/>
    <xf numFmtId="0" fontId="11" fillId="0" borderId="0" xfId="26"/>
    <xf numFmtId="0" fontId="9" fillId="0" borderId="0" xfId="15" applyFont="1"/>
    <xf numFmtId="0" fontId="11" fillId="0" borderId="14" xfId="26" applyBorder="1" applyAlignment="1">
      <alignment horizontal="center"/>
    </xf>
    <xf numFmtId="0" fontId="11" fillId="0" borderId="0" xfId="26" applyAlignment="1">
      <alignment horizontal="center"/>
    </xf>
    <xf numFmtId="10" fontId="11" fillId="0" borderId="0" xfId="37" applyNumberFormat="1" applyFont="1"/>
    <xf numFmtId="3" fontId="11" fillId="0" borderId="0" xfId="26" applyNumberFormat="1"/>
    <xf numFmtId="3" fontId="11" fillId="0" borderId="0" xfId="26" applyNumberFormat="1" applyAlignment="1">
      <alignment horizontal="center"/>
    </xf>
    <xf numFmtId="0" fontId="42" fillId="0" borderId="0" xfId="29"/>
    <xf numFmtId="5" fontId="42" fillId="0" borderId="0" xfId="29" applyNumberFormat="1"/>
    <xf numFmtId="5" fontId="42" fillId="0" borderId="0" xfId="29" applyNumberFormat="1" applyAlignment="1">
      <alignment horizontal="right"/>
    </xf>
    <xf numFmtId="0" fontId="42" fillId="0" borderId="0" xfId="29" applyAlignment="1">
      <alignment horizontal="left"/>
    </xf>
    <xf numFmtId="37" fontId="42" fillId="0" borderId="0" xfId="29" applyNumberFormat="1"/>
    <xf numFmtId="37" fontId="42" fillId="0" borderId="0" xfId="29" applyNumberFormat="1" applyAlignment="1">
      <alignment horizontal="right"/>
    </xf>
    <xf numFmtId="0" fontId="43" fillId="0" borderId="0" xfId="0" applyFont="1"/>
    <xf numFmtId="0" fontId="0" fillId="0" borderId="16" xfId="0" applyBorder="1"/>
    <xf numFmtId="0" fontId="10" fillId="0" borderId="1" xfId="0" applyFont="1" applyBorder="1" applyAlignment="1">
      <alignment horizontal="center"/>
    </xf>
    <xf numFmtId="0" fontId="10" fillId="0" borderId="1" xfId="0" applyFont="1" applyBorder="1"/>
    <xf numFmtId="0" fontId="0" fillId="0" borderId="0" xfId="0" applyAlignment="1">
      <alignment horizontal="center"/>
    </xf>
    <xf numFmtId="164" fontId="13" fillId="0" borderId="0" xfId="0" applyNumberFormat="1" applyFont="1" applyAlignment="1">
      <alignment horizontal="center"/>
    </xf>
    <xf numFmtId="3" fontId="0" fillId="0" borderId="0" xfId="0" applyNumberFormat="1"/>
    <xf numFmtId="0" fontId="44" fillId="0" borderId="0" xfId="0" applyFont="1" applyAlignment="1">
      <alignment vertical="center"/>
    </xf>
    <xf numFmtId="42" fontId="0" fillId="0" borderId="0" xfId="0" applyNumberFormat="1"/>
    <xf numFmtId="4" fontId="0" fillId="0" borderId="0" xfId="0" applyNumberFormat="1"/>
    <xf numFmtId="0" fontId="19" fillId="0" borderId="15" xfId="22" applyFont="1" applyBorder="1" applyAlignment="1">
      <alignment horizontal="right" vertical="center"/>
    </xf>
    <xf numFmtId="3" fontId="19" fillId="0" borderId="15" xfId="22" applyNumberFormat="1" applyFont="1" applyBorder="1" applyAlignment="1">
      <alignment horizontal="right" vertical="center"/>
    </xf>
    <xf numFmtId="167" fontId="19" fillId="0" borderId="15" xfId="22" applyNumberFormat="1" applyFont="1" applyBorder="1" applyAlignment="1">
      <alignment horizontal="right" vertical="center"/>
    </xf>
    <xf numFmtId="3" fontId="14" fillId="4" borderId="0" xfId="32" applyNumberFormat="1" applyFill="1"/>
    <xf numFmtId="0" fontId="14" fillId="4" borderId="0" xfId="32" applyFill="1"/>
    <xf numFmtId="0" fontId="42" fillId="0" borderId="0" xfId="25"/>
    <xf numFmtId="0" fontId="24" fillId="0" borderId="0" xfId="25" applyFont="1" applyAlignment="1">
      <alignment horizontal="right"/>
    </xf>
    <xf numFmtId="0" fontId="42" fillId="0" borderId="0" xfId="25" applyAlignment="1">
      <alignment horizontal="right"/>
    </xf>
    <xf numFmtId="0" fontId="26" fillId="0" borderId="0" xfId="25" applyFont="1"/>
    <xf numFmtId="0" fontId="9" fillId="0" borderId="0" xfId="25" applyFont="1"/>
    <xf numFmtId="0" fontId="42" fillId="0" borderId="0" xfId="25" applyAlignment="1">
      <alignment wrapText="1"/>
    </xf>
    <xf numFmtId="0" fontId="42" fillId="0" borderId="0" xfId="25" applyAlignment="1">
      <alignment horizontal="right" wrapText="1"/>
    </xf>
    <xf numFmtId="0" fontId="26" fillId="0" borderId="17" xfId="25" applyFont="1" applyBorder="1" applyAlignment="1">
      <alignment horizontal="centerContinuous"/>
    </xf>
    <xf numFmtId="0" fontId="26" fillId="0" borderId="16" xfId="25" applyFont="1" applyBorder="1"/>
    <xf numFmtId="0" fontId="26" fillId="0" borderId="1" xfId="25" applyFont="1" applyBorder="1" applyAlignment="1">
      <alignment horizontal="right"/>
    </xf>
    <xf numFmtId="3" fontId="42" fillId="0" borderId="0" xfId="25" applyNumberFormat="1" applyAlignment="1">
      <alignment horizontal="right"/>
    </xf>
    <xf numFmtId="167" fontId="42" fillId="0" borderId="0" xfId="25" applyNumberFormat="1"/>
    <xf numFmtId="0" fontId="0" fillId="0" borderId="0" xfId="25" applyFont="1"/>
    <xf numFmtId="3" fontId="42" fillId="0" borderId="0" xfId="25" applyNumberFormat="1"/>
    <xf numFmtId="168" fontId="42" fillId="0" borderId="0" xfId="25" applyNumberFormat="1"/>
    <xf numFmtId="0" fontId="14" fillId="0" borderId="0" xfId="25" applyFont="1"/>
    <xf numFmtId="0" fontId="24" fillId="0" borderId="0" xfId="20" applyFont="1"/>
    <xf numFmtId="0" fontId="14" fillId="0" borderId="0" xfId="20" applyFont="1"/>
    <xf numFmtId="0" fontId="9" fillId="0" borderId="0" xfId="20" applyFont="1"/>
    <xf numFmtId="0" fontId="26" fillId="0" borderId="19" xfId="20" applyFont="1" applyBorder="1" applyAlignment="1">
      <alignment horizontal="center"/>
    </xf>
    <xf numFmtId="0" fontId="14" fillId="0" borderId="26" xfId="20" applyFont="1" applyBorder="1" applyAlignment="1">
      <alignment horizontal="center"/>
    </xf>
    <xf numFmtId="3" fontId="14" fillId="0" borderId="25" xfId="19" applyNumberFormat="1" applyFont="1" applyBorder="1"/>
    <xf numFmtId="3" fontId="14" fillId="0" borderId="0" xfId="19" applyNumberFormat="1" applyFont="1"/>
    <xf numFmtId="3" fontId="14" fillId="0" borderId="0" xfId="20" applyNumberFormat="1" applyFont="1"/>
    <xf numFmtId="0" fontId="42" fillId="0" borderId="26" xfId="25" applyBorder="1" applyAlignment="1">
      <alignment horizontal="center"/>
    </xf>
    <xf numFmtId="0" fontId="9" fillId="0" borderId="0" xfId="25" applyFont="1" applyAlignment="1">
      <alignment horizontal="center"/>
    </xf>
    <xf numFmtId="0" fontId="25" fillId="0" borderId="0" xfId="21" applyFont="1" applyAlignment="1">
      <alignment horizontal="centerContinuous"/>
    </xf>
    <xf numFmtId="3" fontId="25" fillId="0" borderId="0" xfId="21" applyNumberFormat="1" applyFont="1" applyAlignment="1">
      <alignment horizontal="centerContinuous"/>
    </xf>
    <xf numFmtId="0" fontId="25" fillId="0" borderId="0" xfId="21" applyFont="1"/>
    <xf numFmtId="0" fontId="49" fillId="0" borderId="0" xfId="21" applyFont="1"/>
    <xf numFmtId="0" fontId="9" fillId="0" borderId="0" xfId="21" applyFont="1" applyAlignment="1">
      <alignment horizontal="left"/>
    </xf>
    <xf numFmtId="0" fontId="14" fillId="0" borderId="0" xfId="21" applyFont="1"/>
    <xf numFmtId="3" fontId="14" fillId="0" borderId="0" xfId="21" applyNumberFormat="1" applyFont="1"/>
    <xf numFmtId="0" fontId="29" fillId="0" borderId="0" xfId="21" applyFont="1"/>
    <xf numFmtId="167" fontId="14" fillId="0" borderId="0" xfId="21" applyNumberFormat="1" applyFont="1"/>
    <xf numFmtId="0" fontId="14" fillId="0" borderId="0" xfId="21" applyFont="1" applyAlignment="1">
      <alignment horizontal="left"/>
    </xf>
    <xf numFmtId="0" fontId="26" fillId="0" borderId="0" xfId="21" applyFont="1"/>
    <xf numFmtId="164" fontId="14" fillId="0" borderId="0" xfId="21" applyNumberFormat="1" applyFont="1"/>
    <xf numFmtId="3" fontId="26" fillId="0" borderId="15" xfId="21" applyNumberFormat="1" applyFont="1" applyBorder="1"/>
    <xf numFmtId="3" fontId="26" fillId="0" borderId="0" xfId="21" applyNumberFormat="1" applyFont="1"/>
    <xf numFmtId="167" fontId="26" fillId="0" borderId="0" xfId="5" applyNumberFormat="1" applyFont="1" applyBorder="1"/>
    <xf numFmtId="164" fontId="26" fillId="0" borderId="0" xfId="21" applyNumberFormat="1" applyFont="1"/>
    <xf numFmtId="167" fontId="26" fillId="0" borderId="0" xfId="21" applyNumberFormat="1" applyFont="1"/>
    <xf numFmtId="3" fontId="49" fillId="0" borderId="0" xfId="21" applyNumberFormat="1" applyFont="1"/>
    <xf numFmtId="10" fontId="53" fillId="0" borderId="0" xfId="36" applyNumberFormat="1" applyFont="1"/>
    <xf numFmtId="3" fontId="22" fillId="0" borderId="0" xfId="28" applyNumberFormat="1" applyFont="1"/>
    <xf numFmtId="0" fontId="36" fillId="0" borderId="0" xfId="0" applyFont="1"/>
    <xf numFmtId="0" fontId="25" fillId="0" borderId="0" xfId="0" applyFont="1"/>
    <xf numFmtId="0" fontId="26" fillId="0" borderId="0" xfId="0" applyFont="1"/>
    <xf numFmtId="0" fontId="25" fillId="0" borderId="0" xfId="0" quotePrefix="1" applyFont="1" applyAlignment="1">
      <alignment horizontal="right"/>
    </xf>
    <xf numFmtId="0" fontId="25" fillId="0" borderId="0" xfId="0" applyFont="1" applyAlignment="1">
      <alignment horizontal="right"/>
    </xf>
    <xf numFmtId="3" fontId="7" fillId="0" borderId="0" xfId="8" applyNumberFormat="1" applyFont="1"/>
    <xf numFmtId="0" fontId="7" fillId="0" borderId="0" xfId="8" applyFont="1"/>
    <xf numFmtId="0" fontId="8" fillId="0" borderId="0" xfId="8" applyFont="1"/>
    <xf numFmtId="0" fontId="12" fillId="0" borderId="0" xfId="8" applyFont="1" applyAlignment="1">
      <alignment horizontal="left"/>
    </xf>
    <xf numFmtId="3" fontId="12" fillId="0" borderId="0" xfId="8" applyNumberFormat="1" applyFont="1" applyAlignment="1">
      <alignment horizontal="right"/>
    </xf>
    <xf numFmtId="3" fontId="13" fillId="0" borderId="0" xfId="8" applyNumberFormat="1" applyFont="1" applyAlignment="1">
      <alignment horizontal="right"/>
    </xf>
    <xf numFmtId="0" fontId="9" fillId="0" borderId="0" xfId="8" applyFont="1"/>
    <xf numFmtId="0" fontId="13" fillId="0" borderId="0" xfId="8" applyFont="1" applyAlignment="1">
      <alignment horizontal="left"/>
    </xf>
    <xf numFmtId="0" fontId="12" fillId="0" borderId="15" xfId="8" applyFont="1" applyBorder="1" applyAlignment="1">
      <alignment horizontal="left"/>
    </xf>
    <xf numFmtId="0" fontId="9" fillId="0" borderId="15" xfId="8" applyFont="1" applyBorder="1"/>
    <xf numFmtId="3" fontId="14" fillId="0" borderId="0" xfId="35" applyNumberFormat="1" applyAlignment="1">
      <alignment horizontal="right"/>
    </xf>
    <xf numFmtId="0" fontId="14" fillId="0" borderId="0" xfId="35" applyAlignment="1">
      <alignment horizontal="center"/>
    </xf>
    <xf numFmtId="167" fontId="14" fillId="0" borderId="0" xfId="35" applyNumberFormat="1"/>
    <xf numFmtId="167" fontId="14" fillId="0" borderId="0" xfId="35" applyNumberFormat="1" applyAlignment="1">
      <alignment horizontal="right"/>
    </xf>
    <xf numFmtId="10" fontId="0" fillId="0" borderId="0" xfId="36" applyNumberFormat="1" applyFont="1"/>
    <xf numFmtId="171" fontId="6" fillId="0" borderId="0" xfId="13" applyNumberFormat="1"/>
    <xf numFmtId="3" fontId="6" fillId="0" borderId="0" xfId="11" applyNumberFormat="1" applyFont="1"/>
    <xf numFmtId="164" fontId="6" fillId="0" borderId="1" xfId="11" applyNumberFormat="1" applyFont="1" applyBorder="1"/>
    <xf numFmtId="3" fontId="14" fillId="0" borderId="0" xfId="11" applyNumberFormat="1" applyFont="1"/>
    <xf numFmtId="37" fontId="6" fillId="0" borderId="0" xfId="16" quotePrefix="1" applyNumberFormat="1" applyFont="1"/>
    <xf numFmtId="167" fontId="6" fillId="0" borderId="0" xfId="34" applyNumberFormat="1" applyFont="1"/>
    <xf numFmtId="167" fontId="6" fillId="0" borderId="0" xfId="11" applyNumberFormat="1" applyFont="1"/>
    <xf numFmtId="3" fontId="14" fillId="4" borderId="0" xfId="38" applyNumberFormat="1" applyFont="1" applyFill="1"/>
    <xf numFmtId="169" fontId="14" fillId="4" borderId="0" xfId="36" applyNumberFormat="1" applyFont="1" applyFill="1"/>
    <xf numFmtId="167" fontId="14" fillId="4" borderId="0" xfId="38" applyNumberFormat="1" applyFont="1" applyFill="1"/>
    <xf numFmtId="0" fontId="6" fillId="4" borderId="0" xfId="32" applyFont="1" applyFill="1"/>
    <xf numFmtId="169" fontId="6" fillId="4" borderId="0" xfId="36" applyNumberFormat="1" applyFont="1" applyFill="1"/>
    <xf numFmtId="0" fontId="14" fillId="4" borderId="0" xfId="33" applyFill="1"/>
    <xf numFmtId="3" fontId="14" fillId="4" borderId="0" xfId="33" applyNumberFormat="1" applyFill="1"/>
    <xf numFmtId="0" fontId="6" fillId="0" borderId="0" xfId="14" applyFont="1"/>
    <xf numFmtId="0" fontId="24" fillId="0" borderId="0" xfId="84" applyFont="1"/>
    <xf numFmtId="0" fontId="22" fillId="0" borderId="0" xfId="84" applyFont="1"/>
    <xf numFmtId="0" fontId="9" fillId="0" borderId="0" xfId="84" applyFont="1"/>
    <xf numFmtId="0" fontId="21" fillId="0" borderId="0" xfId="84"/>
    <xf numFmtId="0" fontId="21" fillId="0" borderId="0" xfId="84" applyAlignment="1">
      <alignment horizontal="center"/>
    </xf>
    <xf numFmtId="0" fontId="22" fillId="0" borderId="0" xfId="84" applyFont="1" applyAlignment="1">
      <alignment wrapText="1"/>
    </xf>
    <xf numFmtId="0" fontId="21" fillId="0" borderId="0" xfId="84" applyAlignment="1">
      <alignment wrapText="1"/>
    </xf>
    <xf numFmtId="0" fontId="21" fillId="0" borderId="0" xfId="84" applyAlignment="1">
      <alignment horizontal="center" wrapText="1"/>
    </xf>
    <xf numFmtId="0" fontId="75" fillId="0" borderId="0" xfId="84" applyFont="1" applyAlignment="1">
      <alignment horizontal="right"/>
    </xf>
    <xf numFmtId="167" fontId="75" fillId="0" borderId="0" xfId="84" applyNumberFormat="1" applyFont="1"/>
    <xf numFmtId="3" fontId="75" fillId="0" borderId="0" xfId="84" applyNumberFormat="1" applyFont="1"/>
    <xf numFmtId="0" fontId="76" fillId="0" borderId="0" xfId="0" applyFont="1"/>
    <xf numFmtId="0" fontId="6" fillId="0" borderId="0" xfId="11" applyFont="1"/>
    <xf numFmtId="0" fontId="79" fillId="0" borderId="0" xfId="8" applyFont="1"/>
    <xf numFmtId="0" fontId="24" fillId="0" borderId="0" xfId="11" applyFont="1"/>
    <xf numFmtId="0" fontId="25" fillId="0" borderId="0" xfId="11" applyFont="1"/>
    <xf numFmtId="164" fontId="25" fillId="0" borderId="0" xfId="11" applyNumberFormat="1" applyFont="1"/>
    <xf numFmtId="0" fontId="9" fillId="0" borderId="0" xfId="11" applyFont="1"/>
    <xf numFmtId="3" fontId="9" fillId="0" borderId="0" xfId="11" applyNumberFormat="1" applyFont="1"/>
    <xf numFmtId="0" fontId="25" fillId="0" borderId="0" xfId="11" applyFont="1" applyAlignment="1">
      <alignment horizontal="center"/>
    </xf>
    <xf numFmtId="3" fontId="6" fillId="0" borderId="0" xfId="34" applyNumberFormat="1" applyFont="1"/>
    <xf numFmtId="164" fontId="48" fillId="0" borderId="0" xfId="11" applyNumberFormat="1" applyFont="1"/>
    <xf numFmtId="0" fontId="7" fillId="0" borderId="0" xfId="11"/>
    <xf numFmtId="167" fontId="25" fillId="0" borderId="0" xfId="11" applyNumberFormat="1" applyFont="1"/>
    <xf numFmtId="0" fontId="19" fillId="0" borderId="15" xfId="11" applyFont="1" applyBorder="1"/>
    <xf numFmtId="167" fontId="19" fillId="0" borderId="15" xfId="11" applyNumberFormat="1" applyFont="1" applyBorder="1"/>
    <xf numFmtId="0" fontId="19" fillId="0" borderId="0" xfId="11" applyFont="1"/>
    <xf numFmtId="164" fontId="19" fillId="0" borderId="0" xfId="11" applyNumberFormat="1" applyFont="1"/>
    <xf numFmtId="3" fontId="28" fillId="0" borderId="0" xfId="11" applyNumberFormat="1" applyFont="1"/>
    <xf numFmtId="0" fontId="28" fillId="0" borderId="0" xfId="11" applyFont="1"/>
    <xf numFmtId="3" fontId="25" fillId="0" borderId="0" xfId="11" applyNumberFormat="1" applyFont="1"/>
    <xf numFmtId="164" fontId="6" fillId="0" borderId="0" xfId="11" applyNumberFormat="1" applyFont="1"/>
    <xf numFmtId="169" fontId="81" fillId="0" borderId="0" xfId="36" applyNumberFormat="1" applyFont="1" applyFill="1"/>
    <xf numFmtId="3" fontId="7" fillId="0" borderId="0" xfId="0" applyNumberFormat="1" applyFont="1" applyAlignment="1">
      <alignment horizontal="right"/>
    </xf>
    <xf numFmtId="0" fontId="14" fillId="0" borderId="0" xfId="14" applyFont="1" applyAlignment="1">
      <alignment horizontal="left"/>
    </xf>
    <xf numFmtId="7" fontId="82" fillId="0" borderId="0" xfId="16" applyNumberFormat="1" applyFont="1"/>
    <xf numFmtId="167" fontId="11" fillId="0" borderId="0" xfId="26" applyNumberFormat="1"/>
    <xf numFmtId="5" fontId="14" fillId="0" borderId="0" xfId="16" applyNumberFormat="1" applyFont="1"/>
    <xf numFmtId="167" fontId="6" fillId="0" borderId="0" xfId="0" applyNumberFormat="1" applyFont="1"/>
    <xf numFmtId="0" fontId="78" fillId="0" borderId="0" xfId="8" applyFont="1"/>
    <xf numFmtId="0" fontId="84" fillId="0" borderId="0" xfId="0" applyFont="1"/>
    <xf numFmtId="3" fontId="83" fillId="0" borderId="0" xfId="0" applyNumberFormat="1" applyFont="1"/>
    <xf numFmtId="0" fontId="85" fillId="0" borderId="0" xfId="8" applyFont="1"/>
    <xf numFmtId="0" fontId="83" fillId="0" borderId="9" xfId="16" applyFont="1" applyBorder="1"/>
    <xf numFmtId="4" fontId="7" fillId="0" borderId="0" xfId="8" applyNumberFormat="1" applyFont="1"/>
    <xf numFmtId="0" fontId="86" fillId="0" borderId="0" xfId="14" applyFont="1" applyAlignment="1">
      <alignment horizontal="left"/>
    </xf>
    <xf numFmtId="5" fontId="14" fillId="0" borderId="0" xfId="16" applyNumberFormat="1" applyFont="1" applyAlignment="1">
      <alignment horizontal="right"/>
    </xf>
    <xf numFmtId="0" fontId="87" fillId="0" borderId="0" xfId="0" applyFont="1"/>
    <xf numFmtId="2" fontId="8" fillId="0" borderId="0" xfId="8" applyNumberFormat="1" applyFont="1"/>
    <xf numFmtId="0" fontId="53" fillId="0" borderId="0" xfId="0" applyFont="1"/>
    <xf numFmtId="0" fontId="85" fillId="0" borderId="0" xfId="0" applyFont="1"/>
    <xf numFmtId="3" fontId="76" fillId="0" borderId="0" xfId="11" applyNumberFormat="1" applyFont="1"/>
    <xf numFmtId="0" fontId="80" fillId="0" borderId="0" xfId="11" applyFont="1"/>
    <xf numFmtId="0" fontId="76" fillId="0" borderId="0" xfId="11" applyFont="1"/>
    <xf numFmtId="3" fontId="93" fillId="0" borderId="0" xfId="11" applyNumberFormat="1" applyFont="1"/>
    <xf numFmtId="3" fontId="80" fillId="0" borderId="0" xfId="11" applyNumberFormat="1" applyFont="1"/>
    <xf numFmtId="0" fontId="95" fillId="0" borderId="0" xfId="86" applyAlignment="1" applyProtection="1"/>
    <xf numFmtId="37" fontId="19" fillId="0" borderId="0" xfId="14" applyNumberFormat="1" applyFont="1"/>
    <xf numFmtId="37" fontId="6" fillId="0" borderId="0" xfId="14" applyNumberFormat="1" applyFont="1"/>
    <xf numFmtId="39" fontId="6" fillId="0" borderId="0" xfId="14" applyNumberFormat="1" applyFont="1"/>
    <xf numFmtId="179" fontId="42" fillId="0" borderId="0" xfId="41" applyNumberFormat="1" applyFont="1" applyAlignment="1">
      <alignment horizontal="right"/>
    </xf>
    <xf numFmtId="167" fontId="0" fillId="0" borderId="0" xfId="0" applyNumberFormat="1"/>
    <xf numFmtId="3" fontId="6" fillId="0" borderId="0" xfId="14" applyNumberFormat="1" applyFont="1"/>
    <xf numFmtId="167" fontId="6" fillId="0" borderId="0" xfId="14" applyNumberFormat="1" applyFont="1"/>
    <xf numFmtId="0" fontId="83" fillId="0" borderId="0" xfId="14" applyFont="1"/>
    <xf numFmtId="0" fontId="83" fillId="0" borderId="0" xfId="0" applyFont="1"/>
    <xf numFmtId="3" fontId="24" fillId="0" borderId="0" xfId="35" applyNumberFormat="1" applyFont="1"/>
    <xf numFmtId="0" fontId="14" fillId="0" borderId="0" xfId="35"/>
    <xf numFmtId="0" fontId="22" fillId="0" borderId="0" xfId="22" applyFont="1"/>
    <xf numFmtId="0" fontId="9" fillId="0" borderId="0" xfId="35" applyFont="1" applyAlignment="1">
      <alignment horizontal="center"/>
    </xf>
    <xf numFmtId="0" fontId="9" fillId="0" borderId="0" xfId="35" applyFont="1"/>
    <xf numFmtId="167" fontId="22" fillId="0" borderId="0" xfId="22" applyNumberFormat="1" applyFont="1"/>
    <xf numFmtId="0" fontId="24" fillId="0" borderId="0" xfId="35" applyFont="1"/>
    <xf numFmtId="0" fontId="89" fillId="0" borderId="0" xfId="22" applyFont="1"/>
    <xf numFmtId="0" fontId="14" fillId="0" borderId="0" xfId="35" applyAlignment="1">
      <alignment horizontal="right"/>
    </xf>
    <xf numFmtId="0" fontId="99" fillId="0" borderId="0" xfId="22" applyFont="1"/>
    <xf numFmtId="0" fontId="90" fillId="0" borderId="0" xfId="22" applyFont="1"/>
    <xf numFmtId="167" fontId="91" fillId="0" borderId="0" xfId="11" applyNumberFormat="1" applyFont="1"/>
    <xf numFmtId="179" fontId="22" fillId="0" borderId="0" xfId="41" applyNumberFormat="1" applyFont="1" applyFill="1"/>
    <xf numFmtId="0" fontId="19" fillId="0" borderId="19" xfId="11" applyFont="1" applyBorder="1"/>
    <xf numFmtId="0" fontId="19" fillId="0" borderId="20" xfId="11" applyFont="1" applyBorder="1" applyAlignment="1">
      <alignment horizontal="center"/>
    </xf>
    <xf numFmtId="3" fontId="19" fillId="0" borderId="20" xfId="11" applyNumberFormat="1" applyFont="1" applyBorder="1" applyAlignment="1">
      <alignment horizontal="center"/>
    </xf>
    <xf numFmtId="0" fontId="91" fillId="0" borderId="19" xfId="11" applyFont="1" applyBorder="1" applyAlignment="1">
      <alignment horizontal="left"/>
    </xf>
    <xf numFmtId="0" fontId="91" fillId="0" borderId="19" xfId="11" applyFont="1" applyBorder="1" applyAlignment="1">
      <alignment horizontal="center"/>
    </xf>
    <xf numFmtId="0" fontId="79" fillId="0" borderId="19" xfId="11" applyFont="1" applyBorder="1" applyAlignment="1">
      <alignment horizontal="left"/>
    </xf>
    <xf numFmtId="0" fontId="19" fillId="0" borderId="13" xfId="11" applyFont="1" applyBorder="1" applyAlignment="1">
      <alignment horizontal="center"/>
    </xf>
    <xf numFmtId="3" fontId="19" fillId="0" borderId="13" xfId="11" applyNumberFormat="1" applyFont="1" applyBorder="1"/>
    <xf numFmtId="0" fontId="19" fillId="0" borderId="13" xfId="11" applyFont="1" applyBorder="1"/>
    <xf numFmtId="3" fontId="19" fillId="0" borderId="21" xfId="11" applyNumberFormat="1" applyFont="1" applyBorder="1"/>
    <xf numFmtId="3" fontId="19" fillId="0" borderId="13" xfId="11" applyNumberFormat="1" applyFont="1" applyBorder="1" applyAlignment="1">
      <alignment horizontal="center"/>
    </xf>
    <xf numFmtId="3" fontId="19" fillId="0" borderId="22" xfId="11" applyNumberFormat="1" applyFont="1" applyBorder="1" applyAlignment="1">
      <alignment horizontal="center"/>
    </xf>
    <xf numFmtId="3" fontId="91" fillId="0" borderId="13" xfId="11" applyNumberFormat="1" applyFont="1" applyBorder="1" applyAlignment="1">
      <alignment horizontal="center"/>
    </xf>
    <xf numFmtId="0" fontId="91" fillId="0" borderId="13" xfId="11" applyFont="1" applyBorder="1" applyAlignment="1">
      <alignment horizontal="center"/>
    </xf>
    <xf numFmtId="3" fontId="19" fillId="0" borderId="23" xfId="11" applyNumberFormat="1" applyFont="1" applyBorder="1" applyAlignment="1">
      <alignment horizontal="center"/>
    </xf>
    <xf numFmtId="3" fontId="19" fillId="0" borderId="24" xfId="11" applyNumberFormat="1" applyFont="1" applyBorder="1" applyAlignment="1">
      <alignment horizontal="center"/>
    </xf>
    <xf numFmtId="3" fontId="6" fillId="0" borderId="25" xfId="11" applyNumberFormat="1" applyFont="1" applyBorder="1"/>
    <xf numFmtId="3" fontId="6" fillId="0" borderId="26" xfId="11" applyNumberFormat="1" applyFont="1" applyBorder="1"/>
    <xf numFmtId="3" fontId="47" fillId="0" borderId="0" xfId="11" applyNumberFormat="1" applyFont="1"/>
    <xf numFmtId="3" fontId="53" fillId="0" borderId="0" xfId="11" applyNumberFormat="1" applyFont="1"/>
    <xf numFmtId="0" fontId="19" fillId="0" borderId="0" xfId="11" applyFont="1" applyAlignment="1">
      <alignment horizontal="center"/>
    </xf>
    <xf numFmtId="3" fontId="19" fillId="0" borderId="0" xfId="11" applyNumberFormat="1" applyFont="1"/>
    <xf numFmtId="3" fontId="19" fillId="0" borderId="25" xfId="11" applyNumberFormat="1" applyFont="1" applyBorder="1"/>
    <xf numFmtId="3" fontId="19" fillId="0" borderId="0" xfId="11" applyNumberFormat="1" applyFont="1" applyAlignment="1">
      <alignment horizontal="center"/>
    </xf>
    <xf numFmtId="3" fontId="19" fillId="0" borderId="26" xfId="11" applyNumberFormat="1" applyFont="1" applyBorder="1" applyAlignment="1">
      <alignment horizontal="center"/>
    </xf>
    <xf numFmtId="3" fontId="91" fillId="0" borderId="0" xfId="11" applyNumberFormat="1" applyFont="1" applyAlignment="1">
      <alignment horizontal="center"/>
    </xf>
    <xf numFmtId="3" fontId="76" fillId="0" borderId="0" xfId="11" applyNumberFormat="1" applyFont="1" applyAlignment="1">
      <alignment horizontal="right"/>
    </xf>
    <xf numFmtId="3" fontId="76" fillId="0" borderId="25" xfId="11" applyNumberFormat="1" applyFont="1" applyBorder="1"/>
    <xf numFmtId="3" fontId="76" fillId="0" borderId="26" xfId="11" applyNumberFormat="1" applyFont="1" applyBorder="1"/>
    <xf numFmtId="3" fontId="6" fillId="0" borderId="1" xfId="11" applyNumberFormat="1" applyFont="1" applyBorder="1"/>
    <xf numFmtId="3" fontId="6" fillId="0" borderId="23" xfId="11" applyNumberFormat="1" applyFont="1" applyBorder="1"/>
    <xf numFmtId="3" fontId="6" fillId="0" borderId="24" xfId="11" applyNumberFormat="1" applyFont="1" applyBorder="1"/>
    <xf numFmtId="3" fontId="76" fillId="0" borderId="1" xfId="11" applyNumberFormat="1" applyFont="1" applyBorder="1"/>
    <xf numFmtId="3" fontId="7" fillId="0" borderId="0" xfId="11" applyNumberFormat="1"/>
    <xf numFmtId="3" fontId="19" fillId="0" borderId="15" xfId="11" applyNumberFormat="1" applyFont="1" applyBorder="1"/>
    <xf numFmtId="167" fontId="19" fillId="0" borderId="27" xfId="11" applyNumberFormat="1" applyFont="1" applyBorder="1"/>
    <xf numFmtId="3" fontId="19" fillId="0" borderId="28" xfId="11" applyNumberFormat="1" applyFont="1" applyBorder="1"/>
    <xf numFmtId="3" fontId="19" fillId="0" borderId="27" xfId="11" applyNumberFormat="1" applyFont="1" applyBorder="1"/>
    <xf numFmtId="3" fontId="91" fillId="0" borderId="15" xfId="11" applyNumberFormat="1" applyFont="1" applyBorder="1"/>
    <xf numFmtId="0" fontId="6" fillId="0" borderId="1" xfId="11" applyFont="1" applyBorder="1"/>
    <xf numFmtId="0" fontId="6" fillId="0" borderId="24" xfId="11" applyFont="1" applyBorder="1"/>
    <xf numFmtId="0" fontId="6" fillId="0" borderId="23" xfId="11" applyFont="1" applyBorder="1"/>
    <xf numFmtId="0" fontId="76" fillId="0" borderId="1" xfId="11" applyFont="1" applyBorder="1"/>
    <xf numFmtId="167" fontId="19" fillId="0" borderId="24" xfId="11" applyNumberFormat="1" applyFont="1" applyBorder="1"/>
    <xf numFmtId="167" fontId="19" fillId="0" borderId="13" xfId="11" applyNumberFormat="1" applyFont="1" applyBorder="1"/>
    <xf numFmtId="167" fontId="19" fillId="0" borderId="0" xfId="11" applyNumberFormat="1" applyFont="1"/>
    <xf numFmtId="3" fontId="19" fillId="0" borderId="26" xfId="11" applyNumberFormat="1" applyFont="1" applyBorder="1"/>
    <xf numFmtId="3" fontId="91" fillId="0" borderId="0" xfId="11" applyNumberFormat="1" applyFont="1"/>
    <xf numFmtId="0" fontId="79" fillId="0" borderId="0" xfId="11" applyFont="1"/>
    <xf numFmtId="167" fontId="14" fillId="0" borderId="0" xfId="11" applyNumberFormat="1" applyFont="1"/>
    <xf numFmtId="3" fontId="26" fillId="0" borderId="15" xfId="11" applyNumberFormat="1" applyFont="1" applyBorder="1"/>
    <xf numFmtId="167" fontId="26" fillId="0" borderId="15" xfId="11" applyNumberFormat="1" applyFont="1" applyBorder="1"/>
    <xf numFmtId="3" fontId="14" fillId="0" borderId="1" xfId="11" applyNumberFormat="1" applyFont="1" applyBorder="1"/>
    <xf numFmtId="37" fontId="24" fillId="4" borderId="0" xfId="17" applyNumberFormat="1" applyFont="1" applyFill="1" applyAlignment="1">
      <alignment horizontal="left"/>
    </xf>
    <xf numFmtId="4" fontId="29" fillId="4" borderId="0" xfId="17" applyNumberFormat="1" applyFont="1" applyFill="1"/>
    <xf numFmtId="37" fontId="9" fillId="4" borderId="0" xfId="17" applyNumberFormat="1" applyFont="1" applyFill="1" applyAlignment="1">
      <alignment horizontal="left"/>
    </xf>
    <xf numFmtId="37" fontId="87" fillId="4" borderId="0" xfId="17" applyNumberFormat="1" applyFont="1" applyFill="1" applyAlignment="1">
      <alignment horizontal="left"/>
    </xf>
    <xf numFmtId="167" fontId="14" fillId="4" borderId="0" xfId="33" applyNumberFormat="1" applyFill="1"/>
    <xf numFmtId="10" fontId="14" fillId="4" borderId="0" xfId="38" applyNumberFormat="1" applyFont="1" applyFill="1"/>
    <xf numFmtId="0" fontId="76" fillId="4" borderId="0" xfId="33" applyFont="1" applyFill="1"/>
    <xf numFmtId="5" fontId="26" fillId="4" borderId="8" xfId="17" applyNumberFormat="1" applyFont="1" applyFill="1" applyBorder="1"/>
    <xf numFmtId="167" fontId="26" fillId="4" borderId="8" xfId="17" applyNumberFormat="1" applyFont="1" applyFill="1" applyBorder="1"/>
    <xf numFmtId="5" fontId="26" fillId="4" borderId="0" xfId="17" applyNumberFormat="1" applyFont="1" applyFill="1"/>
    <xf numFmtId="0" fontId="14" fillId="4" borderId="13" xfId="33" applyFill="1" applyBorder="1"/>
    <xf numFmtId="10" fontId="45" fillId="4" borderId="0" xfId="38" applyNumberFormat="1" applyFont="1" applyFill="1"/>
    <xf numFmtId="3" fontId="55" fillId="4" borderId="0" xfId="0" applyNumberFormat="1" applyFont="1" applyFill="1" applyAlignment="1">
      <alignment horizontal="right" vertical="center"/>
    </xf>
    <xf numFmtId="0" fontId="50" fillId="0" borderId="0" xfId="28" applyFont="1"/>
    <xf numFmtId="0" fontId="22" fillId="0" borderId="0" xfId="28" applyFont="1"/>
    <xf numFmtId="0" fontId="51" fillId="0" borderId="19" xfId="28" applyFont="1" applyBorder="1"/>
    <xf numFmtId="0" fontId="51" fillId="0" borderId="19" xfId="28" applyFont="1" applyBorder="1" applyAlignment="1">
      <alignment horizontal="center"/>
    </xf>
    <xf numFmtId="0" fontId="21" fillId="0" borderId="0" xfId="28"/>
    <xf numFmtId="167" fontId="22" fillId="0" borderId="0" xfId="36" applyNumberFormat="1" applyFont="1" applyFill="1"/>
    <xf numFmtId="0" fontId="21" fillId="0" borderId="0" xfId="28" applyAlignment="1">
      <alignment horizontal="left" indent="1"/>
    </xf>
    <xf numFmtId="0" fontId="51" fillId="0" borderId="15" xfId="28" applyFont="1" applyBorder="1"/>
    <xf numFmtId="167" fontId="51" fillId="0" borderId="15" xfId="28" applyNumberFormat="1" applyFont="1" applyBorder="1"/>
    <xf numFmtId="0" fontId="24" fillId="4" borderId="0" xfId="32" applyFont="1" applyFill="1"/>
    <xf numFmtId="0" fontId="16" fillId="4" borderId="0" xfId="32" applyFont="1" applyFill="1"/>
    <xf numFmtId="167" fontId="16" fillId="4" borderId="0" xfId="38" applyNumberFormat="1" applyFont="1" applyFill="1" applyAlignment="1"/>
    <xf numFmtId="170" fontId="9" fillId="4" borderId="0" xfId="32" applyNumberFormat="1" applyFont="1" applyFill="1"/>
    <xf numFmtId="0" fontId="25" fillId="4" borderId="0" xfId="31" applyNumberFormat="1" applyFont="1" applyFill="1" applyAlignment="1">
      <alignment horizontal="left" wrapText="1"/>
    </xf>
    <xf numFmtId="167" fontId="14" fillId="4" borderId="0" xfId="38" applyNumberFormat="1" applyFont="1" applyFill="1" applyBorder="1"/>
    <xf numFmtId="167" fontId="14" fillId="4" borderId="0" xfId="32" applyNumberFormat="1" applyFill="1"/>
    <xf numFmtId="3" fontId="76" fillId="4" borderId="0" xfId="32" applyNumberFormat="1" applyFont="1" applyFill="1"/>
    <xf numFmtId="170" fontId="26" fillId="4" borderId="0" xfId="32" applyNumberFormat="1" applyFont="1" applyFill="1" applyAlignment="1">
      <alignment horizontal="left"/>
    </xf>
    <xf numFmtId="177" fontId="46" fillId="4" borderId="0" xfId="31" applyFill="1"/>
    <xf numFmtId="3" fontId="14" fillId="4" borderId="1" xfId="32" applyNumberFormat="1" applyFill="1" applyBorder="1"/>
    <xf numFmtId="3" fontId="26" fillId="4" borderId="15" xfId="32" applyNumberFormat="1" applyFont="1" applyFill="1" applyBorder="1"/>
    <xf numFmtId="167" fontId="26" fillId="4" borderId="15" xfId="38" applyNumberFormat="1" applyFont="1" applyFill="1" applyBorder="1"/>
    <xf numFmtId="167" fontId="26" fillId="4" borderId="0" xfId="32" applyNumberFormat="1" applyFont="1" applyFill="1"/>
    <xf numFmtId="0" fontId="14" fillId="4" borderId="15" xfId="32" applyFill="1" applyBorder="1"/>
    <xf numFmtId="167" fontId="26" fillId="4" borderId="0" xfId="38" applyNumberFormat="1" applyFont="1" applyFill="1"/>
    <xf numFmtId="3" fontId="6" fillId="0" borderId="0" xfId="25" applyNumberFormat="1" applyFont="1" applyAlignment="1">
      <alignment horizontal="right"/>
    </xf>
    <xf numFmtId="3" fontId="6" fillId="0" borderId="0" xfId="25" applyNumberFormat="1" applyFont="1"/>
    <xf numFmtId="0" fontId="19" fillId="0" borderId="41" xfId="0" applyFont="1" applyBorder="1" applyAlignment="1">
      <alignment horizontal="center" wrapText="1"/>
    </xf>
    <xf numFmtId="167" fontId="6" fillId="0" borderId="0" xfId="0" applyNumberFormat="1" applyFont="1" applyAlignment="1">
      <alignment horizontal="right"/>
    </xf>
    <xf numFmtId="0" fontId="6" fillId="0" borderId="0" xfId="16" applyFont="1" applyAlignment="1">
      <alignment horizontal="center"/>
    </xf>
    <xf numFmtId="169" fontId="100" fillId="0" borderId="0" xfId="36" applyNumberFormat="1" applyFont="1"/>
    <xf numFmtId="3" fontId="79" fillId="0" borderId="0" xfId="26" applyNumberFormat="1" applyFont="1"/>
    <xf numFmtId="0" fontId="54" fillId="0" borderId="0" xfId="8" applyFont="1"/>
    <xf numFmtId="3" fontId="76" fillId="0" borderId="0" xfId="0" applyNumberFormat="1" applyFont="1"/>
    <xf numFmtId="0" fontId="102" fillId="0" borderId="0" xfId="22" applyFont="1"/>
    <xf numFmtId="0" fontId="103" fillId="0" borderId="0" xfId="0" applyFont="1"/>
    <xf numFmtId="0" fontId="24" fillId="0" borderId="0" xfId="0" applyFont="1" applyAlignment="1">
      <alignment vertical="center"/>
    </xf>
    <xf numFmtId="0" fontId="24" fillId="0" borderId="0" xfId="15" applyFont="1"/>
    <xf numFmtId="0" fontId="24" fillId="0" borderId="0" xfId="14" applyFont="1"/>
    <xf numFmtId="3" fontId="24" fillId="0" borderId="0" xfId="0" applyNumberFormat="1" applyFont="1"/>
    <xf numFmtId="0" fontId="24" fillId="0" borderId="0" xfId="25" applyFont="1"/>
    <xf numFmtId="0" fontId="24" fillId="0" borderId="0" xfId="21" applyFont="1" applyAlignment="1">
      <alignment horizontal="left"/>
    </xf>
    <xf numFmtId="0" fontId="24" fillId="0" borderId="0" xfId="16" applyFont="1"/>
    <xf numFmtId="0" fontId="98" fillId="0" borderId="0" xfId="0" applyFont="1"/>
    <xf numFmtId="37" fontId="105" fillId="0" borderId="0" xfId="14" applyNumberFormat="1" applyFont="1"/>
    <xf numFmtId="9" fontId="104" fillId="0" borderId="0" xfId="14" applyNumberFormat="1" applyFont="1"/>
    <xf numFmtId="169" fontId="106" fillId="0" borderId="0" xfId="36" applyNumberFormat="1" applyFont="1"/>
    <xf numFmtId="0" fontId="56" fillId="0" borderId="0" xfId="29" applyFont="1"/>
    <xf numFmtId="37" fontId="14" fillId="0" borderId="0" xfId="18" applyNumberFormat="1" applyFont="1" applyAlignment="1">
      <alignment horizontal="right"/>
    </xf>
    <xf numFmtId="5" fontId="14" fillId="0" borderId="0" xfId="18" applyNumberFormat="1" applyFont="1"/>
    <xf numFmtId="37" fontId="14" fillId="0" borderId="0" xfId="18" applyNumberFormat="1" applyFont="1"/>
    <xf numFmtId="0" fontId="24" fillId="0" borderId="0" xfId="30" applyFont="1" applyAlignment="1">
      <alignment horizontal="left"/>
    </xf>
    <xf numFmtId="0" fontId="26" fillId="0" borderId="0" xfId="30" applyFont="1" applyAlignment="1">
      <alignment horizontal="centerContinuous"/>
    </xf>
    <xf numFmtId="0" fontId="42" fillId="0" borderId="0" xfId="30"/>
    <xf numFmtId="0" fontId="9" fillId="0" borderId="0" xfId="30" applyFont="1" applyAlignment="1">
      <alignment horizontal="left"/>
    </xf>
    <xf numFmtId="0" fontId="42" fillId="0" borderId="0" xfId="30" applyAlignment="1">
      <alignment horizontal="centerContinuous"/>
    </xf>
    <xf numFmtId="0" fontId="42" fillId="0" borderId="0" xfId="30" applyAlignment="1">
      <alignment horizontal="left"/>
    </xf>
    <xf numFmtId="0" fontId="26" fillId="0" borderId="0" xfId="30" applyFont="1" applyAlignment="1">
      <alignment horizontal="center"/>
    </xf>
    <xf numFmtId="0" fontId="42" fillId="0" borderId="0" xfId="30" applyAlignment="1">
      <alignment horizontal="center"/>
    </xf>
    <xf numFmtId="3" fontId="42" fillId="0" borderId="0" xfId="30" applyNumberFormat="1"/>
    <xf numFmtId="170" fontId="9" fillId="4" borderId="0" xfId="32" applyNumberFormat="1" applyFont="1" applyFill="1" applyAlignment="1">
      <alignment horizontal="left"/>
    </xf>
    <xf numFmtId="10" fontId="7" fillId="0" borderId="0" xfId="0" applyNumberFormat="1" applyFont="1" applyAlignment="1">
      <alignment horizontal="right"/>
    </xf>
    <xf numFmtId="10" fontId="7" fillId="0" borderId="1" xfId="0" applyNumberFormat="1" applyFont="1" applyBorder="1" applyAlignment="1">
      <alignment horizontal="right"/>
    </xf>
    <xf numFmtId="0" fontId="0" fillId="0" borderId="2" xfId="0" applyBorder="1"/>
    <xf numFmtId="10" fontId="9" fillId="0" borderId="0" xfId="0" applyNumberFormat="1" applyFont="1" applyAlignment="1">
      <alignment horizontal="right"/>
    </xf>
    <xf numFmtId="10" fontId="7" fillId="0" borderId="3" xfId="0" applyNumberFormat="1" applyFont="1" applyBorder="1" applyAlignment="1">
      <alignment horizontal="right"/>
    </xf>
    <xf numFmtId="10" fontId="7" fillId="0" borderId="4" xfId="0" applyNumberFormat="1" applyFont="1" applyBorder="1" applyAlignment="1">
      <alignment horizontal="right"/>
    </xf>
    <xf numFmtId="10" fontId="79" fillId="0" borderId="0" xfId="0" applyNumberFormat="1" applyFont="1" applyAlignment="1">
      <alignment horizontal="right"/>
    </xf>
    <xf numFmtId="0" fontId="6" fillId="0" borderId="0" xfId="29" applyFont="1" applyAlignment="1">
      <alignment horizontal="left"/>
    </xf>
    <xf numFmtId="0" fontId="6" fillId="0" borderId="0" xfId="29" applyFont="1"/>
    <xf numFmtId="3" fontId="7" fillId="0" borderId="0" xfId="8" quotePrefix="1" applyNumberFormat="1" applyFont="1"/>
    <xf numFmtId="167" fontId="14" fillId="4" borderId="0" xfId="38" applyNumberFormat="1" applyFont="1" applyFill="1" applyAlignment="1"/>
    <xf numFmtId="0" fontId="76" fillId="0" borderId="0" xfId="29" applyFont="1"/>
    <xf numFmtId="37" fontId="76" fillId="0" borderId="0" xfId="14" applyNumberFormat="1" applyFont="1"/>
    <xf numFmtId="0" fontId="6" fillId="0" borderId="0" xfId="25" applyFont="1"/>
    <xf numFmtId="10" fontId="108" fillId="0" borderId="0" xfId="0" applyNumberFormat="1" applyFont="1"/>
    <xf numFmtId="3" fontId="22" fillId="0" borderId="0" xfId="22" applyNumberFormat="1" applyFont="1"/>
    <xf numFmtId="0" fontId="20" fillId="0" borderId="0" xfId="21" applyFont="1" applyAlignment="1">
      <alignment horizontal="left"/>
    </xf>
    <xf numFmtId="0" fontId="91" fillId="0" borderId="15" xfId="21" applyFont="1" applyBorder="1"/>
    <xf numFmtId="0" fontId="20" fillId="0" borderId="44" xfId="21" applyFont="1" applyBorder="1" applyAlignment="1">
      <alignment horizontal="left"/>
    </xf>
    <xf numFmtId="169" fontId="111" fillId="0" borderId="0" xfId="36" applyNumberFormat="1" applyFont="1"/>
    <xf numFmtId="0" fontId="112" fillId="0" borderId="0" xfId="0" applyFont="1"/>
    <xf numFmtId="169" fontId="107" fillId="0" borderId="0" xfId="36" applyNumberFormat="1" applyFont="1" applyFill="1" applyBorder="1" applyAlignment="1"/>
    <xf numFmtId="10" fontId="112" fillId="0" borderId="0" xfId="36" applyNumberFormat="1" applyFont="1"/>
    <xf numFmtId="0" fontId="112" fillId="0" borderId="0" xfId="16" applyFont="1" applyAlignment="1">
      <alignment horizontal="center"/>
    </xf>
    <xf numFmtId="167" fontId="112" fillId="0" borderId="0" xfId="16" applyNumberFormat="1" applyFont="1" applyAlignment="1">
      <alignment horizontal="right"/>
    </xf>
    <xf numFmtId="3" fontId="112" fillId="0" borderId="0" xfId="0" applyNumberFormat="1" applyFont="1"/>
    <xf numFmtId="169" fontId="113" fillId="0" borderId="0" xfId="36" applyNumberFormat="1" applyFont="1" applyFill="1"/>
    <xf numFmtId="0" fontId="114" fillId="0" borderId="0" xfId="0" applyFont="1"/>
    <xf numFmtId="164" fontId="108" fillId="0" borderId="0" xfId="0" applyNumberFormat="1" applyFont="1" applyAlignment="1">
      <alignment horizontal="right"/>
    </xf>
    <xf numFmtId="168" fontId="112" fillId="0" borderId="0" xfId="0" applyNumberFormat="1" applyFont="1" applyAlignment="1">
      <alignment horizontal="right"/>
    </xf>
    <xf numFmtId="3" fontId="108" fillId="0" borderId="0" xfId="0" applyNumberFormat="1" applyFont="1" applyAlignment="1">
      <alignment horizontal="right"/>
    </xf>
    <xf numFmtId="168" fontId="114" fillId="0" borderId="0" xfId="0" applyNumberFormat="1" applyFont="1"/>
    <xf numFmtId="168" fontId="112" fillId="0" borderId="0" xfId="0" applyNumberFormat="1" applyFont="1"/>
    <xf numFmtId="10" fontId="112" fillId="0" borderId="0" xfId="36" applyNumberFormat="1" applyFont="1" applyAlignment="1"/>
    <xf numFmtId="164" fontId="114" fillId="0" borderId="0" xfId="0" applyNumberFormat="1" applyFont="1"/>
    <xf numFmtId="3" fontId="114" fillId="0" borderId="0" xfId="0" applyNumberFormat="1" applyFont="1"/>
    <xf numFmtId="0" fontId="115" fillId="2" borderId="0" xfId="0" applyFont="1" applyFill="1" applyAlignment="1">
      <alignment horizontal="center"/>
    </xf>
    <xf numFmtId="0" fontId="115" fillId="0" borderId="0" xfId="0" applyFont="1" applyAlignment="1">
      <alignment horizontal="center"/>
    </xf>
    <xf numFmtId="0" fontId="112" fillId="3" borderId="0" xfId="0" applyFont="1" applyFill="1" applyAlignment="1">
      <alignment horizontal="left"/>
    </xf>
    <xf numFmtId="164" fontId="112" fillId="0" borderId="0" xfId="0" applyNumberFormat="1" applyFont="1" applyAlignment="1">
      <alignment horizontal="right"/>
    </xf>
    <xf numFmtId="0" fontId="116" fillId="0" borderId="0" xfId="0" applyFont="1"/>
    <xf numFmtId="172" fontId="116" fillId="0" borderId="0" xfId="0" applyNumberFormat="1" applyFont="1"/>
    <xf numFmtId="169" fontId="53" fillId="0" borderId="0" xfId="36" applyNumberFormat="1" applyFont="1" applyAlignment="1"/>
    <xf numFmtId="0" fontId="13" fillId="0" borderId="0" xfId="21" applyFont="1" applyAlignment="1">
      <alignment horizontal="left"/>
    </xf>
    <xf numFmtId="0" fontId="6" fillId="0" borderId="0" xfId="21" applyFont="1" applyAlignment="1">
      <alignment horizontal="left"/>
    </xf>
    <xf numFmtId="167" fontId="7" fillId="0" borderId="0" xfId="12" applyNumberFormat="1"/>
    <xf numFmtId="4" fontId="76" fillId="0" borderId="0" xfId="0" applyNumberFormat="1" applyFont="1"/>
    <xf numFmtId="0" fontId="97" fillId="0" borderId="0" xfId="0" applyFont="1"/>
    <xf numFmtId="0" fontId="32" fillId="0" borderId="0" xfId="10" applyFont="1"/>
    <xf numFmtId="0" fontId="25" fillId="0" borderId="0" xfId="10" applyFont="1"/>
    <xf numFmtId="167" fontId="25" fillId="0" borderId="0" xfId="10" applyNumberFormat="1" applyFont="1"/>
    <xf numFmtId="167" fontId="25" fillId="0" borderId="0" xfId="3" applyNumberFormat="1" applyFont="1" applyFill="1"/>
    <xf numFmtId="10" fontId="25" fillId="0" borderId="0" xfId="38" applyNumberFormat="1" applyFont="1" applyFill="1"/>
    <xf numFmtId="167" fontId="25" fillId="0" borderId="0" xfId="6" applyNumberFormat="1" applyFont="1" applyFill="1" applyBorder="1"/>
    <xf numFmtId="0" fontId="25" fillId="0" borderId="0" xfId="10" applyFont="1" applyAlignment="1">
      <alignment horizontal="center"/>
    </xf>
    <xf numFmtId="169" fontId="25" fillId="0" borderId="0" xfId="10" applyNumberFormat="1" applyFont="1"/>
    <xf numFmtId="3" fontId="25" fillId="0" borderId="0" xfId="10" applyNumberFormat="1" applyFont="1"/>
    <xf numFmtId="3" fontId="25" fillId="0" borderId="0" xfId="3" applyNumberFormat="1" applyFont="1" applyFill="1"/>
    <xf numFmtId="3" fontId="25" fillId="0" borderId="0" xfId="6" applyNumberFormat="1" applyFont="1" applyFill="1" applyBorder="1"/>
    <xf numFmtId="5" fontId="25" fillId="0" borderId="0" xfId="6" applyNumberFormat="1" applyFont="1" applyFill="1" applyBorder="1"/>
    <xf numFmtId="3" fontId="25" fillId="0" borderId="0" xfId="6" applyNumberFormat="1" applyFont="1" applyFill="1"/>
    <xf numFmtId="0" fontId="27" fillId="0" borderId="0" xfId="10" applyFont="1"/>
    <xf numFmtId="167" fontId="25" fillId="0" borderId="0" xfId="6" applyNumberFormat="1" applyFont="1" applyFill="1"/>
    <xf numFmtId="42" fontId="27" fillId="0" borderId="0" xfId="10" applyNumberFormat="1" applyFont="1"/>
    <xf numFmtId="0" fontId="27" fillId="0" borderId="18" xfId="10" applyFont="1" applyBorder="1" applyAlignment="1">
      <alignment horizontal="left"/>
    </xf>
    <xf numFmtId="167" fontId="27" fillId="0" borderId="0" xfId="10" applyNumberFormat="1" applyFont="1"/>
    <xf numFmtId="0" fontId="80" fillId="0" borderId="0" xfId="10" applyFont="1"/>
    <xf numFmtId="0" fontId="118" fillId="0" borderId="18" xfId="10" applyFont="1" applyBorder="1" applyAlignment="1">
      <alignment horizontal="left"/>
    </xf>
    <xf numFmtId="0" fontId="27" fillId="0" borderId="0" xfId="10" applyFont="1" applyAlignment="1">
      <alignment horizontal="center"/>
    </xf>
    <xf numFmtId="0" fontId="27" fillId="0" borderId="41" xfId="10" applyFont="1" applyBorder="1" applyAlignment="1">
      <alignment horizontal="center"/>
    </xf>
    <xf numFmtId="3" fontId="25" fillId="0" borderId="0" xfId="9" applyNumberFormat="1" applyFont="1"/>
    <xf numFmtId="167" fontId="27" fillId="0" borderId="15" xfId="10" applyNumberFormat="1" applyFont="1" applyBorder="1"/>
    <xf numFmtId="179" fontId="25" fillId="0" borderId="0" xfId="41" applyNumberFormat="1" applyFont="1" applyFill="1"/>
    <xf numFmtId="179" fontId="25" fillId="0" borderId="0" xfId="10" applyNumberFormat="1" applyFont="1"/>
    <xf numFmtId="0" fontId="91" fillId="0" borderId="0" xfId="10" applyFont="1"/>
    <xf numFmtId="0" fontId="14" fillId="0" borderId="0" xfId="10"/>
    <xf numFmtId="0" fontId="19" fillId="0" borderId="0" xfId="10" applyFont="1" applyAlignment="1">
      <alignment horizontal="center"/>
    </xf>
    <xf numFmtId="0" fontId="14" fillId="0" borderId="0" xfId="10" applyAlignment="1">
      <alignment horizontal="center"/>
    </xf>
    <xf numFmtId="0" fontId="19" fillId="0" borderId="41" xfId="10" applyFont="1" applyBorder="1" applyAlignment="1">
      <alignment horizontal="center"/>
    </xf>
    <xf numFmtId="0" fontId="19" fillId="0" borderId="13" xfId="10" applyFont="1" applyBorder="1" applyAlignment="1">
      <alignment horizontal="center"/>
    </xf>
    <xf numFmtId="0" fontId="6" fillId="0" borderId="0" xfId="10" applyFont="1"/>
    <xf numFmtId="0" fontId="19" fillId="0" borderId="0" xfId="10" applyFont="1"/>
    <xf numFmtId="0" fontId="14" fillId="0" borderId="0" xfId="10" applyAlignment="1">
      <alignment horizontal="left"/>
    </xf>
    <xf numFmtId="167" fontId="14" fillId="0" borderId="0" xfId="10" applyNumberFormat="1"/>
    <xf numFmtId="168" fontId="14" fillId="0" borderId="0" xfId="10" applyNumberFormat="1"/>
    <xf numFmtId="3" fontId="6" fillId="0" borderId="0" xfId="10" applyNumberFormat="1" applyFont="1"/>
    <xf numFmtId="3" fontId="14" fillId="0" borderId="0" xfId="10" applyNumberFormat="1"/>
    <xf numFmtId="0" fontId="14" fillId="0" borderId="41" xfId="10" applyBorder="1" applyAlignment="1">
      <alignment horizontal="left"/>
    </xf>
    <xf numFmtId="169" fontId="107" fillId="0" borderId="0" xfId="36" applyNumberFormat="1" applyFont="1" applyFill="1" applyAlignment="1"/>
    <xf numFmtId="169" fontId="112" fillId="0" borderId="0" xfId="36" applyNumberFormat="1" applyFont="1" applyFill="1" applyAlignment="1"/>
    <xf numFmtId="0" fontId="112" fillId="0" borderId="0" xfId="10" applyFont="1"/>
    <xf numFmtId="0" fontId="109" fillId="0" borderId="0" xfId="10" applyFont="1"/>
    <xf numFmtId="0" fontId="122" fillId="0" borderId="0" xfId="0" applyFont="1"/>
    <xf numFmtId="0" fontId="98" fillId="0" borderId="0" xfId="29" applyFont="1"/>
    <xf numFmtId="169" fontId="53" fillId="0" borderId="0" xfId="36" applyNumberFormat="1" applyFont="1" applyFill="1" applyAlignment="1"/>
    <xf numFmtId="3" fontId="6" fillId="0" borderId="0" xfId="0" applyNumberFormat="1" applyFont="1" applyAlignment="1">
      <alignment horizontal="right"/>
    </xf>
    <xf numFmtId="10" fontId="124" fillId="0" borderId="0" xfId="0" applyNumberFormat="1" applyFont="1"/>
    <xf numFmtId="10" fontId="126" fillId="0" borderId="0" xfId="0" applyNumberFormat="1" applyFont="1"/>
    <xf numFmtId="10" fontId="100" fillId="0" borderId="0" xfId="0" applyNumberFormat="1" applyFont="1"/>
    <xf numFmtId="169" fontId="100" fillId="0" borderId="0" xfId="0" applyNumberFormat="1" applyFont="1" applyAlignment="1">
      <alignment horizontal="right"/>
    </xf>
    <xf numFmtId="0" fontId="98" fillId="0" borderId="0" xfId="0" applyFont="1" applyAlignment="1">
      <alignment vertical="center"/>
    </xf>
    <xf numFmtId="0" fontId="19" fillId="0" borderId="41" xfId="11" applyFont="1" applyBorder="1" applyAlignment="1">
      <alignment horizontal="center"/>
    </xf>
    <xf numFmtId="169" fontId="124" fillId="0" borderId="0" xfId="36" applyNumberFormat="1" applyFont="1"/>
    <xf numFmtId="179" fontId="127" fillId="0" borderId="0" xfId="41" applyNumberFormat="1" applyFont="1" applyFill="1"/>
    <xf numFmtId="10" fontId="106" fillId="0" borderId="0" xfId="0" applyNumberFormat="1" applyFont="1"/>
    <xf numFmtId="9" fontId="53" fillId="0" borderId="0" xfId="36" applyFont="1" applyAlignment="1"/>
    <xf numFmtId="169" fontId="128" fillId="0" borderId="0" xfId="36" applyNumberFormat="1" applyFont="1" applyFill="1"/>
    <xf numFmtId="10" fontId="79" fillId="0" borderId="1" xfId="0" applyNumberFormat="1" applyFont="1" applyBorder="1" applyAlignment="1">
      <alignment horizontal="right"/>
    </xf>
    <xf numFmtId="10" fontId="77" fillId="0" borderId="0" xfId="0" applyNumberFormat="1" applyFont="1" applyAlignment="1">
      <alignment horizontal="right"/>
    </xf>
    <xf numFmtId="10" fontId="9" fillId="0" borderId="5" xfId="0" applyNumberFormat="1" applyFont="1" applyBorder="1" applyAlignment="1">
      <alignment horizontal="right"/>
    </xf>
    <xf numFmtId="3" fontId="9" fillId="0" borderId="0" xfId="35" applyNumberFormat="1" applyFont="1"/>
    <xf numFmtId="0" fontId="27" fillId="0" borderId="0" xfId="10" applyFont="1" applyAlignment="1">
      <alignment horizontal="left"/>
    </xf>
    <xf numFmtId="37" fontId="34" fillId="0" borderId="0" xfId="17" applyNumberFormat="1" applyFont="1"/>
    <xf numFmtId="0" fontId="6" fillId="0" borderId="0" xfId="0" applyFont="1" applyAlignment="1">
      <alignment wrapText="1"/>
    </xf>
    <xf numFmtId="0" fontId="25" fillId="0" borderId="0" xfId="0" applyFont="1" applyAlignment="1">
      <alignment horizontal="center"/>
    </xf>
    <xf numFmtId="0" fontId="25" fillId="0" borderId="0" xfId="9" applyFont="1" applyAlignment="1">
      <alignment horizontal="center"/>
    </xf>
    <xf numFmtId="0" fontId="27" fillId="0" borderId="15" xfId="10" applyFont="1" applyBorder="1" applyAlignment="1">
      <alignment horizontal="center"/>
    </xf>
    <xf numFmtId="0" fontId="25" fillId="0" borderId="43" xfId="10" applyFont="1" applyBorder="1" applyAlignment="1">
      <alignment horizontal="center"/>
    </xf>
    <xf numFmtId="0" fontId="25" fillId="0" borderId="15" xfId="10" applyFont="1" applyBorder="1" applyAlignment="1">
      <alignment horizontal="center"/>
    </xf>
    <xf numFmtId="0" fontId="119" fillId="0" borderId="0" xfId="10" applyFont="1" applyAlignment="1">
      <alignment horizontal="center"/>
    </xf>
    <xf numFmtId="3" fontId="25" fillId="0" borderId="0" xfId="0" applyNumberFormat="1" applyFont="1"/>
    <xf numFmtId="5" fontId="25" fillId="0" borderId="0" xfId="6" applyNumberFormat="1" applyFont="1" applyFill="1"/>
    <xf numFmtId="42" fontId="27" fillId="0" borderId="15" xfId="10" applyNumberFormat="1" applyFont="1" applyBorder="1" applyAlignment="1">
      <alignment horizontal="center"/>
    </xf>
    <xf numFmtId="42" fontId="27" fillId="0" borderId="0" xfId="10" applyNumberFormat="1" applyFont="1" applyAlignment="1">
      <alignment horizontal="center"/>
    </xf>
    <xf numFmtId="0" fontId="25" fillId="0" borderId="43" xfId="10" applyFont="1" applyBorder="1"/>
    <xf numFmtId="42" fontId="27" fillId="0" borderId="15" xfId="10" applyNumberFormat="1" applyFont="1" applyBorder="1"/>
    <xf numFmtId="0" fontId="25" fillId="0" borderId="15" xfId="10" applyFont="1" applyBorder="1"/>
    <xf numFmtId="167" fontId="25" fillId="0" borderId="15" xfId="10" applyNumberFormat="1" applyFont="1" applyBorder="1"/>
    <xf numFmtId="167" fontId="94" fillId="0" borderId="0" xfId="10" applyNumberFormat="1" applyFont="1"/>
    <xf numFmtId="9" fontId="80" fillId="0" borderId="0" xfId="36" applyFont="1" applyFill="1"/>
    <xf numFmtId="167" fontId="127" fillId="0" borderId="0" xfId="10" applyNumberFormat="1" applyFont="1"/>
    <xf numFmtId="179" fontId="80" fillId="0" borderId="0" xfId="41" applyNumberFormat="1" applyFont="1" applyFill="1"/>
    <xf numFmtId="10" fontId="92" fillId="0" borderId="0" xfId="36" applyNumberFormat="1" applyFont="1" applyFill="1" applyBorder="1"/>
    <xf numFmtId="179" fontId="76" fillId="0" borderId="0" xfId="41" applyNumberFormat="1" applyFont="1" applyFill="1" applyAlignment="1"/>
    <xf numFmtId="2" fontId="76" fillId="0" borderId="0" xfId="10" applyNumberFormat="1" applyFont="1"/>
    <xf numFmtId="3" fontId="76" fillId="0" borderId="0" xfId="10" applyNumberFormat="1" applyFont="1"/>
    <xf numFmtId="170" fontId="76" fillId="0" borderId="0" xfId="10" applyNumberFormat="1" applyFont="1"/>
    <xf numFmtId="4" fontId="76" fillId="0" borderId="0" xfId="10" applyNumberFormat="1" applyFont="1"/>
    <xf numFmtId="0" fontId="76" fillId="0" borderId="0" xfId="10" applyFont="1"/>
    <xf numFmtId="0" fontId="6" fillId="4" borderId="0" xfId="33" applyFont="1" applyFill="1"/>
    <xf numFmtId="0" fontId="74" fillId="0" borderId="0" xfId="8" applyFont="1" applyAlignment="1">
      <alignment horizontal="left"/>
    </xf>
    <xf numFmtId="169" fontId="53" fillId="0" borderId="0" xfId="36" applyNumberFormat="1" applyFont="1" applyFill="1" applyBorder="1" applyAlignment="1">
      <alignment vertical="center"/>
    </xf>
    <xf numFmtId="10" fontId="89" fillId="0" borderId="0" xfId="38" applyNumberFormat="1" applyFont="1" applyFill="1"/>
    <xf numFmtId="10" fontId="89" fillId="0" borderId="0" xfId="22" applyNumberFormat="1" applyFont="1"/>
    <xf numFmtId="169" fontId="130" fillId="0" borderId="0" xfId="36" applyNumberFormat="1" applyFont="1"/>
    <xf numFmtId="0" fontId="54" fillId="0" borderId="0" xfId="16" applyFont="1" applyAlignment="1">
      <alignment horizontal="center"/>
    </xf>
    <xf numFmtId="169" fontId="131" fillId="0" borderId="0" xfId="36" applyNumberFormat="1" applyFont="1" applyProtection="1"/>
    <xf numFmtId="0" fontId="54" fillId="0" borderId="0" xfId="16" applyFont="1"/>
    <xf numFmtId="10" fontId="54" fillId="0" borderId="0" xfId="36" applyNumberFormat="1" applyFont="1"/>
    <xf numFmtId="4" fontId="6" fillId="0" borderId="0" xfId="0" applyNumberFormat="1" applyFont="1"/>
    <xf numFmtId="0" fontId="132" fillId="0" borderId="0" xfId="0" applyFont="1"/>
    <xf numFmtId="0" fontId="98" fillId="0" borderId="0" xfId="0" applyFont="1" applyAlignment="1">
      <alignment horizontal="center"/>
    </xf>
    <xf numFmtId="0" fontId="132" fillId="0" borderId="0" xfId="0" applyFont="1" applyAlignment="1">
      <alignment horizontal="center"/>
    </xf>
    <xf numFmtId="3" fontId="6" fillId="0" borderId="0" xfId="22" applyNumberFormat="1" applyFont="1" applyAlignment="1">
      <alignment horizontal="right" vertical="center"/>
    </xf>
    <xf numFmtId="0" fontId="9" fillId="0" borderId="15" xfId="35" applyFont="1" applyBorder="1" applyAlignment="1">
      <alignment horizontal="centerContinuous" wrapText="1"/>
    </xf>
    <xf numFmtId="0" fontId="9" fillId="0" borderId="15" xfId="35" applyFont="1" applyBorder="1" applyAlignment="1">
      <alignment horizontal="centerContinuous"/>
    </xf>
    <xf numFmtId="0" fontId="9" fillId="0" borderId="15" xfId="35" applyFont="1" applyBorder="1" applyAlignment="1">
      <alignment horizontal="right" wrapText="1"/>
    </xf>
    <xf numFmtId="3" fontId="14" fillId="0" borderId="0" xfId="22" applyNumberFormat="1" applyFont="1" applyAlignment="1">
      <alignment horizontal="right"/>
    </xf>
    <xf numFmtId="0" fontId="14" fillId="0" borderId="0" xfId="35" applyAlignment="1">
      <alignment horizontal="center" vertical="top"/>
    </xf>
    <xf numFmtId="3" fontId="76" fillId="0" borderId="0" xfId="22" applyNumberFormat="1" applyFont="1" applyAlignment="1">
      <alignment horizontal="right" vertical="top"/>
    </xf>
    <xf numFmtId="0" fontId="92" fillId="0" borderId="0" xfId="11" applyFont="1"/>
    <xf numFmtId="164" fontId="133" fillId="0" borderId="0" xfId="11" applyNumberFormat="1" applyFont="1"/>
    <xf numFmtId="3" fontId="6" fillId="0" borderId="15" xfId="11" applyNumberFormat="1" applyFont="1" applyBorder="1"/>
    <xf numFmtId="167" fontId="6" fillId="0" borderId="13" xfId="11" applyNumberFormat="1" applyFont="1" applyBorder="1"/>
    <xf numFmtId="167" fontId="6" fillId="0" borderId="27" xfId="11" applyNumberFormat="1" applyFont="1" applyBorder="1"/>
    <xf numFmtId="3" fontId="6" fillId="0" borderId="28" xfId="11" applyNumberFormat="1" applyFont="1" applyBorder="1"/>
    <xf numFmtId="167" fontId="6" fillId="0" borderId="15" xfId="11" applyNumberFormat="1" applyFont="1" applyBorder="1"/>
    <xf numFmtId="3" fontId="6" fillId="0" borderId="27" xfId="11" applyNumberFormat="1" applyFont="1" applyBorder="1"/>
    <xf numFmtId="3" fontId="76" fillId="0" borderId="15" xfId="11" applyNumberFormat="1" applyFont="1" applyBorder="1"/>
    <xf numFmtId="0" fontId="74" fillId="0" borderId="0" xfId="11" applyFont="1"/>
    <xf numFmtId="3" fontId="74" fillId="0" borderId="0" xfId="11" applyNumberFormat="1" applyFont="1"/>
    <xf numFmtId="3" fontId="27" fillId="0" borderId="0" xfId="11" applyNumberFormat="1" applyFont="1"/>
    <xf numFmtId="167" fontId="27" fillId="0" borderId="0" xfId="11" applyNumberFormat="1" applyFont="1"/>
    <xf numFmtId="3" fontId="42" fillId="0" borderId="0" xfId="23" applyNumberFormat="1" applyFont="1"/>
    <xf numFmtId="3" fontId="76" fillId="0" borderId="0" xfId="23" applyNumberFormat="1" applyFont="1"/>
    <xf numFmtId="167" fontId="76" fillId="0" borderId="0" xfId="11" applyNumberFormat="1" applyFont="1"/>
    <xf numFmtId="0" fontId="19" fillId="0" borderId="0" xfId="20" applyFont="1" applyAlignment="1">
      <alignment horizontal="center"/>
    </xf>
    <xf numFmtId="0" fontId="6" fillId="0" borderId="0" xfId="20" applyFont="1" applyAlignment="1">
      <alignment horizontal="right"/>
    </xf>
    <xf numFmtId="173" fontId="6" fillId="0" borderId="0" xfId="19" applyNumberFormat="1" applyFont="1"/>
    <xf numFmtId="0" fontId="135" fillId="0" borderId="0" xfId="25" applyFont="1"/>
    <xf numFmtId="0" fontId="136" fillId="0" borderId="0" xfId="25" applyFont="1"/>
    <xf numFmtId="169" fontId="98" fillId="0" borderId="0" xfId="36" applyNumberFormat="1" applyFont="1"/>
    <xf numFmtId="0" fontId="14" fillId="0" borderId="0" xfId="14" applyFont="1"/>
    <xf numFmtId="0" fontId="30" fillId="0" borderId="0" xfId="14" applyFont="1" applyAlignment="1">
      <alignment horizontal="left"/>
    </xf>
    <xf numFmtId="9" fontId="118" fillId="0" borderId="0" xfId="14" applyNumberFormat="1" applyFont="1"/>
    <xf numFmtId="0" fontId="83" fillId="0" borderId="43" xfId="13" applyFont="1" applyBorder="1"/>
    <xf numFmtId="9" fontId="83" fillId="0" borderId="0" xfId="36" applyFont="1" applyFill="1"/>
    <xf numFmtId="9" fontId="138" fillId="0" borderId="0" xfId="14" applyNumberFormat="1" applyFont="1"/>
    <xf numFmtId="10" fontId="98" fillId="0" borderId="0" xfId="36" applyNumberFormat="1" applyFont="1" applyBorder="1"/>
    <xf numFmtId="0" fontId="135" fillId="0" borderId="0" xfId="13" applyFont="1"/>
    <xf numFmtId="167" fontId="26" fillId="4" borderId="0" xfId="17" applyNumberFormat="1" applyFont="1" applyFill="1"/>
    <xf numFmtId="0" fontId="135" fillId="4" borderId="0" xfId="33" applyFont="1" applyFill="1"/>
    <xf numFmtId="44" fontId="135" fillId="4" borderId="0" xfId="4" applyFont="1" applyFill="1"/>
    <xf numFmtId="3" fontId="143" fillId="4" borderId="0" xfId="32" applyNumberFormat="1" applyFont="1" applyFill="1"/>
    <xf numFmtId="164" fontId="143" fillId="4" borderId="0" xfId="32" applyNumberFormat="1" applyFont="1" applyFill="1" applyAlignment="1">
      <alignment horizontal="right"/>
    </xf>
    <xf numFmtId="0" fontId="137" fillId="4" borderId="0" xfId="32" applyFont="1" applyFill="1"/>
    <xf numFmtId="167" fontId="137" fillId="4" borderId="0" xfId="38" applyNumberFormat="1" applyFont="1" applyFill="1"/>
    <xf numFmtId="3" fontId="26" fillId="4" borderId="14" xfId="32" applyNumberFormat="1" applyFont="1" applyFill="1" applyBorder="1" applyAlignment="1">
      <alignment horizontal="left"/>
    </xf>
    <xf numFmtId="0" fontId="19" fillId="4" borderId="14" xfId="32" applyFont="1" applyFill="1" applyBorder="1" applyAlignment="1">
      <alignment horizontal="right" wrapText="1"/>
    </xf>
    <xf numFmtId="167" fontId="6" fillId="4" borderId="0" xfId="32" applyNumberFormat="1" applyFont="1" applyFill="1"/>
    <xf numFmtId="3" fontId="6" fillId="4" borderId="0" xfId="32" applyNumberFormat="1" applyFont="1" applyFill="1"/>
    <xf numFmtId="180" fontId="6" fillId="0" borderId="0" xfId="0" applyNumberFormat="1" applyFont="1"/>
    <xf numFmtId="0" fontId="75" fillId="0" borderId="19" xfId="84" applyFont="1" applyBorder="1" applyAlignment="1">
      <alignment horizontal="centerContinuous" vertical="center" wrapText="1"/>
    </xf>
    <xf numFmtId="0" fontId="100" fillId="0" borderId="0" xfId="8" applyFont="1"/>
    <xf numFmtId="0" fontId="100" fillId="0" borderId="0" xfId="8" applyFont="1" applyAlignment="1">
      <alignment horizontal="left"/>
    </xf>
    <xf numFmtId="0" fontId="132" fillId="0" borderId="0" xfId="8" applyFont="1"/>
    <xf numFmtId="0" fontId="132" fillId="0" borderId="0" xfId="8" applyFont="1" applyAlignment="1">
      <alignment horizontal="center"/>
    </xf>
    <xf numFmtId="0" fontId="148" fillId="0" borderId="0" xfId="8" applyFont="1"/>
    <xf numFmtId="2" fontId="100" fillId="0" borderId="0" xfId="8" applyNumberFormat="1" applyFont="1"/>
    <xf numFmtId="172" fontId="100" fillId="0" borderId="0" xfId="8" applyNumberFormat="1" applyFont="1"/>
    <xf numFmtId="0" fontId="100" fillId="0" borderId="0" xfId="8" applyFont="1" applyAlignment="1">
      <alignment horizontal="center"/>
    </xf>
    <xf numFmtId="3" fontId="100" fillId="0" borderId="0" xfId="8" applyNumberFormat="1" applyFont="1"/>
    <xf numFmtId="10" fontId="100" fillId="0" borderId="0" xfId="38" applyNumberFormat="1" applyFont="1" applyFill="1"/>
    <xf numFmtId="166" fontId="100" fillId="0" borderId="0" xfId="8" applyNumberFormat="1" applyFont="1" applyAlignment="1">
      <alignment horizontal="left"/>
    </xf>
    <xf numFmtId="10" fontId="134" fillId="0" borderId="0" xfId="38" applyNumberFormat="1" applyFont="1" applyFill="1"/>
    <xf numFmtId="10" fontId="100" fillId="0" borderId="0" xfId="36" applyNumberFormat="1" applyFont="1" applyAlignment="1"/>
    <xf numFmtId="0" fontId="129" fillId="0" borderId="0" xfId="0" applyFont="1" applyAlignment="1">
      <alignment horizontal="center"/>
    </xf>
    <xf numFmtId="0" fontId="124" fillId="0" borderId="0" xfId="16" applyFont="1"/>
    <xf numFmtId="7" fontId="124" fillId="0" borderId="0" xfId="16" applyNumberFormat="1" applyFont="1"/>
    <xf numFmtId="10" fontId="152" fillId="0" borderId="0" xfId="36" applyNumberFormat="1" applyFont="1"/>
    <xf numFmtId="10" fontId="132" fillId="0" borderId="0" xfId="0" applyNumberFormat="1" applyFont="1" applyAlignment="1">
      <alignment horizontal="center"/>
    </xf>
    <xf numFmtId="10" fontId="100" fillId="0" borderId="0" xfId="0" applyNumberFormat="1" applyFont="1" applyAlignment="1">
      <alignment horizontal="center"/>
    </xf>
    <xf numFmtId="2" fontId="98" fillId="0" borderId="0" xfId="0" applyNumberFormat="1" applyFont="1" applyAlignment="1">
      <alignment horizontal="center"/>
    </xf>
    <xf numFmtId="10" fontId="98" fillId="0" borderId="0" xfId="0" applyNumberFormat="1" applyFont="1" applyAlignment="1">
      <alignment horizontal="center"/>
    </xf>
    <xf numFmtId="169" fontId="98" fillId="0" borderId="0" xfId="0" applyNumberFormat="1" applyFont="1" applyAlignment="1">
      <alignment horizontal="right"/>
    </xf>
    <xf numFmtId="169" fontId="98" fillId="0" borderId="0" xfId="36" applyNumberFormat="1" applyFont="1" applyAlignment="1">
      <alignment horizontal="right"/>
    </xf>
    <xf numFmtId="0" fontId="153" fillId="0" borderId="0" xfId="0" applyFont="1"/>
    <xf numFmtId="2" fontId="153" fillId="0" borderId="0" xfId="0" applyNumberFormat="1" applyFont="1"/>
    <xf numFmtId="2" fontId="98" fillId="0" borderId="0" xfId="0" applyNumberFormat="1" applyFont="1"/>
    <xf numFmtId="10" fontId="98" fillId="0" borderId="0" xfId="0" applyNumberFormat="1" applyFont="1"/>
    <xf numFmtId="0" fontId="98" fillId="0" borderId="0" xfId="21" applyFont="1" applyAlignment="1">
      <alignment horizontal="left"/>
    </xf>
    <xf numFmtId="3" fontId="154" fillId="0" borderId="0" xfId="16" quotePrefix="1" applyNumberFormat="1" applyFont="1" applyAlignment="1">
      <alignment horizontal="center"/>
    </xf>
    <xf numFmtId="37" fontId="154" fillId="0" borderId="0" xfId="16" quotePrefix="1" applyNumberFormat="1" applyFont="1"/>
    <xf numFmtId="5" fontId="98" fillId="0" borderId="0" xfId="16" applyNumberFormat="1" applyFont="1"/>
    <xf numFmtId="37" fontId="98" fillId="0" borderId="0" xfId="16" applyNumberFormat="1" applyFont="1"/>
    <xf numFmtId="37" fontId="154" fillId="0" borderId="0" xfId="16" applyNumberFormat="1" applyFont="1"/>
    <xf numFmtId="0" fontId="88" fillId="3" borderId="9" xfId="16" applyFont="1" applyFill="1" applyBorder="1" applyAlignment="1">
      <alignment horizontal="center" wrapText="1"/>
    </xf>
    <xf numFmtId="0" fontId="27" fillId="0" borderId="9" xfId="16" applyFont="1" applyBorder="1" applyAlignment="1">
      <alignment horizontal="center" wrapText="1"/>
    </xf>
    <xf numFmtId="3" fontId="6" fillId="0" borderId="0" xfId="36" applyNumberFormat="1" applyFont="1" applyFill="1" applyBorder="1" applyAlignment="1"/>
    <xf numFmtId="3" fontId="98" fillId="0" borderId="0" xfId="36" applyNumberFormat="1" applyFont="1" applyFill="1"/>
    <xf numFmtId="5" fontId="6" fillId="0" borderId="0" xfId="16" applyNumberFormat="1" applyFont="1"/>
    <xf numFmtId="0" fontId="156" fillId="0" borderId="0" xfId="16" applyFont="1" applyAlignment="1">
      <alignment wrapText="1"/>
    </xf>
    <xf numFmtId="3" fontId="150" fillId="0" borderId="0" xfId="16" applyNumberFormat="1" applyFont="1"/>
    <xf numFmtId="0" fontId="150" fillId="0" borderId="0" xfId="16" applyFont="1"/>
    <xf numFmtId="7" fontId="150" fillId="0" borderId="0" xfId="16" applyNumberFormat="1" applyFont="1"/>
    <xf numFmtId="169" fontId="150" fillId="0" borderId="0" xfId="36" applyNumberFormat="1" applyFont="1" applyFill="1" applyAlignment="1">
      <alignment horizontal="center"/>
    </xf>
    <xf numFmtId="0" fontId="158" fillId="0" borderId="0" xfId="16" applyFont="1" applyAlignment="1">
      <alignment horizontal="center" wrapText="1"/>
    </xf>
    <xf numFmtId="3" fontId="158" fillId="0" borderId="0" xfId="16" applyNumberFormat="1" applyFont="1" applyAlignment="1">
      <alignment horizontal="center" wrapText="1"/>
    </xf>
    <xf numFmtId="1" fontId="150" fillId="0" borderId="0" xfId="16" applyNumberFormat="1" applyFont="1"/>
    <xf numFmtId="3" fontId="150" fillId="0" borderId="0" xfId="16" applyNumberFormat="1" applyFont="1" applyAlignment="1">
      <alignment horizontal="centerContinuous"/>
    </xf>
    <xf numFmtId="3" fontId="159" fillId="0" borderId="0" xfId="16" applyNumberFormat="1" applyFont="1" applyAlignment="1">
      <alignment horizontal="centerContinuous"/>
    </xf>
    <xf numFmtId="3" fontId="135" fillId="0" borderId="0" xfId="16" applyNumberFormat="1" applyFont="1"/>
    <xf numFmtId="3" fontId="140" fillId="0" borderId="45" xfId="16" applyNumberFormat="1" applyFont="1" applyBorder="1" applyAlignment="1">
      <alignment horizontal="centerContinuous"/>
    </xf>
    <xf numFmtId="3" fontId="135" fillId="0" borderId="45" xfId="16" applyNumberFormat="1" applyFont="1" applyBorder="1" applyAlignment="1">
      <alignment horizontal="centerContinuous"/>
    </xf>
    <xf numFmtId="0" fontId="135" fillId="0" borderId="0" xfId="16" applyFont="1"/>
    <xf numFmtId="3" fontId="160" fillId="0" borderId="0" xfId="16" applyNumberFormat="1" applyFont="1" applyAlignment="1">
      <alignment horizontal="center" wrapText="1"/>
    </xf>
    <xf numFmtId="0" fontId="160" fillId="0" borderId="0" xfId="16" applyFont="1" applyAlignment="1">
      <alignment horizontal="center" wrapText="1"/>
    </xf>
    <xf numFmtId="1" fontId="135" fillId="0" borderId="0" xfId="16" applyNumberFormat="1" applyFont="1"/>
    <xf numFmtId="169" fontId="135" fillId="0" borderId="0" xfId="36" applyNumberFormat="1" applyFont="1" applyFill="1" applyBorder="1" applyAlignment="1">
      <alignment horizontal="center"/>
    </xf>
    <xf numFmtId="0" fontId="9" fillId="0" borderId="0" xfId="14" applyFont="1" applyAlignment="1">
      <alignment horizontal="left"/>
    </xf>
    <xf numFmtId="0" fontId="19" fillId="0" borderId="0" xfId="14" applyFont="1" applyAlignment="1">
      <alignment horizontal="left"/>
    </xf>
    <xf numFmtId="37" fontId="19" fillId="0" borderId="43" xfId="14" applyNumberFormat="1" applyFont="1" applyBorder="1"/>
    <xf numFmtId="37" fontId="19" fillId="0" borderId="43" xfId="14" applyNumberFormat="1" applyFont="1" applyBorder="1" applyAlignment="1">
      <alignment horizontal="center"/>
    </xf>
    <xf numFmtId="3" fontId="98" fillId="0" borderId="41" xfId="10" applyNumberFormat="1" applyFont="1" applyBorder="1"/>
    <xf numFmtId="3" fontId="154" fillId="0" borderId="41" xfId="10" applyNumberFormat="1" applyFont="1" applyBorder="1"/>
    <xf numFmtId="168" fontId="98" fillId="0" borderId="0" xfId="10" applyNumberFormat="1" applyFont="1"/>
    <xf numFmtId="4" fontId="98" fillId="0" borderId="0" xfId="10" applyNumberFormat="1" applyFont="1"/>
    <xf numFmtId="4" fontId="98" fillId="0" borderId="41" xfId="10" applyNumberFormat="1" applyFont="1" applyBorder="1"/>
    <xf numFmtId="0" fontId="6" fillId="0" borderId="0" xfId="87"/>
    <xf numFmtId="0" fontId="6" fillId="0" borderId="0" xfId="87" applyAlignment="1">
      <alignment horizontal="center"/>
    </xf>
    <xf numFmtId="167" fontId="6" fillId="0" borderId="0" xfId="87" applyNumberFormat="1"/>
    <xf numFmtId="168" fontId="6" fillId="0" borderId="0" xfId="87" applyNumberFormat="1"/>
    <xf numFmtId="3" fontId="6" fillId="0" borderId="0" xfId="87" applyNumberFormat="1"/>
    <xf numFmtId="0" fontId="109" fillId="0" borderId="0" xfId="87" applyFont="1"/>
    <xf numFmtId="179" fontId="76" fillId="0" borderId="0" xfId="88" applyNumberFormat="1" applyFont="1" applyFill="1" applyAlignment="1"/>
    <xf numFmtId="3" fontId="76" fillId="0" borderId="0" xfId="87" applyNumberFormat="1" applyFont="1"/>
    <xf numFmtId="0" fontId="25" fillId="0" borderId="0" xfId="87" applyFont="1"/>
    <xf numFmtId="0" fontId="25" fillId="0" borderId="0" xfId="87" applyFont="1" applyAlignment="1">
      <alignment horizontal="center"/>
    </xf>
    <xf numFmtId="0" fontId="27" fillId="0" borderId="18" xfId="87" applyFont="1" applyBorder="1" applyAlignment="1">
      <alignment horizontal="left"/>
    </xf>
    <xf numFmtId="0" fontId="118" fillId="0" borderId="18" xfId="87" applyFont="1" applyBorder="1" applyAlignment="1">
      <alignment horizontal="left"/>
    </xf>
    <xf numFmtId="0" fontId="27" fillId="0" borderId="0" xfId="87" applyFont="1" applyAlignment="1">
      <alignment horizontal="center"/>
    </xf>
    <xf numFmtId="167" fontId="25" fillId="0" borderId="0" xfId="87" applyNumberFormat="1" applyFont="1"/>
    <xf numFmtId="3" fontId="25" fillId="0" borderId="0" xfId="87" applyNumberFormat="1" applyFont="1"/>
    <xf numFmtId="3" fontId="161" fillId="0" borderId="0" xfId="87" applyNumberFormat="1" applyFont="1"/>
    <xf numFmtId="3" fontId="25" fillId="0" borderId="0" xfId="90" applyNumberFormat="1" applyFont="1" applyFill="1"/>
    <xf numFmtId="3" fontId="25" fillId="0" borderId="0" xfId="91" applyNumberFormat="1" applyFont="1"/>
    <xf numFmtId="0" fontId="25" fillId="0" borderId="0" xfId="91" applyFont="1" applyAlignment="1">
      <alignment horizontal="center"/>
    </xf>
    <xf numFmtId="5" fontId="25" fillId="0" borderId="0" xfId="90" applyNumberFormat="1" applyFont="1" applyFill="1"/>
    <xf numFmtId="0" fontId="27" fillId="0" borderId="15" xfId="87" applyFont="1" applyBorder="1" applyAlignment="1">
      <alignment horizontal="center"/>
    </xf>
    <xf numFmtId="42" fontId="27" fillId="0" borderId="0" xfId="87" applyNumberFormat="1" applyFont="1"/>
    <xf numFmtId="0" fontId="27" fillId="0" borderId="0" xfId="87" applyFont="1"/>
    <xf numFmtId="0" fontId="161" fillId="0" borderId="0" xfId="87" applyFont="1" applyAlignment="1">
      <alignment horizontal="center"/>
    </xf>
    <xf numFmtId="0" fontId="80" fillId="0" borderId="0" xfId="87" applyFont="1"/>
    <xf numFmtId="167" fontId="25" fillId="0" borderId="15" xfId="87" applyNumberFormat="1" applyFont="1" applyBorder="1"/>
    <xf numFmtId="0" fontId="25" fillId="0" borderId="15" xfId="87" applyFont="1" applyBorder="1" applyAlignment="1">
      <alignment horizontal="center"/>
    </xf>
    <xf numFmtId="167" fontId="94" fillId="0" borderId="0" xfId="87" applyNumberFormat="1" applyFont="1"/>
    <xf numFmtId="179" fontId="25" fillId="0" borderId="0" xfId="88" applyNumberFormat="1" applyFont="1" applyFill="1"/>
    <xf numFmtId="179" fontId="25" fillId="0" borderId="0" xfId="87" applyNumberFormat="1" applyFont="1"/>
    <xf numFmtId="0" fontId="19" fillId="0" borderId="0" xfId="87" applyFont="1"/>
    <xf numFmtId="10" fontId="25" fillId="0" borderId="0" xfId="87" applyNumberFormat="1" applyFont="1"/>
    <xf numFmtId="167" fontId="27" fillId="0" borderId="0" xfId="87" applyNumberFormat="1" applyFont="1"/>
    <xf numFmtId="167" fontId="92" fillId="0" borderId="0" xfId="87" applyNumberFormat="1" applyFont="1"/>
    <xf numFmtId="3" fontId="27" fillId="0" borderId="0" xfId="87" applyNumberFormat="1" applyFont="1"/>
    <xf numFmtId="0" fontId="27" fillId="0" borderId="0" xfId="87" applyFont="1" applyAlignment="1">
      <alignment horizontal="left"/>
    </xf>
    <xf numFmtId="10" fontId="27" fillId="0" borderId="0" xfId="89" applyNumberFormat="1" applyFont="1" applyFill="1" applyAlignment="1">
      <alignment horizontal="left"/>
    </xf>
    <xf numFmtId="10" fontId="27" fillId="0" borderId="0" xfId="89" applyNumberFormat="1" applyFont="1" applyFill="1" applyBorder="1" applyAlignment="1">
      <alignment horizontal="left"/>
    </xf>
    <xf numFmtId="0" fontId="25" fillId="0" borderId="0" xfId="87" applyFont="1" applyAlignment="1">
      <alignment horizontal="right"/>
    </xf>
    <xf numFmtId="0" fontId="25" fillId="0" borderId="0" xfId="91" applyFont="1"/>
    <xf numFmtId="0" fontId="25" fillId="0" borderId="0" xfId="91" applyFont="1" applyAlignment="1">
      <alignment horizontal="left"/>
    </xf>
    <xf numFmtId="3" fontId="25" fillId="0" borderId="18" xfId="87" applyNumberFormat="1" applyFont="1" applyBorder="1"/>
    <xf numFmtId="167" fontId="121" fillId="0" borderId="0" xfId="87" applyNumberFormat="1" applyFont="1"/>
    <xf numFmtId="10" fontId="25" fillId="0" borderId="0" xfId="89" applyNumberFormat="1" applyFont="1" applyFill="1" applyAlignment="1">
      <alignment horizontal="left"/>
    </xf>
    <xf numFmtId="0" fontId="119" fillId="0" borderId="0" xfId="87" applyFont="1"/>
    <xf numFmtId="168" fontId="98" fillId="0" borderId="0" xfId="87" applyNumberFormat="1" applyFont="1"/>
    <xf numFmtId="4" fontId="98" fillId="0" borderId="0" xfId="87" applyNumberFormat="1" applyFont="1"/>
    <xf numFmtId="0" fontId="17" fillId="0" borderId="0" xfId="0" applyFont="1"/>
    <xf numFmtId="0" fontId="108" fillId="0" borderId="0" xfId="0" applyFont="1"/>
    <xf numFmtId="0" fontId="123" fillId="0" borderId="0" xfId="0" applyFont="1" applyAlignment="1">
      <alignment horizontal="center"/>
    </xf>
    <xf numFmtId="164" fontId="7" fillId="0" borderId="0" xfId="0" applyNumberFormat="1" applyFont="1"/>
    <xf numFmtId="9" fontId="125" fillId="0" borderId="0" xfId="36" applyFont="1" applyFill="1" applyAlignment="1"/>
    <xf numFmtId="3" fontId="7" fillId="0" borderId="0" xfId="0" applyNumberFormat="1" applyFont="1"/>
    <xf numFmtId="3" fontId="79" fillId="0" borderId="0" xfId="0" applyNumberFormat="1" applyFont="1"/>
    <xf numFmtId="164" fontId="124" fillId="0" borderId="0" xfId="0" applyNumberFormat="1" applyFont="1"/>
    <xf numFmtId="0" fontId="10" fillId="0" borderId="2" xfId="0" applyFont="1" applyBorder="1"/>
    <xf numFmtId="165" fontId="124" fillId="0" borderId="0" xfId="0" applyNumberFormat="1" applyFont="1"/>
    <xf numFmtId="0" fontId="135" fillId="0" borderId="0" xfId="0" applyFont="1"/>
    <xf numFmtId="0" fontId="135" fillId="0" borderId="0" xfId="84" applyFont="1"/>
    <xf numFmtId="0" fontId="136" fillId="0" borderId="0" xfId="0" applyFont="1" applyAlignment="1">
      <alignment vertical="top" wrapText="1"/>
    </xf>
    <xf numFmtId="0" fontId="135" fillId="0" borderId="0" xfId="0" applyFont="1" applyAlignment="1">
      <alignment vertical="top" wrapText="1"/>
    </xf>
    <xf numFmtId="0" fontId="26" fillId="0" borderId="19" xfId="30" applyFont="1" applyBorder="1" applyAlignment="1">
      <alignment horizontal="center"/>
    </xf>
    <xf numFmtId="167" fontId="42" fillId="0" borderId="0" xfId="1" applyNumberFormat="1" applyFill="1" applyAlignment="1">
      <alignment horizontal="center"/>
    </xf>
    <xf numFmtId="3" fontId="42" fillId="0" borderId="0" xfId="1" applyNumberFormat="1" applyFill="1" applyAlignment="1">
      <alignment horizontal="center"/>
    </xf>
    <xf numFmtId="0" fontId="162" fillId="0" borderId="0" xfId="87" applyFont="1"/>
    <xf numFmtId="0" fontId="121" fillId="0" borderId="0" xfId="87" applyFont="1"/>
    <xf numFmtId="0" fontId="104" fillId="0" borderId="18" xfId="87" applyFont="1" applyBorder="1" applyAlignment="1">
      <alignment horizontal="left"/>
    </xf>
    <xf numFmtId="0" fontId="104" fillId="0" borderId="41" xfId="87" applyFont="1" applyBorder="1" applyAlignment="1">
      <alignment horizontal="center"/>
    </xf>
    <xf numFmtId="3" fontId="121" fillId="0" borderId="0" xfId="87" applyNumberFormat="1" applyFont="1"/>
    <xf numFmtId="3" fontId="121" fillId="0" borderId="0" xfId="91" applyNumberFormat="1" applyFont="1"/>
    <xf numFmtId="167" fontId="104" fillId="0" borderId="15" xfId="87" applyNumberFormat="1" applyFont="1" applyBorder="1"/>
    <xf numFmtId="0" fontId="104" fillId="0" borderId="0" xfId="87" applyFont="1" applyAlignment="1">
      <alignment horizontal="center"/>
    </xf>
    <xf numFmtId="0" fontId="121" fillId="0" borderId="15" xfId="87" applyFont="1" applyBorder="1"/>
    <xf numFmtId="167" fontId="121" fillId="0" borderId="15" xfId="87" applyNumberFormat="1" applyFont="1" applyBorder="1"/>
    <xf numFmtId="179" fontId="121" fillId="0" borderId="0" xfId="88" applyNumberFormat="1" applyFont="1" applyFill="1"/>
    <xf numFmtId="179" fontId="121" fillId="0" borderId="0" xfId="87" applyNumberFormat="1" applyFont="1"/>
    <xf numFmtId="0" fontId="104" fillId="0" borderId="0" xfId="87" applyFont="1"/>
    <xf numFmtId="0" fontId="104" fillId="0" borderId="43" xfId="87" applyFont="1" applyBorder="1" applyAlignment="1">
      <alignment horizontal="center"/>
    </xf>
    <xf numFmtId="167" fontId="121" fillId="0" borderId="0" xfId="91" applyNumberFormat="1" applyFont="1"/>
    <xf numFmtId="10" fontId="121" fillId="0" borderId="0" xfId="91" applyNumberFormat="1" applyFont="1"/>
    <xf numFmtId="10" fontId="121" fillId="0" borderId="0" xfId="87" applyNumberFormat="1" applyFont="1"/>
    <xf numFmtId="0" fontId="104" fillId="0" borderId="15" xfId="87" applyFont="1" applyBorder="1"/>
    <xf numFmtId="10" fontId="104" fillId="0" borderId="15" xfId="89" applyNumberFormat="1" applyFont="1" applyFill="1" applyBorder="1"/>
    <xf numFmtId="0" fontId="104" fillId="0" borderId="13" xfId="87" applyFont="1" applyBorder="1"/>
    <xf numFmtId="167" fontId="104" fillId="0" borderId="13" xfId="87" applyNumberFormat="1" applyFont="1" applyBorder="1"/>
    <xf numFmtId="10" fontId="104" fillId="0" borderId="13" xfId="89" applyNumberFormat="1" applyFont="1" applyFill="1" applyBorder="1"/>
    <xf numFmtId="0" fontId="121" fillId="0" borderId="18" xfId="87" applyFont="1" applyBorder="1"/>
    <xf numFmtId="167" fontId="104" fillId="0" borderId="0" xfId="87" applyNumberFormat="1" applyFont="1"/>
    <xf numFmtId="10" fontId="104" fillId="0" borderId="0" xfId="36" applyNumberFormat="1" applyFont="1" applyFill="1" applyBorder="1"/>
    <xf numFmtId="10" fontId="121" fillId="0" borderId="0" xfId="36" applyNumberFormat="1" applyFont="1" applyFill="1"/>
    <xf numFmtId="3" fontId="104" fillId="0" borderId="0" xfId="87" applyNumberFormat="1" applyFont="1"/>
    <xf numFmtId="0" fontId="105" fillId="0" borderId="0" xfId="87" applyFont="1" applyAlignment="1">
      <alignment horizontal="left"/>
    </xf>
    <xf numFmtId="0" fontId="104" fillId="0" borderId="0" xfId="87" applyFont="1" applyAlignment="1">
      <alignment horizontal="left"/>
    </xf>
    <xf numFmtId="0" fontId="104" fillId="0" borderId="41" xfId="87" applyFont="1" applyBorder="1"/>
    <xf numFmtId="3" fontId="104" fillId="0" borderId="41" xfId="87" applyNumberFormat="1" applyFont="1" applyBorder="1" applyAlignment="1">
      <alignment horizontal="center"/>
    </xf>
    <xf numFmtId="167" fontId="121" fillId="0" borderId="0" xfId="91" quotePrefix="1" applyNumberFormat="1" applyFont="1" applyAlignment="1">
      <alignment horizontal="right"/>
    </xf>
    <xf numFmtId="167" fontId="121" fillId="0" borderId="0" xfId="87" applyNumberFormat="1" applyFont="1" applyAlignment="1">
      <alignment horizontal="right"/>
    </xf>
    <xf numFmtId="3" fontId="121" fillId="0" borderId="0" xfId="91" quotePrefix="1" applyNumberFormat="1" applyFont="1" applyAlignment="1">
      <alignment horizontal="right"/>
    </xf>
    <xf numFmtId="3" fontId="121" fillId="0" borderId="0" xfId="87" applyNumberFormat="1" applyFont="1" applyAlignment="1">
      <alignment horizontal="right"/>
    </xf>
    <xf numFmtId="0" fontId="121" fillId="0" borderId="0" xfId="87" applyFont="1" applyAlignment="1">
      <alignment horizontal="right"/>
    </xf>
    <xf numFmtId="3" fontId="121" fillId="0" borderId="0" xfId="91" applyNumberFormat="1" applyFont="1" applyAlignment="1">
      <alignment horizontal="right"/>
    </xf>
    <xf numFmtId="0" fontId="121" fillId="0" borderId="0" xfId="91" applyFont="1"/>
    <xf numFmtId="0" fontId="121" fillId="0" borderId="0" xfId="91" quotePrefix="1" applyFont="1" applyAlignment="1">
      <alignment horizontal="right"/>
    </xf>
    <xf numFmtId="0" fontId="121" fillId="0" borderId="0" xfId="91" applyFont="1" applyAlignment="1">
      <alignment horizontal="left"/>
    </xf>
    <xf numFmtId="0" fontId="121" fillId="0" borderId="0" xfId="91" applyFont="1" applyAlignment="1">
      <alignment horizontal="right"/>
    </xf>
    <xf numFmtId="3" fontId="121" fillId="0" borderId="18" xfId="87" applyNumberFormat="1" applyFont="1" applyBorder="1"/>
    <xf numFmtId="167" fontId="121" fillId="0" borderId="0" xfId="91" applyNumberFormat="1" applyFont="1" applyAlignment="1">
      <alignment horizontal="right"/>
    </xf>
    <xf numFmtId="0" fontId="121" fillId="0" borderId="0" xfId="87" applyFont="1" applyAlignment="1">
      <alignment horizontal="left"/>
    </xf>
    <xf numFmtId="10" fontId="121" fillId="0" borderId="0" xfId="89" applyNumberFormat="1" applyFont="1" applyFill="1"/>
    <xf numFmtId="42" fontId="104" fillId="0" borderId="0" xfId="87" applyNumberFormat="1" applyFont="1"/>
    <xf numFmtId="0" fontId="161" fillId="0" borderId="0" xfId="87" applyFont="1"/>
    <xf numFmtId="179" fontId="161" fillId="0" borderId="0" xfId="88" applyNumberFormat="1" applyFont="1" applyFill="1"/>
    <xf numFmtId="10" fontId="161" fillId="0" borderId="0" xfId="36" applyNumberFormat="1" applyFont="1" applyFill="1"/>
    <xf numFmtId="179" fontId="161" fillId="0" borderId="0" xfId="87" applyNumberFormat="1" applyFont="1"/>
    <xf numFmtId="10" fontId="80" fillId="0" borderId="0" xfId="89" applyNumberFormat="1" applyFont="1" applyFill="1" applyAlignment="1">
      <alignment horizontal="left"/>
    </xf>
    <xf numFmtId="10" fontId="92" fillId="0" borderId="0" xfId="89" applyNumberFormat="1" applyFont="1" applyFill="1" applyBorder="1" applyAlignment="1">
      <alignment horizontal="left"/>
    </xf>
    <xf numFmtId="10" fontId="80" fillId="0" borderId="0" xfId="89" applyNumberFormat="1" applyFont="1" applyFill="1" applyBorder="1" applyAlignment="1">
      <alignment horizontal="left"/>
    </xf>
    <xf numFmtId="3" fontId="25" fillId="0" borderId="0" xfId="87" applyNumberFormat="1" applyFont="1" applyAlignment="1">
      <alignment horizontal="left"/>
    </xf>
    <xf numFmtId="0" fontId="161" fillId="0" borderId="0" xfId="87" applyFont="1" applyAlignment="1">
      <alignment horizontal="right"/>
    </xf>
    <xf numFmtId="0" fontId="164" fillId="0" borderId="0" xfId="87" applyFont="1" applyAlignment="1">
      <alignment horizontal="center"/>
    </xf>
    <xf numFmtId="167" fontId="25" fillId="0" borderId="0" xfId="90" applyNumberFormat="1" applyFont="1" applyFill="1"/>
    <xf numFmtId="3" fontId="25" fillId="0" borderId="0" xfId="90" applyNumberFormat="1" applyFont="1" applyFill="1" applyBorder="1"/>
    <xf numFmtId="167" fontId="164" fillId="0" borderId="0" xfId="87" applyNumberFormat="1" applyFont="1"/>
    <xf numFmtId="167" fontId="164" fillId="0" borderId="0" xfId="90" applyNumberFormat="1" applyFont="1" applyFill="1"/>
    <xf numFmtId="0" fontId="104" fillId="0" borderId="0" xfId="87" applyFont="1" applyAlignment="1">
      <alignment horizontal="right"/>
    </xf>
    <xf numFmtId="0" fontId="105" fillId="0" borderId="0" xfId="87" applyFont="1" applyAlignment="1">
      <alignment horizontal="right"/>
    </xf>
    <xf numFmtId="10" fontId="121" fillId="0" borderId="0" xfId="89" applyNumberFormat="1" applyFont="1" applyFill="1" applyAlignment="1">
      <alignment horizontal="right"/>
    </xf>
    <xf numFmtId="0" fontId="98" fillId="0" borderId="0" xfId="87" applyFont="1" applyAlignment="1">
      <alignment horizontal="right"/>
    </xf>
    <xf numFmtId="10" fontId="25" fillId="0" borderId="15" xfId="89" applyNumberFormat="1" applyFont="1" applyFill="1" applyBorder="1"/>
    <xf numFmtId="0" fontId="140" fillId="0" borderId="41" xfId="87" applyFont="1" applyBorder="1" applyAlignment="1">
      <alignment horizontal="center"/>
    </xf>
    <xf numFmtId="0" fontId="19" fillId="0" borderId="43" xfId="87" applyFont="1" applyBorder="1" applyAlignment="1">
      <alignment horizontal="center"/>
    </xf>
    <xf numFmtId="0" fontId="140" fillId="0" borderId="43" xfId="87" applyFont="1" applyBorder="1" applyAlignment="1">
      <alignment horizontal="center"/>
    </xf>
    <xf numFmtId="0" fontId="19" fillId="0" borderId="0" xfId="87" applyFont="1" applyAlignment="1">
      <alignment horizontal="center"/>
    </xf>
    <xf numFmtId="0" fontId="140" fillId="0" borderId="0" xfId="87" applyFont="1" applyAlignment="1">
      <alignment horizontal="center"/>
    </xf>
    <xf numFmtId="0" fontId="19" fillId="0" borderId="41" xfId="87" applyFont="1" applyBorder="1" applyAlignment="1">
      <alignment horizontal="center"/>
    </xf>
    <xf numFmtId="167" fontId="80" fillId="0" borderId="15" xfId="87" applyNumberFormat="1" applyFont="1" applyBorder="1"/>
    <xf numFmtId="0" fontId="80" fillId="0" borderId="15" xfId="87" applyFont="1" applyBorder="1"/>
    <xf numFmtId="3" fontId="98" fillId="0" borderId="0" xfId="87" applyNumberFormat="1" applyFont="1"/>
    <xf numFmtId="0" fontId="135" fillId="0" borderId="0" xfId="28" applyFont="1"/>
    <xf numFmtId="0" fontId="135" fillId="0" borderId="0" xfId="28" applyFont="1" applyAlignment="1">
      <alignment horizontal="left"/>
    </xf>
    <xf numFmtId="0" fontId="151" fillId="4" borderId="0" xfId="33" applyFont="1" applyFill="1" applyAlignment="1">
      <alignment horizontal="left"/>
    </xf>
    <xf numFmtId="0" fontId="151" fillId="0" borderId="0" xfId="33" applyFont="1" applyAlignment="1">
      <alignment horizontal="left"/>
    </xf>
    <xf numFmtId="0" fontId="150" fillId="0" borderId="0" xfId="8" applyFont="1" applyAlignment="1">
      <alignment horizontal="left" vertical="center"/>
    </xf>
    <xf numFmtId="3" fontId="135" fillId="0" borderId="0" xfId="0" applyNumberFormat="1" applyFont="1"/>
    <xf numFmtId="0" fontId="150" fillId="0" borderId="0" xfId="0" applyFont="1"/>
    <xf numFmtId="0" fontId="166" fillId="0" borderId="0" xfId="0" applyFont="1"/>
    <xf numFmtId="176" fontId="6" fillId="0" borderId="0" xfId="22" applyNumberFormat="1" applyFont="1" applyAlignment="1">
      <alignment horizontal="center" vertical="center"/>
    </xf>
    <xf numFmtId="176" fontId="19" fillId="0" borderId="15" xfId="22" applyNumberFormat="1" applyFont="1" applyBorder="1" applyAlignment="1">
      <alignment horizontal="center" vertical="center"/>
    </xf>
    <xf numFmtId="0" fontId="22" fillId="0" borderId="0" xfId="22" applyFont="1" applyAlignment="1">
      <alignment horizontal="center"/>
    </xf>
    <xf numFmtId="0" fontId="135" fillId="0" borderId="0" xfId="84" applyFont="1" applyAlignment="1">
      <alignment horizontal="center"/>
    </xf>
    <xf numFmtId="0" fontId="135" fillId="0" borderId="0" xfId="11" applyFont="1"/>
    <xf numFmtId="0" fontId="135" fillId="0" borderId="0" xfId="25" applyFont="1" applyAlignment="1">
      <alignment horizontal="right"/>
    </xf>
    <xf numFmtId="0" fontId="140" fillId="0" borderId="0" xfId="25" applyFont="1"/>
    <xf numFmtId="0" fontId="19" fillId="0" borderId="41" xfId="0" applyFont="1" applyBorder="1" applyAlignment="1">
      <alignment horizontal="left" wrapText="1"/>
    </xf>
    <xf numFmtId="0" fontId="30" fillId="0" borderId="13" xfId="21" applyFont="1" applyBorder="1" applyAlignment="1">
      <alignment horizontal="left"/>
    </xf>
    <xf numFmtId="0" fontId="30" fillId="0" borderId="0" xfId="21" applyFont="1" applyAlignment="1">
      <alignment horizontal="left"/>
    </xf>
    <xf numFmtId="0" fontId="135" fillId="0" borderId="0" xfId="16" applyFont="1" applyAlignment="1">
      <alignment horizontal="left" vertical="center"/>
    </xf>
    <xf numFmtId="37" fontId="135" fillId="0" borderId="0" xfId="16" applyNumberFormat="1" applyFont="1" applyAlignment="1">
      <alignment vertical="center"/>
    </xf>
    <xf numFmtId="37" fontId="150" fillId="0" borderId="0" xfId="16" applyNumberFormat="1" applyFont="1" applyAlignment="1">
      <alignment vertical="center"/>
    </xf>
    <xf numFmtId="0" fontId="135" fillId="0" borderId="0" xfId="16" applyFont="1" applyAlignment="1">
      <alignment vertical="center"/>
    </xf>
    <xf numFmtId="3" fontId="150" fillId="0" borderId="0" xfId="16" applyNumberFormat="1" applyFont="1" applyAlignment="1">
      <alignment vertical="center"/>
    </xf>
    <xf numFmtId="0" fontId="150" fillId="0" borderId="0" xfId="16" applyFont="1" applyAlignment="1">
      <alignment vertical="center"/>
    </xf>
    <xf numFmtId="0" fontId="151" fillId="0" borderId="0" xfId="16" applyFont="1" applyAlignment="1">
      <alignment vertical="center"/>
    </xf>
    <xf numFmtId="10" fontId="135" fillId="0" borderId="0" xfId="36" applyNumberFormat="1" applyFont="1" applyAlignment="1">
      <alignment vertical="center"/>
    </xf>
    <xf numFmtId="2" fontId="135" fillId="0" borderId="0" xfId="16" applyNumberFormat="1" applyFont="1" applyAlignment="1">
      <alignment vertical="center"/>
    </xf>
    <xf numFmtId="0" fontId="136" fillId="0" borderId="0" xfId="16" applyFont="1" applyAlignment="1">
      <alignment vertical="center"/>
    </xf>
    <xf numFmtId="0" fontId="136" fillId="0" borderId="0" xfId="0" applyFont="1" applyAlignment="1">
      <alignment vertical="center"/>
    </xf>
    <xf numFmtId="0" fontId="136" fillId="0" borderId="0" xfId="16" applyFont="1" applyAlignment="1">
      <alignment horizontal="left" vertical="center"/>
    </xf>
    <xf numFmtId="0" fontId="136" fillId="0" borderId="0" xfId="16" applyFont="1" applyAlignment="1">
      <alignment horizontal="left" vertical="center" wrapText="1"/>
    </xf>
    <xf numFmtId="37" fontId="7" fillId="0" borderId="0" xfId="16" applyNumberFormat="1"/>
    <xf numFmtId="9" fontId="7" fillId="0" borderId="0" xfId="36" applyFont="1"/>
    <xf numFmtId="167" fontId="154" fillId="0" borderId="0" xfId="16" applyNumberFormat="1" applyFont="1" applyAlignment="1">
      <alignment horizontal="center"/>
    </xf>
    <xf numFmtId="3" fontId="154" fillId="0" borderId="0" xfId="16" applyNumberFormat="1" applyFont="1" applyAlignment="1">
      <alignment horizontal="center"/>
    </xf>
    <xf numFmtId="41" fontId="25" fillId="0" borderId="0" xfId="87" applyNumberFormat="1" applyFont="1"/>
    <xf numFmtId="0" fontId="19" fillId="0" borderId="41" xfId="87" applyFont="1" applyBorder="1"/>
    <xf numFmtId="0" fontId="6" fillId="0" borderId="41" xfId="87" applyBorder="1"/>
    <xf numFmtId="169" fontId="112" fillId="0" borderId="41" xfId="36" applyNumberFormat="1" applyFont="1" applyFill="1" applyBorder="1" applyAlignment="1"/>
    <xf numFmtId="0" fontId="167" fillId="0" borderId="0" xfId="87" applyFont="1"/>
    <xf numFmtId="0" fontId="9" fillId="0" borderId="0" xfId="87" applyFont="1"/>
    <xf numFmtId="0" fontId="19" fillId="0" borderId="46" xfId="87" applyFont="1" applyBorder="1" applyAlignment="1">
      <alignment horizontal="center" vertical="center" wrapText="1"/>
    </xf>
    <xf numFmtId="42" fontId="27" fillId="0" borderId="15" xfId="87" applyNumberFormat="1" applyFont="1" applyBorder="1"/>
    <xf numFmtId="167" fontId="27" fillId="0" borderId="15" xfId="87" applyNumberFormat="1" applyFont="1" applyBorder="1"/>
    <xf numFmtId="0" fontId="27" fillId="0" borderId="15" xfId="87" applyFont="1" applyBorder="1"/>
    <xf numFmtId="42" fontId="27" fillId="0" borderId="15" xfId="87" applyNumberFormat="1" applyFont="1" applyBorder="1" applyAlignment="1">
      <alignment horizontal="center"/>
    </xf>
    <xf numFmtId="164" fontId="12" fillId="0" borderId="1" xfId="0" applyNumberFormat="1" applyFont="1" applyBorder="1" applyAlignment="1">
      <alignment horizontal="center"/>
    </xf>
    <xf numFmtId="0" fontId="0" fillId="0" borderId="0" xfId="0" applyAlignment="1">
      <alignment horizontal="right" indent="3"/>
    </xf>
    <xf numFmtId="167" fontId="14" fillId="0" borderId="0" xfId="35" applyNumberFormat="1" applyAlignment="1">
      <alignment horizontal="right" vertical="top"/>
    </xf>
    <xf numFmtId="0" fontId="32" fillId="0" borderId="15" xfId="35" applyFont="1" applyBorder="1" applyAlignment="1">
      <alignment horizontal="centerContinuous" wrapText="1"/>
    </xf>
    <xf numFmtId="0" fontId="32" fillId="0" borderId="15" xfId="35" applyFont="1" applyBorder="1" applyAlignment="1">
      <alignment horizontal="right" wrapText="1"/>
    </xf>
    <xf numFmtId="0" fontId="32" fillId="0" borderId="15" xfId="35" applyFont="1" applyBorder="1" applyAlignment="1">
      <alignment horizontal="right"/>
    </xf>
    <xf numFmtId="0" fontId="32" fillId="0" borderId="15" xfId="35" applyFont="1" applyBorder="1" applyAlignment="1">
      <alignment horizontal="right" indent="1"/>
    </xf>
    <xf numFmtId="0" fontId="18" fillId="0" borderId="6" xfId="14" applyFont="1" applyBorder="1" applyAlignment="1">
      <alignment horizontal="left"/>
    </xf>
    <xf numFmtId="0" fontId="18" fillId="0" borderId="0" xfId="14" applyFont="1" applyAlignment="1">
      <alignment horizontal="left"/>
    </xf>
    <xf numFmtId="0" fontId="20" fillId="0" borderId="0" xfId="14" applyFont="1" applyAlignment="1">
      <alignment horizontal="left"/>
    </xf>
    <xf numFmtId="0" fontId="19" fillId="0" borderId="43" xfId="14" applyFont="1" applyBorder="1" applyAlignment="1">
      <alignment horizontal="left"/>
    </xf>
    <xf numFmtId="0" fontId="95" fillId="0" borderId="0" xfId="86" applyFill="1" applyAlignment="1" applyProtection="1"/>
    <xf numFmtId="0" fontId="19" fillId="0" borderId="19" xfId="11" applyFont="1" applyBorder="1" applyAlignment="1">
      <alignment horizontal="center"/>
    </xf>
    <xf numFmtId="0" fontId="19" fillId="0" borderId="46" xfId="11" applyFont="1" applyBorder="1"/>
    <xf numFmtId="3" fontId="19" fillId="0" borderId="41" xfId="11" applyNumberFormat="1" applyFont="1" applyBorder="1" applyAlignment="1">
      <alignment horizontal="center"/>
    </xf>
    <xf numFmtId="3" fontId="91" fillId="0" borderId="41" xfId="11" applyNumberFormat="1" applyFont="1" applyBorder="1" applyAlignment="1">
      <alignment horizontal="center"/>
    </xf>
    <xf numFmtId="0" fontId="91" fillId="0" borderId="41" xfId="11" applyFont="1" applyBorder="1" applyAlignment="1">
      <alignment horizontal="center"/>
    </xf>
    <xf numFmtId="3" fontId="6" fillId="0" borderId="41" xfId="11" applyNumberFormat="1" applyFont="1" applyBorder="1"/>
    <xf numFmtId="3" fontId="76" fillId="0" borderId="41" xfId="11" applyNumberFormat="1" applyFont="1" applyBorder="1"/>
    <xf numFmtId="164" fontId="6" fillId="0" borderId="41" xfId="11" applyNumberFormat="1" applyFont="1" applyBorder="1"/>
    <xf numFmtId="0" fontId="6" fillId="0" borderId="41" xfId="11" applyFont="1" applyBorder="1"/>
    <xf numFmtId="0" fontId="76" fillId="0" borderId="41" xfId="11" applyFont="1" applyBorder="1"/>
    <xf numFmtId="3" fontId="19" fillId="0" borderId="29" xfId="11" applyNumberFormat="1" applyFont="1" applyBorder="1" applyAlignment="1">
      <alignment horizontal="centerContinuous"/>
    </xf>
    <xf numFmtId="0" fontId="19" fillId="0" borderId="0" xfId="87" applyFont="1" applyAlignment="1">
      <alignment horizontal="left"/>
    </xf>
    <xf numFmtId="0" fontId="95" fillId="0" borderId="0" xfId="86" applyAlignment="1" applyProtection="1">
      <alignment horizontal="right"/>
    </xf>
    <xf numFmtId="0" fontId="0" fillId="0" borderId="0" xfId="0" applyAlignment="1">
      <alignment wrapText="1"/>
    </xf>
    <xf numFmtId="0" fontId="24" fillId="0" borderId="0" xfId="8" applyFont="1"/>
    <xf numFmtId="0" fontId="6" fillId="0" borderId="0" xfId="0" applyFont="1" applyAlignment="1">
      <alignment horizontal="left" wrapText="1"/>
    </xf>
    <xf numFmtId="3" fontId="6" fillId="0" borderId="0" xfId="40" applyNumberFormat="1" applyAlignment="1">
      <alignment horizontal="right"/>
    </xf>
    <xf numFmtId="37" fontId="6" fillId="0" borderId="0" xfId="88" applyNumberFormat="1" applyFont="1" applyBorder="1" applyAlignment="1">
      <alignment horizontal="right" wrapText="1"/>
    </xf>
    <xf numFmtId="0" fontId="6" fillId="0" borderId="0" xfId="91" applyFont="1" applyAlignment="1">
      <alignment wrapText="1"/>
    </xf>
    <xf numFmtId="0" fontId="168" fillId="0" borderId="0" xfId="16" applyFont="1" applyAlignment="1">
      <alignment vertical="center"/>
    </xf>
    <xf numFmtId="0" fontId="168" fillId="0" borderId="0" xfId="8" applyFont="1" applyAlignment="1">
      <alignment horizontal="left" vertical="center"/>
    </xf>
    <xf numFmtId="41" fontId="154" fillId="36" borderId="0" xfId="16" quotePrefix="1" applyNumberFormat="1" applyFont="1" applyFill="1"/>
    <xf numFmtId="41" fontId="14" fillId="0" borderId="0" xfId="16" applyNumberFormat="1" applyFont="1"/>
    <xf numFmtId="41" fontId="14" fillId="36" borderId="0" xfId="16" applyNumberFormat="1" applyFont="1" applyFill="1"/>
    <xf numFmtId="41" fontId="6" fillId="0" borderId="0" xfId="16" applyNumberFormat="1" applyFont="1" applyAlignment="1">
      <alignment horizontal="center"/>
    </xf>
    <xf numFmtId="41" fontId="98" fillId="0" borderId="0" xfId="16" applyNumberFormat="1" applyFont="1"/>
    <xf numFmtId="41" fontId="6" fillId="0" borderId="0" xfId="16" quotePrefix="1" applyNumberFormat="1" applyFont="1"/>
    <xf numFmtId="41" fontId="6" fillId="36" borderId="0" xfId="16" quotePrefix="1" applyNumberFormat="1" applyFont="1" applyFill="1"/>
    <xf numFmtId="41" fontId="169" fillId="36" borderId="0" xfId="16" quotePrefix="1" applyNumberFormat="1" applyFont="1" applyFill="1"/>
    <xf numFmtId="41" fontId="6" fillId="0" borderId="0" xfId="16" applyNumberFormat="1" applyFont="1"/>
    <xf numFmtId="41" fontId="6" fillId="0" borderId="0" xfId="16" quotePrefix="1" applyNumberFormat="1" applyFont="1" applyAlignment="1">
      <alignment horizontal="center"/>
    </xf>
    <xf numFmtId="0" fontId="27" fillId="3" borderId="9" xfId="16" applyFont="1" applyFill="1" applyBorder="1" applyAlignment="1">
      <alignment horizontal="center" wrapText="1"/>
    </xf>
    <xf numFmtId="42" fontId="14" fillId="0" borderId="0" xfId="16" applyNumberFormat="1" applyFont="1"/>
    <xf numFmtId="42" fontId="169" fillId="36" borderId="0" xfId="16" quotePrefix="1" applyNumberFormat="1" applyFont="1" applyFill="1"/>
    <xf numFmtId="42" fontId="6" fillId="0" borderId="0" xfId="16" applyNumberFormat="1" applyFont="1" applyAlignment="1">
      <alignment horizontal="center"/>
    </xf>
    <xf numFmtId="42" fontId="14" fillId="36" borderId="0" xfId="16" applyNumberFormat="1" applyFont="1" applyFill="1"/>
    <xf numFmtId="42" fontId="98" fillId="0" borderId="0" xfId="16" applyNumberFormat="1" applyFont="1"/>
    <xf numFmtId="0" fontId="27" fillId="0" borderId="17" xfId="16" applyFont="1" applyBorder="1" applyAlignment="1">
      <alignment horizontal="centerContinuous"/>
    </xf>
    <xf numFmtId="0" fontId="0" fillId="0" borderId="17" xfId="0" applyBorder="1" applyAlignment="1">
      <alignment horizontal="centerContinuous"/>
    </xf>
    <xf numFmtId="0" fontId="88" fillId="0" borderId="9" xfId="16" applyFont="1" applyBorder="1" applyAlignment="1">
      <alignment horizontal="center" wrapText="1"/>
    </xf>
    <xf numFmtId="0" fontId="14" fillId="0" borderId="0" xfId="16" applyFont="1" applyAlignment="1">
      <alignment horizontal="right" indent="1"/>
    </xf>
    <xf numFmtId="0" fontId="54" fillId="0" borderId="0" xfId="16" applyFont="1" applyAlignment="1">
      <alignment horizontal="right" indent="1"/>
    </xf>
    <xf numFmtId="3" fontId="19" fillId="0" borderId="41" xfId="11" applyNumberFormat="1" applyFont="1" applyBorder="1"/>
    <xf numFmtId="3" fontId="91" fillId="0" borderId="41" xfId="11" applyNumberFormat="1" applyFont="1" applyBorder="1"/>
    <xf numFmtId="0" fontId="6" fillId="0" borderId="0" xfId="91" applyFont="1"/>
    <xf numFmtId="37" fontId="24" fillId="0" borderId="0" xfId="17" applyNumberFormat="1" applyFont="1" applyAlignment="1">
      <alignment horizontal="left"/>
    </xf>
    <xf numFmtId="0" fontId="14" fillId="0" borderId="0" xfId="17" applyFont="1" applyAlignment="1">
      <alignment horizontal="left"/>
    </xf>
    <xf numFmtId="37" fontId="29" fillId="0" borderId="0" xfId="17" applyNumberFormat="1" applyFont="1"/>
    <xf numFmtId="0" fontId="29" fillId="0" borderId="0" xfId="17" applyFont="1"/>
    <xf numFmtId="37" fontId="14" fillId="0" borderId="0" xfId="17" applyNumberFormat="1" applyFont="1" applyAlignment="1">
      <alignment horizontal="center"/>
    </xf>
    <xf numFmtId="37" fontId="14" fillId="0" borderId="0" xfId="17" applyNumberFormat="1" applyFont="1" applyAlignment="1">
      <alignment horizontal="centerContinuous"/>
    </xf>
    <xf numFmtId="0" fontId="95" fillId="0" borderId="0" xfId="86" applyFill="1" applyAlignment="1" applyProtection="1">
      <alignment horizontal="right"/>
    </xf>
    <xf numFmtId="0" fontId="145" fillId="0" borderId="0" xfId="17" applyFont="1"/>
    <xf numFmtId="3" fontId="145" fillId="0" borderId="0" xfId="17" applyNumberFormat="1" applyFont="1"/>
    <xf numFmtId="37" fontId="144" fillId="0" borderId="0" xfId="17" applyNumberFormat="1" applyFont="1"/>
    <xf numFmtId="0" fontId="144" fillId="0" borderId="0" xfId="17" applyFont="1"/>
    <xf numFmtId="37" fontId="19" fillId="0" borderId="0" xfId="17" applyNumberFormat="1" applyFont="1" applyAlignment="1">
      <alignment horizontal="left"/>
    </xf>
    <xf numFmtId="37" fontId="84" fillId="0" borderId="0" xfId="17" applyNumberFormat="1" applyFont="1" applyAlignment="1">
      <alignment horizontal="left"/>
    </xf>
    <xf numFmtId="5" fontId="33" fillId="0" borderId="9" xfId="17" applyNumberFormat="1" applyFont="1" applyBorder="1" applyAlignment="1">
      <alignment wrapText="1"/>
    </xf>
    <xf numFmtId="37" fontId="101" fillId="0" borderId="9" xfId="17" applyNumberFormat="1" applyFont="1" applyBorder="1" applyAlignment="1">
      <alignment horizontal="center" wrapText="1"/>
    </xf>
    <xf numFmtId="37" fontId="33" fillId="0" borderId="9" xfId="17" applyNumberFormat="1" applyFont="1" applyBorder="1" applyAlignment="1">
      <alignment horizontal="center" wrapText="1"/>
    </xf>
    <xf numFmtId="0" fontId="33" fillId="0" borderId="0" xfId="17" applyFont="1"/>
    <xf numFmtId="37" fontId="33" fillId="0" borderId="0" xfId="17" applyNumberFormat="1" applyFont="1" applyAlignment="1">
      <alignment horizontal="center"/>
    </xf>
    <xf numFmtId="5" fontId="33" fillId="0" borderId="17" xfId="17" applyNumberFormat="1" applyFont="1" applyBorder="1" applyAlignment="1">
      <alignment horizontal="center"/>
    </xf>
    <xf numFmtId="37" fontId="101" fillId="0" borderId="17" xfId="17" applyNumberFormat="1" applyFont="1" applyBorder="1" applyAlignment="1">
      <alignment horizontal="center" vertical="center" wrapText="1"/>
    </xf>
    <xf numFmtId="37" fontId="33" fillId="0" borderId="17" xfId="17" applyNumberFormat="1" applyFont="1" applyBorder="1" applyAlignment="1">
      <alignment horizontal="center" vertical="center" wrapText="1"/>
    </xf>
    <xf numFmtId="5" fontId="34" fillId="0" borderId="0" xfId="17" applyNumberFormat="1" applyFont="1"/>
    <xf numFmtId="10" fontId="35" fillId="0" borderId="0" xfId="38" applyNumberFormat="1" applyFont="1" applyFill="1" applyBorder="1" applyProtection="1"/>
    <xf numFmtId="0" fontId="34" fillId="0" borderId="0" xfId="17" applyFont="1"/>
    <xf numFmtId="5" fontId="94" fillId="0" borderId="0" xfId="17" applyNumberFormat="1" applyFont="1"/>
    <xf numFmtId="0" fontId="15" fillId="0" borderId="0" xfId="17" applyFont="1"/>
    <xf numFmtId="5" fontId="33" fillId="0" borderId="8" xfId="17" applyNumberFormat="1" applyFont="1" applyBorder="1" applyAlignment="1">
      <alignment vertical="center"/>
    </xf>
    <xf numFmtId="10" fontId="35" fillId="0" borderId="0" xfId="38" applyNumberFormat="1" applyFont="1" applyFill="1" applyProtection="1"/>
    <xf numFmtId="5" fontId="34" fillId="0" borderId="1" xfId="17" applyNumberFormat="1" applyFont="1" applyBorder="1"/>
    <xf numFmtId="0" fontId="34" fillId="0" borderId="1" xfId="17" applyFont="1" applyBorder="1"/>
    <xf numFmtId="37" fontId="14" fillId="0" borderId="0" xfId="17" applyNumberFormat="1" applyFont="1"/>
    <xf numFmtId="0" fontId="14" fillId="0" borderId="0" xfId="17" applyFont="1"/>
    <xf numFmtId="4" fontId="14" fillId="0" borderId="0" xfId="27" applyNumberFormat="1"/>
    <xf numFmtId="37" fontId="15" fillId="0" borderId="0" xfId="27" applyNumberFormat="1" applyFont="1"/>
    <xf numFmtId="0" fontId="33" fillId="0" borderId="8" xfId="17" applyFont="1" applyBorder="1"/>
    <xf numFmtId="5" fontId="33" fillId="0" borderId="8" xfId="17" applyNumberFormat="1" applyFont="1" applyBorder="1"/>
    <xf numFmtId="0" fontId="84" fillId="0" borderId="0" xfId="17" applyFont="1"/>
    <xf numFmtId="0" fontId="27" fillId="0" borderId="46" xfId="87" applyFont="1" applyBorder="1" applyAlignment="1">
      <alignment horizontal="center" vertical="center" wrapText="1"/>
    </xf>
    <xf numFmtId="0" fontId="165" fillId="0" borderId="0" xfId="87" applyFont="1" applyAlignment="1">
      <alignment horizontal="left"/>
    </xf>
    <xf numFmtId="0" fontId="165" fillId="0" borderId="43" xfId="87" applyFont="1" applyBorder="1" applyAlignment="1">
      <alignment horizontal="centerContinuous"/>
    </xf>
    <xf numFmtId="0" fontId="27" fillId="0" borderId="0" xfId="87" applyFont="1" applyAlignment="1">
      <alignment horizontal="right" indent="1"/>
    </xf>
    <xf numFmtId="0" fontId="19" fillId="0" borderId="0" xfId="87" applyFont="1" applyAlignment="1">
      <alignment horizontal="right" indent="1"/>
    </xf>
    <xf numFmtId="0" fontId="25" fillId="0" borderId="0" xfId="87" applyFont="1" applyAlignment="1">
      <alignment horizontal="right" indent="1"/>
    </xf>
    <xf numFmtId="167" fontId="25" fillId="0" borderId="0" xfId="87" applyNumberFormat="1" applyFont="1" applyAlignment="1">
      <alignment horizontal="right" indent="1"/>
    </xf>
    <xf numFmtId="167" fontId="25" fillId="0" borderId="15" xfId="87" applyNumberFormat="1" applyFont="1" applyBorder="1" applyAlignment="1">
      <alignment horizontal="right" indent="1"/>
    </xf>
    <xf numFmtId="0" fontId="165" fillId="0" borderId="43" xfId="87" applyFont="1" applyBorder="1" applyAlignment="1">
      <alignment horizontal="centerContinuous" vertical="center"/>
    </xf>
    <xf numFmtId="0" fontId="19" fillId="0" borderId="0" xfId="87" applyFont="1" applyAlignment="1">
      <alignment horizontal="left" vertical="top"/>
    </xf>
    <xf numFmtId="0" fontId="25" fillId="0" borderId="13" xfId="87" applyFont="1" applyBorder="1"/>
    <xf numFmtId="167" fontId="25" fillId="0" borderId="13" xfId="87" applyNumberFormat="1" applyFont="1" applyBorder="1"/>
    <xf numFmtId="167" fontId="25" fillId="0" borderId="13" xfId="87" applyNumberFormat="1" applyFont="1" applyBorder="1" applyAlignment="1">
      <alignment horizontal="right" indent="1"/>
    </xf>
    <xf numFmtId="10" fontId="25" fillId="0" borderId="13" xfId="89" applyNumberFormat="1" applyFont="1" applyFill="1" applyBorder="1"/>
    <xf numFmtId="167" fontId="27" fillId="0" borderId="0" xfId="87" applyNumberFormat="1" applyFont="1" applyAlignment="1">
      <alignment horizontal="right" indent="1"/>
    </xf>
    <xf numFmtId="10" fontId="27" fillId="0" borderId="0" xfId="89" applyNumberFormat="1" applyFont="1" applyFill="1" applyBorder="1"/>
    <xf numFmtId="0" fontId="25" fillId="0" borderId="0" xfId="87" applyFont="1" applyAlignment="1">
      <alignment vertical="top"/>
    </xf>
    <xf numFmtId="10" fontId="27" fillId="0" borderId="0" xfId="89" applyNumberFormat="1" applyFont="1" applyFill="1" applyBorder="1" applyAlignment="1">
      <alignment horizontal="left" vertical="top"/>
    </xf>
    <xf numFmtId="0" fontId="19" fillId="0" borderId="43" xfId="87" applyFont="1" applyBorder="1"/>
    <xf numFmtId="0" fontId="173" fillId="0" borderId="0" xfId="87" applyFont="1" applyAlignment="1">
      <alignment horizontal="left" vertical="center"/>
    </xf>
    <xf numFmtId="3" fontId="31" fillId="0" borderId="43" xfId="87" applyNumberFormat="1" applyFont="1" applyBorder="1" applyAlignment="1">
      <alignment horizontal="centerContinuous" vertical="top"/>
    </xf>
    <xf numFmtId="3" fontId="31" fillId="0" borderId="0" xfId="87" applyNumberFormat="1" applyFont="1" applyAlignment="1">
      <alignment horizontal="centerContinuous" vertical="top"/>
    </xf>
    <xf numFmtId="169" fontId="6" fillId="0" borderId="0" xfId="36" applyNumberFormat="1" applyFont="1" applyAlignment="1">
      <alignment horizontal="center"/>
    </xf>
    <xf numFmtId="41" fontId="15" fillId="4" borderId="0" xfId="33" applyNumberFormat="1" applyFont="1" applyFill="1"/>
    <xf numFmtId="0" fontId="19" fillId="4" borderId="46" xfId="33" applyFont="1" applyFill="1" applyBorder="1" applyAlignment="1">
      <alignment horizontal="left"/>
    </xf>
    <xf numFmtId="0" fontId="105" fillId="4" borderId="46" xfId="33" applyFont="1" applyFill="1" applyBorder="1" applyAlignment="1">
      <alignment horizontal="center"/>
    </xf>
    <xf numFmtId="4" fontId="19" fillId="4" borderId="46" xfId="33" applyNumberFormat="1" applyFont="1" applyFill="1" applyBorder="1" applyAlignment="1">
      <alignment horizontal="right"/>
    </xf>
    <xf numFmtId="0" fontId="6" fillId="0" borderId="0" xfId="84" applyFont="1"/>
    <xf numFmtId="3" fontId="174" fillId="0" borderId="0" xfId="8" applyNumberFormat="1" applyFont="1"/>
    <xf numFmtId="3" fontId="175" fillId="0" borderId="0" xfId="8" applyNumberFormat="1" applyFont="1" applyAlignment="1">
      <alignment horizontal="right"/>
    </xf>
    <xf numFmtId="164" fontId="174" fillId="0" borderId="0" xfId="8" applyNumberFormat="1" applyFont="1"/>
    <xf numFmtId="0" fontId="174" fillId="0" borderId="0" xfId="8" applyFont="1"/>
    <xf numFmtId="167" fontId="174" fillId="0" borderId="0" xfId="12" applyNumberFormat="1" applyFont="1"/>
    <xf numFmtId="3" fontId="174" fillId="0" borderId="0" xfId="12" applyNumberFormat="1" applyFont="1"/>
    <xf numFmtId="0" fontId="24" fillId="4" borderId="0" xfId="32" applyFont="1" applyFill="1" applyAlignment="1">
      <alignment horizontal="left"/>
    </xf>
    <xf numFmtId="37" fontId="19" fillId="0" borderId="6" xfId="14" applyNumberFormat="1" applyFont="1" applyBorder="1" applyAlignment="1">
      <alignment horizontal="centerContinuous"/>
    </xf>
    <xf numFmtId="0" fontId="0" fillId="0" borderId="6" xfId="0" applyBorder="1" applyAlignment="1">
      <alignment horizontal="centerContinuous"/>
    </xf>
    <xf numFmtId="37" fontId="19" fillId="0" borderId="0" xfId="14" applyNumberFormat="1" applyFont="1" applyAlignment="1">
      <alignment horizontal="centerContinuous"/>
    </xf>
    <xf numFmtId="0" fontId="0" fillId="0" borderId="0" xfId="0" applyAlignment="1">
      <alignment horizontal="centerContinuous"/>
    </xf>
    <xf numFmtId="0" fontId="18" fillId="0" borderId="7" xfId="14" applyFont="1" applyBorder="1" applyAlignment="1">
      <alignment horizontal="left" wrapText="1"/>
    </xf>
    <xf numFmtId="37" fontId="19" fillId="0" borderId="7" xfId="14" applyNumberFormat="1" applyFont="1" applyBorder="1" applyAlignment="1">
      <alignment horizontal="right" wrapText="1"/>
    </xf>
    <xf numFmtId="37" fontId="19" fillId="0" borderId="7" xfId="14" applyNumberFormat="1" applyFont="1" applyBorder="1" applyAlignment="1">
      <alignment horizontal="center" wrapText="1"/>
    </xf>
    <xf numFmtId="39" fontId="19" fillId="0" borderId="7" xfId="14" applyNumberFormat="1" applyFont="1" applyBorder="1" applyAlignment="1">
      <alignment horizontal="center" wrapText="1"/>
    </xf>
    <xf numFmtId="0" fontId="6" fillId="0" borderId="0" xfId="14" applyFont="1" applyAlignment="1">
      <alignment horizontal="left" vertical="center"/>
    </xf>
    <xf numFmtId="1" fontId="6" fillId="0" borderId="0" xfId="14" applyNumberFormat="1" applyFont="1" applyAlignment="1">
      <alignment vertical="center"/>
    </xf>
    <xf numFmtId="3" fontId="6" fillId="0" borderId="0" xfId="41" applyNumberFormat="1" applyFont="1" applyBorder="1" applyAlignment="1" applyProtection="1">
      <alignment vertical="center"/>
    </xf>
    <xf numFmtId="0" fontId="6" fillId="0" borderId="0" xfId="13" applyAlignment="1">
      <alignment vertical="center"/>
    </xf>
    <xf numFmtId="0" fontId="20" fillId="0" borderId="0" xfId="14" applyFont="1" applyAlignment="1">
      <alignment horizontal="left" vertical="top"/>
    </xf>
    <xf numFmtId="3" fontId="6" fillId="0" borderId="0" xfId="14" applyNumberFormat="1" applyFont="1" applyAlignment="1">
      <alignment vertical="top"/>
    </xf>
    <xf numFmtId="37" fontId="6" fillId="0" borderId="0" xfId="14" applyNumberFormat="1" applyFont="1" applyAlignment="1">
      <alignment vertical="top"/>
    </xf>
    <xf numFmtId="10" fontId="98" fillId="0" borderId="0" xfId="36" applyNumberFormat="1" applyFont="1" applyBorder="1" applyAlignment="1">
      <alignment vertical="top"/>
    </xf>
    <xf numFmtId="10" fontId="98" fillId="0" borderId="0" xfId="36" applyNumberFormat="1" applyFont="1" applyBorder="1" applyAlignment="1">
      <alignment vertical="center"/>
    </xf>
    <xf numFmtId="0" fontId="6" fillId="0" borderId="8" xfId="14" applyFont="1" applyBorder="1" applyAlignment="1">
      <alignment horizontal="left" vertical="center"/>
    </xf>
    <xf numFmtId="3" fontId="98" fillId="0" borderId="8" xfId="14" applyNumberFormat="1" applyFont="1" applyBorder="1" applyAlignment="1">
      <alignment vertical="center"/>
    </xf>
    <xf numFmtId="167" fontId="98" fillId="0" borderId="8" xfId="14" applyNumberFormat="1" applyFont="1" applyBorder="1" applyAlignment="1">
      <alignment vertical="center"/>
    </xf>
    <xf numFmtId="169" fontId="98" fillId="0" borderId="8" xfId="14" applyNumberFormat="1" applyFont="1" applyBorder="1" applyAlignment="1">
      <alignment vertical="center"/>
    </xf>
    <xf numFmtId="10" fontId="98" fillId="0" borderId="8" xfId="14" applyNumberFormat="1" applyFont="1" applyBorder="1" applyAlignment="1">
      <alignment vertical="center"/>
    </xf>
    <xf numFmtId="0" fontId="19" fillId="0" borderId="42" xfId="14" applyFont="1" applyBorder="1" applyAlignment="1">
      <alignment horizontal="left" vertical="center"/>
    </xf>
    <xf numFmtId="3" fontId="105" fillId="0" borderId="42" xfId="14" applyNumberFormat="1" applyFont="1" applyBorder="1" applyAlignment="1">
      <alignment vertical="center"/>
    </xf>
    <xf numFmtId="167" fontId="105" fillId="0" borderId="42" xfId="14" applyNumberFormat="1" applyFont="1" applyBorder="1" applyAlignment="1">
      <alignment vertical="center"/>
    </xf>
    <xf numFmtId="169" fontId="105" fillId="0" borderId="42" xfId="36" applyNumberFormat="1" applyFont="1" applyBorder="1" applyAlignment="1" applyProtection="1">
      <alignment vertical="center"/>
    </xf>
    <xf numFmtId="0" fontId="0" fillId="0" borderId="47" xfId="0" applyBorder="1" applyAlignment="1">
      <alignment horizontal="centerContinuous"/>
    </xf>
    <xf numFmtId="39" fontId="19" fillId="0" borderId="48" xfId="14" applyNumberFormat="1" applyFont="1" applyBorder="1" applyAlignment="1">
      <alignment horizontal="center"/>
    </xf>
    <xf numFmtId="37" fontId="19" fillId="0" borderId="49" xfId="14" applyNumberFormat="1" applyFont="1" applyBorder="1" applyAlignment="1">
      <alignment horizontal="centerContinuous"/>
    </xf>
    <xf numFmtId="0" fontId="0" fillId="0" borderId="50" xfId="0" applyBorder="1" applyAlignment="1">
      <alignment horizontal="centerContinuous"/>
    </xf>
    <xf numFmtId="39" fontId="19" fillId="0" borderId="51" xfId="14" applyNumberFormat="1" applyFont="1" applyBorder="1" applyAlignment="1">
      <alignment horizontal="center"/>
    </xf>
    <xf numFmtId="37" fontId="19" fillId="0" borderId="52" xfId="14" applyNumberFormat="1" applyFont="1" applyBorder="1" applyAlignment="1">
      <alignment horizontal="centerContinuous"/>
    </xf>
    <xf numFmtId="39" fontId="19" fillId="0" borderId="53" xfId="14" applyNumberFormat="1" applyFont="1" applyBorder="1" applyAlignment="1">
      <alignment horizontal="center" wrapText="1"/>
    </xf>
    <xf numFmtId="37" fontId="19" fillId="0" borderId="54" xfId="14" applyNumberFormat="1" applyFont="1" applyBorder="1" applyAlignment="1">
      <alignment horizontal="right" wrapText="1"/>
    </xf>
    <xf numFmtId="10" fontId="98" fillId="0" borderId="50" xfId="36" applyNumberFormat="1" applyFont="1" applyBorder="1"/>
    <xf numFmtId="169" fontId="6" fillId="0" borderId="51" xfId="36" applyNumberFormat="1" applyFont="1" applyBorder="1"/>
    <xf numFmtId="3" fontId="6" fillId="0" borderId="52" xfId="14" applyNumberFormat="1" applyFont="1" applyBorder="1"/>
    <xf numFmtId="10" fontId="98" fillId="0" borderId="50" xfId="36" applyNumberFormat="1" applyFont="1" applyBorder="1" applyAlignment="1">
      <alignment vertical="top"/>
    </xf>
    <xf numFmtId="169" fontId="6" fillId="0" borderId="51" xfId="36" applyNumberFormat="1" applyFont="1" applyBorder="1" applyAlignment="1">
      <alignment vertical="top"/>
    </xf>
    <xf numFmtId="3" fontId="6" fillId="0" borderId="52" xfId="14" applyNumberFormat="1" applyFont="1" applyBorder="1" applyAlignment="1">
      <alignment vertical="top"/>
    </xf>
    <xf numFmtId="10" fontId="98" fillId="0" borderId="55" xfId="14" applyNumberFormat="1" applyFont="1" applyBorder="1" applyAlignment="1">
      <alignment vertical="center"/>
    </xf>
    <xf numFmtId="3" fontId="98" fillId="0" borderId="56" xfId="14" applyNumberFormat="1" applyFont="1" applyBorder="1" applyAlignment="1">
      <alignment vertical="center"/>
    </xf>
    <xf numFmtId="10" fontId="98" fillId="0" borderId="50" xfId="36" applyNumberFormat="1" applyFont="1" applyBorder="1" applyAlignment="1">
      <alignment vertical="center"/>
    </xf>
    <xf numFmtId="1" fontId="6" fillId="0" borderId="52" xfId="14" applyNumberFormat="1" applyFont="1" applyBorder="1" applyAlignment="1">
      <alignment vertical="center"/>
    </xf>
    <xf numFmtId="169" fontId="105" fillId="0" borderId="57" xfId="36" applyNumberFormat="1" applyFont="1" applyBorder="1" applyAlignment="1" applyProtection="1">
      <alignment vertical="center"/>
    </xf>
    <xf numFmtId="3" fontId="105" fillId="0" borderId="58" xfId="14" applyNumberFormat="1" applyFont="1" applyBorder="1" applyAlignment="1">
      <alignment vertical="center"/>
    </xf>
    <xf numFmtId="9" fontId="105" fillId="0" borderId="59" xfId="14" applyNumberFormat="1" applyFont="1" applyBorder="1" applyAlignment="1">
      <alignment vertical="center"/>
    </xf>
    <xf numFmtId="167" fontId="6" fillId="4" borderId="0" xfId="38" applyNumberFormat="1" applyFont="1" applyFill="1"/>
    <xf numFmtId="3" fontId="6" fillId="4" borderId="0" xfId="38" applyNumberFormat="1" applyFont="1" applyFill="1"/>
    <xf numFmtId="3" fontId="6" fillId="0" borderId="0" xfId="38" applyNumberFormat="1" applyFont="1" applyFill="1"/>
    <xf numFmtId="3" fontId="6" fillId="4" borderId="40" xfId="38" applyNumberFormat="1" applyFont="1" applyFill="1" applyBorder="1"/>
    <xf numFmtId="37" fontId="94" fillId="0" borderId="0" xfId="27" applyNumberFormat="1" applyFont="1"/>
    <xf numFmtId="37" fontId="94" fillId="0" borderId="1" xfId="27" applyNumberFormat="1" applyFont="1" applyBorder="1"/>
    <xf numFmtId="175" fontId="94" fillId="0" borderId="0" xfId="27" applyNumberFormat="1" applyFont="1"/>
    <xf numFmtId="5" fontId="94" fillId="0" borderId="0" xfId="27" applyNumberFormat="1" applyFont="1"/>
    <xf numFmtId="0" fontId="137" fillId="0" borderId="0" xfId="17" applyFont="1"/>
    <xf numFmtId="3" fontId="137" fillId="0" borderId="0" xfId="17" applyNumberFormat="1" applyFont="1"/>
    <xf numFmtId="167" fontId="105" fillId="0" borderId="8" xfId="14" applyNumberFormat="1" applyFont="1" applyBorder="1"/>
    <xf numFmtId="169" fontId="105" fillId="0" borderId="8" xfId="14" applyNumberFormat="1" applyFont="1" applyBorder="1"/>
    <xf numFmtId="9" fontId="105" fillId="0" borderId="8" xfId="14" applyNumberFormat="1" applyFont="1" applyBorder="1"/>
    <xf numFmtId="0" fontId="18" fillId="0" borderId="17" xfId="14" applyFont="1" applyBorder="1" applyAlignment="1">
      <alignment horizontal="left" wrapText="1"/>
    </xf>
    <xf numFmtId="37" fontId="19" fillId="0" borderId="17" xfId="14" applyNumberFormat="1" applyFont="1" applyBorder="1" applyAlignment="1">
      <alignment horizontal="right" wrapText="1"/>
    </xf>
    <xf numFmtId="39" fontId="19" fillId="0" borderId="17" xfId="14" applyNumberFormat="1" applyFont="1" applyBorder="1" applyAlignment="1">
      <alignment horizontal="right" wrapText="1"/>
    </xf>
    <xf numFmtId="37" fontId="19" fillId="0" borderId="17" xfId="14" applyNumberFormat="1" applyFont="1" applyBorder="1" applyAlignment="1">
      <alignment horizontal="center" wrapText="1"/>
    </xf>
    <xf numFmtId="37" fontId="19" fillId="0" borderId="17" xfId="14" applyNumberFormat="1" applyFont="1" applyBorder="1" applyAlignment="1">
      <alignment horizontal="right" wrapText="1" indent="2"/>
    </xf>
    <xf numFmtId="0" fontId="30" fillId="0" borderId="0" xfId="14" applyFont="1" applyAlignment="1">
      <alignment horizontal="left" vertical="top"/>
    </xf>
    <xf numFmtId="3" fontId="14" fillId="0" borderId="0" xfId="14" applyNumberFormat="1" applyFont="1" applyAlignment="1">
      <alignment vertical="top"/>
    </xf>
    <xf numFmtId="169" fontId="98" fillId="0" borderId="0" xfId="36" applyNumberFormat="1" applyFont="1" applyAlignment="1">
      <alignment vertical="top"/>
    </xf>
    <xf numFmtId="169" fontId="14" fillId="0" borderId="0" xfId="36" applyNumberFormat="1" applyFont="1" applyAlignment="1">
      <alignment vertical="top"/>
    </xf>
    <xf numFmtId="3" fontId="14" fillId="0" borderId="0" xfId="14" applyNumberFormat="1" applyFont="1" applyAlignment="1">
      <alignment horizontal="right" vertical="top"/>
    </xf>
    <xf numFmtId="169" fontId="14" fillId="0" borderId="0" xfId="14" applyNumberFormat="1" applyFont="1" applyAlignment="1">
      <alignment horizontal="right" vertical="top"/>
    </xf>
    <xf numFmtId="0" fontId="14" fillId="0" borderId="0" xfId="14" applyFont="1" applyAlignment="1">
      <alignment horizontal="left" vertical="center"/>
    </xf>
    <xf numFmtId="3" fontId="14" fillId="0" borderId="0" xfId="14" applyNumberFormat="1" applyFont="1" applyAlignment="1">
      <alignment vertical="center"/>
    </xf>
    <xf numFmtId="169" fontId="14" fillId="0" borderId="0" xfId="14" applyNumberFormat="1" applyFont="1" applyAlignment="1">
      <alignment vertical="center"/>
    </xf>
    <xf numFmtId="10" fontId="14" fillId="0" borderId="0" xfId="14" applyNumberFormat="1" applyFont="1" applyAlignment="1">
      <alignment vertical="center"/>
    </xf>
    <xf numFmtId="169" fontId="98" fillId="0" borderId="0" xfId="36" applyNumberFormat="1" applyFont="1" applyAlignment="1" applyProtection="1">
      <alignment vertical="center"/>
    </xf>
    <xf numFmtId="0" fontId="14" fillId="0" borderId="8" xfId="14" applyFont="1" applyBorder="1" applyAlignment="1">
      <alignment horizontal="left" vertical="center"/>
    </xf>
    <xf numFmtId="169" fontId="14" fillId="0" borderId="8" xfId="14" applyNumberFormat="1" applyFont="1" applyBorder="1" applyAlignment="1">
      <alignment vertical="center"/>
    </xf>
    <xf numFmtId="0" fontId="26" fillId="0" borderId="29" xfId="20" applyFont="1" applyBorder="1" applyAlignment="1">
      <alignment horizontal="center"/>
    </xf>
    <xf numFmtId="0" fontId="26" fillId="0" borderId="1" xfId="25" applyFont="1" applyBorder="1" applyAlignment="1">
      <alignment horizontal="right" indent="1"/>
    </xf>
    <xf numFmtId="0" fontId="6" fillId="0" borderId="0" xfId="25" applyFont="1" applyAlignment="1">
      <alignment vertical="top"/>
    </xf>
    <xf numFmtId="0" fontId="42" fillId="0" borderId="0" xfId="25" applyAlignment="1">
      <alignment vertical="top"/>
    </xf>
    <xf numFmtId="179" fontId="42" fillId="0" borderId="0" xfId="41" applyNumberFormat="1" applyFont="1" applyFill="1" applyAlignment="1">
      <alignment horizontal="right" vertical="top"/>
    </xf>
    <xf numFmtId="179" fontId="42" fillId="0" borderId="0" xfId="41" applyNumberFormat="1" applyFont="1" applyFill="1" applyAlignment="1">
      <alignment vertical="top"/>
    </xf>
    <xf numFmtId="0" fontId="42" fillId="0" borderId="15" xfId="25" applyBorder="1" applyAlignment="1">
      <alignment vertical="center"/>
    </xf>
    <xf numFmtId="0" fontId="26" fillId="0" borderId="15" xfId="25" applyFont="1" applyBorder="1" applyAlignment="1">
      <alignment vertical="center"/>
    </xf>
    <xf numFmtId="0" fontId="19" fillId="0" borderId="1" xfId="25" applyFont="1" applyBorder="1" applyAlignment="1">
      <alignment horizontal="right" vertical="top" wrapText="1"/>
    </xf>
    <xf numFmtId="3" fontId="19" fillId="0" borderId="46" xfId="11" applyNumberFormat="1" applyFont="1" applyBorder="1" applyAlignment="1">
      <alignment horizontal="left" vertical="center"/>
    </xf>
    <xf numFmtId="3" fontId="19" fillId="0" borderId="46" xfId="11" applyNumberFormat="1" applyFont="1" applyBorder="1" applyAlignment="1">
      <alignment horizontal="center" vertical="center" wrapText="1"/>
    </xf>
    <xf numFmtId="3" fontId="141" fillId="0" borderId="46" xfId="11" applyNumberFormat="1" applyFont="1" applyBorder="1" applyAlignment="1">
      <alignment horizontal="center" vertical="center"/>
    </xf>
    <xf numFmtId="3" fontId="141" fillId="0" borderId="0" xfId="11" applyNumberFormat="1" applyFont="1" applyAlignment="1">
      <alignment horizontal="center"/>
    </xf>
    <xf numFmtId="3" fontId="135" fillId="0" borderId="0" xfId="11" applyNumberFormat="1" applyFont="1"/>
    <xf numFmtId="3" fontId="140" fillId="0" borderId="15" xfId="11" applyNumberFormat="1" applyFont="1" applyBorder="1"/>
    <xf numFmtId="3" fontId="135" fillId="0" borderId="60" xfId="11" applyNumberFormat="1" applyFont="1" applyBorder="1"/>
    <xf numFmtId="0" fontId="176" fillId="0" borderId="0" xfId="11" applyFont="1" applyAlignment="1">
      <alignment horizontal="center"/>
    </xf>
    <xf numFmtId="3" fontId="140" fillId="0" borderId="0" xfId="11" applyNumberFormat="1" applyFont="1"/>
    <xf numFmtId="0" fontId="141" fillId="0" borderId="0" xfId="11" applyFont="1" applyAlignment="1">
      <alignment horizontal="center"/>
    </xf>
    <xf numFmtId="0" fontId="19" fillId="0" borderId="46" xfId="11" applyFont="1" applyBorder="1" applyAlignment="1">
      <alignment horizontal="centerContinuous"/>
    </xf>
    <xf numFmtId="3" fontId="19" fillId="0" borderId="46" xfId="11" applyNumberFormat="1" applyFont="1" applyBorder="1" applyAlignment="1">
      <alignment horizontal="centerContinuous"/>
    </xf>
    <xf numFmtId="0" fontId="91" fillId="0" borderId="46" xfId="11" applyFont="1" applyBorder="1" applyAlignment="1">
      <alignment horizontal="centerContinuous"/>
    </xf>
    <xf numFmtId="0" fontId="79" fillId="0" borderId="46" xfId="11" applyFont="1" applyBorder="1" applyAlignment="1">
      <alignment horizontal="centerContinuous"/>
    </xf>
    <xf numFmtId="0" fontId="91" fillId="0" borderId="60" xfId="11" applyFont="1" applyBorder="1" applyAlignment="1">
      <alignment horizontal="center" vertical="center" wrapText="1"/>
    </xf>
    <xf numFmtId="0" fontId="19" fillId="0" borderId="60" xfId="11" applyFont="1" applyBorder="1" applyAlignment="1">
      <alignment horizontal="center" vertical="center"/>
    </xf>
    <xf numFmtId="3" fontId="19" fillId="0" borderId="60" xfId="11" applyNumberFormat="1" applyFont="1" applyBorder="1" applyAlignment="1">
      <alignment horizontal="center" vertical="center"/>
    </xf>
    <xf numFmtId="3" fontId="19" fillId="0" borderId="23" xfId="11" applyNumberFormat="1" applyFont="1" applyBorder="1" applyAlignment="1">
      <alignment horizontal="center" vertical="center"/>
    </xf>
    <xf numFmtId="3" fontId="19" fillId="0" borderId="60" xfId="11" applyNumberFormat="1" applyFont="1" applyBorder="1" applyAlignment="1">
      <alignment horizontal="center" vertical="center" wrapText="1"/>
    </xf>
    <xf numFmtId="3" fontId="19" fillId="0" borderId="24" xfId="11" applyNumberFormat="1" applyFont="1" applyBorder="1" applyAlignment="1">
      <alignment horizontal="center" vertical="center"/>
    </xf>
    <xf numFmtId="3" fontId="91" fillId="0" borderId="60" xfId="11" applyNumberFormat="1" applyFont="1" applyBorder="1" applyAlignment="1">
      <alignment horizontal="center" vertical="center"/>
    </xf>
    <xf numFmtId="3" fontId="91" fillId="0" borderId="60" xfId="11" applyNumberFormat="1" applyFont="1" applyBorder="1" applyAlignment="1">
      <alignment horizontal="center" vertical="center" wrapText="1"/>
    </xf>
    <xf numFmtId="0" fontId="19" fillId="0" borderId="60" xfId="11" applyFont="1" applyBorder="1" applyAlignment="1">
      <alignment horizontal="left" vertical="center"/>
    </xf>
    <xf numFmtId="0" fontId="141" fillId="0" borderId="60" xfId="11" applyFont="1" applyBorder="1" applyAlignment="1">
      <alignment horizontal="center" vertical="center"/>
    </xf>
    <xf numFmtId="0" fontId="139" fillId="0" borderId="0" xfId="11" applyFont="1" applyAlignment="1">
      <alignment horizontal="center"/>
    </xf>
    <xf numFmtId="3" fontId="139" fillId="0" borderId="0" xfId="11" applyNumberFormat="1" applyFont="1" applyAlignment="1">
      <alignment horizontal="center"/>
    </xf>
    <xf numFmtId="0" fontId="141" fillId="0" borderId="46" xfId="11" applyFont="1" applyBorder="1" applyAlignment="1">
      <alignment horizontal="center"/>
    </xf>
    <xf numFmtId="167" fontId="141" fillId="0" borderId="0" xfId="11" applyNumberFormat="1" applyFont="1" applyAlignment="1">
      <alignment horizontal="center"/>
    </xf>
    <xf numFmtId="0" fontId="139" fillId="0" borderId="15" xfId="11" applyFont="1" applyBorder="1" applyAlignment="1">
      <alignment horizontal="center"/>
    </xf>
    <xf numFmtId="164" fontId="141" fillId="0" borderId="60" xfId="11" applyNumberFormat="1" applyFont="1" applyBorder="1" applyAlignment="1">
      <alignment horizontal="center"/>
    </xf>
    <xf numFmtId="0" fontId="141" fillId="0" borderId="0" xfId="33" applyFont="1" applyAlignment="1">
      <alignment horizontal="center"/>
    </xf>
    <xf numFmtId="0" fontId="141" fillId="0" borderId="15" xfId="11" applyFont="1" applyBorder="1" applyAlignment="1">
      <alignment horizontal="center"/>
    </xf>
    <xf numFmtId="3" fontId="32" fillId="0" borderId="0" xfId="11" applyNumberFormat="1" applyFont="1"/>
    <xf numFmtId="3" fontId="26" fillId="0" borderId="19" xfId="11" applyNumberFormat="1" applyFont="1" applyBorder="1" applyAlignment="1">
      <alignment horizontal="left" vertical="center"/>
    </xf>
    <xf numFmtId="0" fontId="121" fillId="0" borderId="0" xfId="11" applyFont="1"/>
    <xf numFmtId="164" fontId="25" fillId="0" borderId="0" xfId="11" applyNumberFormat="1" applyFont="1" applyAlignment="1">
      <alignment horizontal="center"/>
    </xf>
    <xf numFmtId="164" fontId="121" fillId="0" borderId="0" xfId="11" applyNumberFormat="1" applyFont="1" applyAlignment="1">
      <alignment horizontal="center"/>
    </xf>
    <xf numFmtId="164" fontId="19" fillId="0" borderId="19" xfId="11" applyNumberFormat="1" applyFont="1" applyBorder="1" applyAlignment="1">
      <alignment horizontal="center" wrapText="1"/>
    </xf>
    <xf numFmtId="0" fontId="19" fillId="0" borderId="19" xfId="11" applyFont="1" applyBorder="1" applyAlignment="1">
      <alignment horizontal="left" vertical="center"/>
    </xf>
    <xf numFmtId="164" fontId="19" fillId="0" borderId="19" xfId="11" applyNumberFormat="1" applyFont="1" applyBorder="1" applyAlignment="1">
      <alignment horizontal="center" vertical="center"/>
    </xf>
    <xf numFmtId="0" fontId="141" fillId="0" borderId="19" xfId="11" applyFont="1" applyBorder="1" applyAlignment="1">
      <alignment horizontal="center" vertical="center"/>
    </xf>
    <xf numFmtId="0" fontId="177" fillId="0" borderId="0" xfId="11" applyFont="1" applyAlignment="1">
      <alignment horizontal="center"/>
    </xf>
    <xf numFmtId="0" fontId="178" fillId="0" borderId="0" xfId="11" applyFont="1" applyAlignment="1">
      <alignment horizontal="center"/>
    </xf>
    <xf numFmtId="3" fontId="178" fillId="0" borderId="0" xfId="11" applyNumberFormat="1" applyFont="1" applyAlignment="1">
      <alignment horizontal="center"/>
    </xf>
    <xf numFmtId="0" fontId="139" fillId="0" borderId="60" xfId="11" applyFont="1" applyBorder="1" applyAlignment="1">
      <alignment horizontal="center"/>
    </xf>
    <xf numFmtId="3" fontId="24" fillId="0" borderId="0" xfId="11" applyNumberFormat="1" applyFont="1" applyAlignment="1">
      <alignment vertical="top"/>
    </xf>
    <xf numFmtId="3" fontId="9" fillId="0" borderId="0" xfId="11" applyNumberFormat="1" applyFont="1" applyAlignment="1">
      <alignment vertical="top"/>
    </xf>
    <xf numFmtId="3" fontId="32" fillId="0" borderId="0" xfId="11" applyNumberFormat="1" applyFont="1" applyAlignment="1">
      <alignment vertical="top"/>
    </xf>
    <xf numFmtId="3" fontId="6" fillId="0" borderId="0" xfId="11" applyNumberFormat="1" applyFont="1" applyAlignment="1">
      <alignment vertical="center"/>
    </xf>
    <xf numFmtId="3" fontId="141" fillId="0" borderId="0" xfId="11" applyNumberFormat="1" applyFont="1" applyAlignment="1">
      <alignment horizontal="center" vertical="center"/>
    </xf>
    <xf numFmtId="3" fontId="14" fillId="0" borderId="0" xfId="11" applyNumberFormat="1" applyFont="1" applyAlignment="1">
      <alignment vertical="center"/>
    </xf>
    <xf numFmtId="0" fontId="7" fillId="0" borderId="0" xfId="11" applyAlignment="1">
      <alignment vertical="center"/>
    </xf>
    <xf numFmtId="3" fontId="76" fillId="0" borderId="0" xfId="11" applyNumberFormat="1" applyFont="1" applyAlignment="1">
      <alignment vertical="center"/>
    </xf>
    <xf numFmtId="167" fontId="6" fillId="0" borderId="0" xfId="11" applyNumberFormat="1" applyFont="1" applyAlignment="1">
      <alignment vertical="center"/>
    </xf>
    <xf numFmtId="3" fontId="26" fillId="0" borderId="15" xfId="11" applyNumberFormat="1" applyFont="1" applyBorder="1" applyAlignment="1">
      <alignment vertical="center"/>
    </xf>
    <xf numFmtId="3" fontId="140" fillId="0" borderId="15" xfId="11" applyNumberFormat="1" applyFont="1" applyBorder="1" applyAlignment="1">
      <alignment vertical="center"/>
    </xf>
    <xf numFmtId="167" fontId="26" fillId="0" borderId="15" xfId="11" applyNumberFormat="1" applyFont="1" applyBorder="1" applyAlignment="1">
      <alignment vertical="center"/>
    </xf>
    <xf numFmtId="3" fontId="141" fillId="0" borderId="0" xfId="11" applyNumberFormat="1" applyFont="1" applyAlignment="1">
      <alignment vertical="center"/>
    </xf>
    <xf numFmtId="0" fontId="9" fillId="0" borderId="46" xfId="35" applyFont="1" applyBorder="1" applyAlignment="1">
      <alignment horizontal="centerContinuous" wrapText="1"/>
    </xf>
    <xf numFmtId="3" fontId="9" fillId="0" borderId="46" xfId="35" applyNumberFormat="1" applyFont="1" applyBorder="1" applyAlignment="1">
      <alignment horizontal="centerContinuous" wrapText="1"/>
    </xf>
    <xf numFmtId="0" fontId="9" fillId="0" borderId="46" xfId="35" applyFont="1" applyBorder="1" applyAlignment="1">
      <alignment horizontal="center" wrapText="1"/>
    </xf>
    <xf numFmtId="167" fontId="14" fillId="0" borderId="0" xfId="35" applyNumberFormat="1" applyAlignment="1">
      <alignment vertical="top"/>
    </xf>
    <xf numFmtId="3" fontId="14" fillId="0" borderId="0" xfId="35" applyNumberFormat="1" applyAlignment="1">
      <alignment horizontal="center" vertical="top"/>
    </xf>
    <xf numFmtId="3" fontId="6" fillId="0" borderId="0" xfId="22" applyNumberFormat="1" applyFont="1" applyAlignment="1">
      <alignment horizontal="right" vertical="top"/>
    </xf>
    <xf numFmtId="176" fontId="6" fillId="0" borderId="0" xfId="22" applyNumberFormat="1" applyFont="1" applyAlignment="1">
      <alignment horizontal="center" vertical="top"/>
    </xf>
    <xf numFmtId="167" fontId="6" fillId="0" borderId="0" xfId="22" applyNumberFormat="1" applyFont="1" applyAlignment="1">
      <alignment horizontal="right"/>
    </xf>
    <xf numFmtId="176" fontId="6" fillId="0" borderId="0" xfId="22" applyNumberFormat="1" applyFont="1" applyAlignment="1">
      <alignment horizontal="center"/>
    </xf>
    <xf numFmtId="167" fontId="132" fillId="0" borderId="2" xfId="0" applyNumberFormat="1" applyFont="1" applyBorder="1"/>
    <xf numFmtId="164" fontId="100" fillId="0" borderId="0" xfId="0" applyNumberFormat="1" applyFont="1" applyAlignment="1">
      <alignment horizontal="right"/>
    </xf>
    <xf numFmtId="3" fontId="100" fillId="0" borderId="0" xfId="0" applyNumberFormat="1" applyFont="1" applyAlignment="1">
      <alignment horizontal="right"/>
    </xf>
    <xf numFmtId="164" fontId="132" fillId="0" borderId="2" xfId="0" applyNumberFormat="1" applyFont="1" applyBorder="1"/>
    <xf numFmtId="164" fontId="100" fillId="0" borderId="0" xfId="0" applyNumberFormat="1" applyFont="1"/>
    <xf numFmtId="165" fontId="132" fillId="0" borderId="0" xfId="0" applyNumberFormat="1" applyFont="1"/>
    <xf numFmtId="10" fontId="100" fillId="0" borderId="0" xfId="8" applyNumberFormat="1" applyFont="1"/>
    <xf numFmtId="10" fontId="100" fillId="0" borderId="0" xfId="8" applyNumberFormat="1" applyFont="1" applyAlignment="1">
      <alignment horizontal="right" vertical="center"/>
    </xf>
    <xf numFmtId="10" fontId="148" fillId="0" borderId="0" xfId="8" applyNumberFormat="1" applyFont="1"/>
    <xf numFmtId="10" fontId="132" fillId="0" borderId="0" xfId="8" applyNumberFormat="1" applyFont="1" applyAlignment="1">
      <alignment horizontal="right" vertical="center"/>
    </xf>
    <xf numFmtId="10" fontId="132" fillId="0" borderId="15" xfId="8" applyNumberFormat="1" applyFont="1" applyBorder="1" applyAlignment="1">
      <alignment horizontal="right" vertical="center"/>
    </xf>
    <xf numFmtId="0" fontId="141" fillId="0" borderId="0" xfId="84" applyFont="1"/>
    <xf numFmtId="10" fontId="77" fillId="0" borderId="0" xfId="8" applyNumberFormat="1" applyFont="1" applyAlignment="1">
      <alignment horizontal="center"/>
    </xf>
    <xf numFmtId="164" fontId="178" fillId="0" borderId="0" xfId="8" applyNumberFormat="1" applyFont="1"/>
    <xf numFmtId="164" fontId="132" fillId="0" borderId="0" xfId="8" applyNumberFormat="1" applyFont="1"/>
    <xf numFmtId="164" fontId="179" fillId="0" borderId="0" xfId="8" applyNumberFormat="1" applyFont="1" applyAlignment="1">
      <alignment horizontal="right"/>
    </xf>
    <xf numFmtId="164" fontId="100" fillId="0" borderId="0" xfId="8" applyNumberFormat="1" applyFont="1" applyAlignment="1">
      <alignment horizontal="right"/>
    </xf>
    <xf numFmtId="164" fontId="178" fillId="0" borderId="15" xfId="8" applyNumberFormat="1" applyFont="1" applyBorder="1"/>
    <xf numFmtId="164" fontId="132" fillId="0" borderId="15" xfId="8" applyNumberFormat="1" applyFont="1" applyBorder="1"/>
    <xf numFmtId="0" fontId="132" fillId="0" borderId="0" xfId="0" applyFont="1" applyAlignment="1">
      <alignment horizontal="right"/>
    </xf>
    <xf numFmtId="0" fontId="105" fillId="0" borderId="13" xfId="29" applyFont="1" applyBorder="1"/>
    <xf numFmtId="0" fontId="7" fillId="0" borderId="0" xfId="0" applyFont="1" applyAlignment="1">
      <alignment vertical="top"/>
    </xf>
    <xf numFmtId="3" fontId="7" fillId="0" borderId="0" xfId="0" applyNumberFormat="1" applyFont="1" applyAlignment="1">
      <alignment vertical="top"/>
    </xf>
    <xf numFmtId="0" fontId="75" fillId="0" borderId="0" xfId="84" applyFont="1" applyAlignment="1">
      <alignment horizontal="right" indent="1"/>
    </xf>
    <xf numFmtId="3" fontId="119" fillId="0" borderId="0" xfId="0" applyNumberFormat="1" applyFont="1"/>
    <xf numFmtId="5" fontId="76" fillId="0" borderId="0" xfId="14" applyNumberFormat="1" applyFont="1"/>
    <xf numFmtId="0" fontId="137" fillId="0" borderId="0" xfId="87" applyFont="1" applyAlignment="1">
      <alignment vertical="center"/>
    </xf>
    <xf numFmtId="9" fontId="180" fillId="0" borderId="0" xfId="36" applyFont="1" applyFill="1" applyAlignment="1">
      <alignment vertical="center"/>
    </xf>
    <xf numFmtId="0" fontId="176" fillId="0" borderId="0" xfId="87" applyFont="1" applyAlignment="1">
      <alignment vertical="center"/>
    </xf>
    <xf numFmtId="0" fontId="137" fillId="0" borderId="0" xfId="87" applyFont="1" applyAlignment="1">
      <alignment horizontal="left" vertical="center"/>
    </xf>
    <xf numFmtId="0" fontId="137" fillId="0" borderId="0" xfId="87" applyFont="1" applyAlignment="1">
      <alignment horizontal="center" vertical="center"/>
    </xf>
    <xf numFmtId="0" fontId="182" fillId="0" borderId="0" xfId="33" applyFont="1" applyAlignment="1">
      <alignment horizontal="left"/>
    </xf>
    <xf numFmtId="0" fontId="137" fillId="0" borderId="0" xfId="87" applyFont="1"/>
    <xf numFmtId="167" fontId="181" fillId="0" borderId="0" xfId="87" applyNumberFormat="1" applyFont="1"/>
    <xf numFmtId="0" fontId="176" fillId="0" borderId="0" xfId="87" applyFont="1" applyAlignment="1">
      <alignment horizontal="right"/>
    </xf>
    <xf numFmtId="167" fontId="137" fillId="0" borderId="0" xfId="87" applyNumberFormat="1" applyFont="1"/>
    <xf numFmtId="10" fontId="137" fillId="0" borderId="0" xfId="36" applyNumberFormat="1" applyFont="1" applyFill="1"/>
    <xf numFmtId="179" fontId="183" fillId="0" borderId="0" xfId="88" applyNumberFormat="1" applyFont="1" applyFill="1"/>
    <xf numFmtId="10" fontId="183" fillId="0" borderId="0" xfId="36" applyNumberFormat="1" applyFont="1" applyFill="1"/>
    <xf numFmtId="0" fontId="183" fillId="0" borderId="0" xfId="87" applyFont="1" applyAlignment="1">
      <alignment horizontal="right"/>
    </xf>
    <xf numFmtId="10" fontId="137" fillId="0" borderId="0" xfId="89" applyNumberFormat="1" applyFont="1" applyFill="1" applyBorder="1" applyAlignment="1">
      <alignment horizontal="left"/>
    </xf>
    <xf numFmtId="10" fontId="137" fillId="0" borderId="0" xfId="89" applyNumberFormat="1" applyFont="1" applyFill="1" applyBorder="1" applyAlignment="1">
      <alignment horizontal="left" vertical="center"/>
    </xf>
    <xf numFmtId="10" fontId="137" fillId="0" borderId="0" xfId="89" applyNumberFormat="1" applyFont="1" applyFill="1" applyAlignment="1">
      <alignment horizontal="left" vertical="center"/>
    </xf>
    <xf numFmtId="10" fontId="180" fillId="0" borderId="0" xfId="89" applyNumberFormat="1" applyFont="1" applyFill="1" applyAlignment="1">
      <alignment horizontal="left" vertical="center"/>
    </xf>
    <xf numFmtId="10" fontId="137" fillId="0" borderId="0" xfId="89" applyNumberFormat="1" applyFont="1" applyFill="1" applyAlignment="1">
      <alignment horizontal="left"/>
    </xf>
    <xf numFmtId="0" fontId="180" fillId="0" borderId="0" xfId="0" applyFont="1" applyAlignment="1">
      <alignment vertical="top" wrapText="1"/>
    </xf>
    <xf numFmtId="0" fontId="137" fillId="0" borderId="0" xfId="0" applyFont="1" applyAlignment="1">
      <alignment vertical="top" wrapText="1"/>
    </xf>
    <xf numFmtId="0" fontId="137" fillId="0" borderId="0" xfId="84" applyFont="1"/>
    <xf numFmtId="0" fontId="19" fillId="4" borderId="14" xfId="32" applyFont="1" applyFill="1" applyBorder="1" applyAlignment="1">
      <alignment horizontal="right" vertical="center" wrapText="1"/>
    </xf>
    <xf numFmtId="170" fontId="26" fillId="4" borderId="0" xfId="32" applyNumberFormat="1" applyFont="1" applyFill="1" applyAlignment="1">
      <alignment horizontal="left" vertical="center"/>
    </xf>
    <xf numFmtId="0" fontId="14" fillId="4" borderId="0" xfId="32" applyFill="1" applyAlignment="1">
      <alignment vertical="center"/>
    </xf>
    <xf numFmtId="167" fontId="14" fillId="4" borderId="0" xfId="38" applyNumberFormat="1" applyFont="1" applyFill="1" applyAlignment="1">
      <alignment vertical="center"/>
    </xf>
    <xf numFmtId="0" fontId="184" fillId="0" borderId="0" xfId="0" applyFont="1"/>
    <xf numFmtId="3" fontId="184" fillId="0" borderId="0" xfId="0" applyNumberFormat="1" applyFont="1"/>
    <xf numFmtId="37" fontId="184" fillId="0" borderId="0" xfId="0" applyNumberFormat="1" applyFont="1"/>
    <xf numFmtId="0" fontId="185" fillId="0" borderId="0" xfId="11" applyFont="1"/>
    <xf numFmtId="0" fontId="137" fillId="0" borderId="0" xfId="11" applyFont="1"/>
    <xf numFmtId="3" fontId="137" fillId="0" borderId="0" xfId="11" applyNumberFormat="1" applyFont="1"/>
    <xf numFmtId="167" fontId="137" fillId="0" borderId="0" xfId="11" applyNumberFormat="1" applyFont="1"/>
    <xf numFmtId="0" fontId="185" fillId="0" borderId="0" xfId="11" applyFont="1" applyAlignment="1">
      <alignment vertical="center"/>
    </xf>
    <xf numFmtId="0" fontId="137" fillId="0" borderId="0" xfId="11" applyFont="1" applyAlignment="1">
      <alignment vertical="center"/>
    </xf>
    <xf numFmtId="3" fontId="137" fillId="0" borderId="0" xfId="11" applyNumberFormat="1" applyFont="1" applyAlignment="1">
      <alignment vertical="center"/>
    </xf>
    <xf numFmtId="0" fontId="180" fillId="0" borderId="0" xfId="11" applyFont="1"/>
    <xf numFmtId="179" fontId="180" fillId="0" borderId="0" xfId="41" applyNumberFormat="1" applyFont="1" applyFill="1" applyAlignment="1"/>
    <xf numFmtId="0" fontId="185" fillId="0" borderId="0" xfId="0" applyFont="1"/>
    <xf numFmtId="0" fontId="185" fillId="0" borderId="0" xfId="8" applyFont="1" applyAlignment="1">
      <alignment horizontal="left" vertical="center"/>
    </xf>
    <xf numFmtId="0" fontId="137" fillId="0" borderId="0" xfId="0" applyFont="1"/>
    <xf numFmtId="42" fontId="137" fillId="0" borderId="0" xfId="0" applyNumberFormat="1" applyFont="1"/>
    <xf numFmtId="0" fontId="137" fillId="0" borderId="0" xfId="0" applyFont="1" applyAlignment="1">
      <alignment horizontal="center"/>
    </xf>
    <xf numFmtId="0" fontId="188" fillId="0" borderId="0" xfId="0" applyFont="1"/>
    <xf numFmtId="0" fontId="180" fillId="0" borderId="0" xfId="0" applyFont="1"/>
    <xf numFmtId="4" fontId="180" fillId="0" borderId="0" xfId="0" applyNumberFormat="1" applyFont="1"/>
    <xf numFmtId="2" fontId="180" fillId="0" borderId="0" xfId="0" applyNumberFormat="1" applyFont="1"/>
    <xf numFmtId="4" fontId="137" fillId="0" borderId="0" xfId="0" applyNumberFormat="1" applyFont="1"/>
    <xf numFmtId="3" fontId="185" fillId="0" borderId="0" xfId="35" applyNumberFormat="1" applyFont="1"/>
    <xf numFmtId="0" fontId="143" fillId="0" borderId="0" xfId="35" applyFont="1"/>
    <xf numFmtId="3" fontId="143" fillId="0" borderId="0" xfId="35" applyNumberFormat="1" applyFont="1" applyAlignment="1">
      <alignment horizontal="right"/>
    </xf>
    <xf numFmtId="164" fontId="143" fillId="0" borderId="0" xfId="35" applyNumberFormat="1" applyFont="1" applyAlignment="1">
      <alignment horizontal="right"/>
    </xf>
    <xf numFmtId="10" fontId="143" fillId="0" borderId="0" xfId="35" applyNumberFormat="1" applyFont="1" applyAlignment="1">
      <alignment horizontal="right"/>
    </xf>
    <xf numFmtId="10" fontId="143" fillId="0" borderId="0" xfId="36" applyNumberFormat="1" applyFont="1" applyFill="1" applyBorder="1" applyAlignment="1">
      <alignment horizontal="right"/>
    </xf>
    <xf numFmtId="178" fontId="143" fillId="0" borderId="0" xfId="36" applyNumberFormat="1" applyFont="1" applyFill="1" applyBorder="1" applyAlignment="1">
      <alignment horizontal="center"/>
    </xf>
    <xf numFmtId="0" fontId="137" fillId="0" borderId="0" xfId="35" applyFont="1"/>
    <xf numFmtId="3" fontId="143" fillId="0" borderId="0" xfId="35" applyNumberFormat="1" applyFont="1"/>
    <xf numFmtId="169" fontId="137" fillId="0" borderId="0" xfId="35" applyNumberFormat="1" applyFont="1"/>
    <xf numFmtId="3" fontId="137" fillId="0" borderId="0" xfId="35" applyNumberFormat="1" applyFont="1" applyAlignment="1">
      <alignment horizontal="right"/>
    </xf>
    <xf numFmtId="0" fontId="137" fillId="0" borderId="0" xfId="35" applyFont="1" applyAlignment="1">
      <alignment horizontal="center"/>
    </xf>
    <xf numFmtId="0" fontId="185" fillId="0" borderId="0" xfId="35" applyFont="1"/>
    <xf numFmtId="0" fontId="143" fillId="0" borderId="0" xfId="35" applyFont="1" applyAlignment="1">
      <alignment horizontal="center"/>
    </xf>
    <xf numFmtId="0" fontId="137" fillId="0" borderId="0" xfId="22" applyFont="1"/>
    <xf numFmtId="0" fontId="137" fillId="0" borderId="0" xfId="22" applyFont="1" applyAlignment="1">
      <alignment horizontal="center"/>
    </xf>
    <xf numFmtId="164" fontId="19" fillId="0" borderId="19" xfId="11" applyNumberFormat="1" applyFont="1" applyBorder="1" applyAlignment="1">
      <alignment horizontal="center" vertical="center" wrapText="1"/>
    </xf>
    <xf numFmtId="0" fontId="137" fillId="0" borderId="0" xfId="25" applyFont="1"/>
    <xf numFmtId="0" fontId="137" fillId="0" borderId="0" xfId="0" applyFont="1" applyAlignment="1">
      <alignment horizontal="left" wrapText="1"/>
    </xf>
    <xf numFmtId="0" fontId="190" fillId="0" borderId="0" xfId="0" applyFont="1" applyAlignment="1">
      <alignment horizontal="left" wrapText="1"/>
    </xf>
    <xf numFmtId="0" fontId="137" fillId="0" borderId="0" xfId="25" applyFont="1" applyAlignment="1">
      <alignment horizontal="right"/>
    </xf>
    <xf numFmtId="0" fontId="143" fillId="0" borderId="0" xfId="25" applyFont="1" applyAlignment="1">
      <alignment horizontal="center"/>
    </xf>
    <xf numFmtId="0" fontId="137" fillId="0" borderId="0" xfId="20" applyFont="1" applyAlignment="1">
      <alignment horizontal="left" wrapText="1"/>
    </xf>
    <xf numFmtId="0" fontId="137" fillId="0" borderId="0" xfId="20" applyFont="1" applyAlignment="1">
      <alignment horizontal="left"/>
    </xf>
    <xf numFmtId="0" fontId="143" fillId="0" borderId="0" xfId="25" applyFont="1"/>
    <xf numFmtId="0" fontId="137" fillId="0" borderId="0" xfId="0" applyFont="1" applyAlignment="1">
      <alignment horizontal="left"/>
    </xf>
    <xf numFmtId="0" fontId="137" fillId="0" borderId="0" xfId="21" applyFont="1"/>
    <xf numFmtId="0" fontId="14" fillId="0" borderId="16" xfId="21" applyFont="1" applyBorder="1" applyAlignment="1">
      <alignment vertical="center"/>
    </xf>
    <xf numFmtId="0" fontId="19" fillId="0" borderId="17" xfId="21" quotePrefix="1" applyFont="1" applyBorder="1" applyAlignment="1">
      <alignment horizontal="center" vertical="center"/>
    </xf>
    <xf numFmtId="0" fontId="6" fillId="0" borderId="17" xfId="40" applyBorder="1" applyAlignment="1">
      <alignment horizontal="center" vertical="center"/>
    </xf>
    <xf numFmtId="0" fontId="26" fillId="0" borderId="6" xfId="21" applyFont="1" applyBorder="1" applyAlignment="1">
      <alignment horizontal="center" vertical="center" wrapText="1"/>
    </xf>
    <xf numFmtId="0" fontId="26" fillId="0" borderId="1" xfId="21" applyFont="1" applyBorder="1" applyAlignment="1">
      <alignment vertical="center"/>
    </xf>
    <xf numFmtId="0" fontId="26" fillId="0" borderId="1" xfId="21" applyFont="1" applyBorder="1" applyAlignment="1">
      <alignment horizontal="right" vertical="center"/>
    </xf>
    <xf numFmtId="0" fontId="19" fillId="0" borderId="17" xfId="21" quotePrefix="1" applyFont="1" applyBorder="1" applyAlignment="1">
      <alignment horizontal="centerContinuous" vertical="center"/>
    </xf>
    <xf numFmtId="0" fontId="6" fillId="0" borderId="17" xfId="40" applyBorder="1" applyAlignment="1">
      <alignment horizontal="centerContinuous" vertical="center"/>
    </xf>
    <xf numFmtId="0" fontId="185" fillId="0" borderId="0" xfId="21" applyFont="1" applyAlignment="1">
      <alignment vertical="center"/>
    </xf>
    <xf numFmtId="3" fontId="191" fillId="0" borderId="0" xfId="21" applyNumberFormat="1" applyFont="1" applyAlignment="1">
      <alignment vertical="center"/>
    </xf>
    <xf numFmtId="164" fontId="191" fillId="0" borderId="0" xfId="21" applyNumberFormat="1" applyFont="1" applyAlignment="1">
      <alignment vertical="center"/>
    </xf>
    <xf numFmtId="167" fontId="191" fillId="0" borderId="0" xfId="21" applyNumberFormat="1" applyFont="1" applyAlignment="1">
      <alignment vertical="center"/>
    </xf>
    <xf numFmtId="0" fontId="137" fillId="0" borderId="0" xfId="26" applyFont="1"/>
    <xf numFmtId="0" fontId="185" fillId="0" borderId="0" xfId="26" applyFont="1"/>
    <xf numFmtId="39" fontId="19" fillId="0" borderId="0" xfId="14" applyNumberFormat="1" applyFont="1" applyAlignment="1">
      <alignment horizontal="right" wrapText="1"/>
    </xf>
    <xf numFmtId="169" fontId="98" fillId="0" borderId="0" xfId="14" applyNumberFormat="1" applyFont="1" applyAlignment="1">
      <alignment vertical="center"/>
    </xf>
    <xf numFmtId="169" fontId="105" fillId="0" borderId="0" xfId="14" applyNumberFormat="1" applyFont="1"/>
    <xf numFmtId="9" fontId="191" fillId="0" borderId="0" xfId="14" applyNumberFormat="1" applyFont="1" applyAlignment="1">
      <alignment vertical="center"/>
    </xf>
    <xf numFmtId="0" fontId="185" fillId="0" borderId="0" xfId="13" applyFont="1" applyAlignment="1">
      <alignment vertical="center"/>
    </xf>
    <xf numFmtId="39" fontId="185" fillId="0" borderId="0" xfId="14" applyNumberFormat="1" applyFont="1" applyAlignment="1">
      <alignment vertical="center"/>
    </xf>
    <xf numFmtId="0" fontId="137" fillId="0" borderId="0" xfId="0" applyFont="1" applyAlignment="1">
      <alignment vertical="center"/>
    </xf>
    <xf numFmtId="0" fontId="137" fillId="0" borderId="0" xfId="0" applyFont="1" applyAlignment="1">
      <alignment horizontal="left" vertical="center"/>
    </xf>
    <xf numFmtId="3" fontId="137" fillId="0" borderId="0" xfId="0" applyNumberFormat="1" applyFont="1" applyAlignment="1">
      <alignment vertical="center"/>
    </xf>
    <xf numFmtId="0" fontId="137" fillId="0" borderId="0" xfId="40" applyFont="1" applyAlignment="1">
      <alignment horizontal="left" vertical="center"/>
    </xf>
    <xf numFmtId="0" fontId="137" fillId="0" borderId="0" xfId="84" applyFont="1" applyAlignment="1">
      <alignment vertical="center"/>
    </xf>
    <xf numFmtId="37" fontId="137" fillId="0" borderId="0" xfId="16" applyNumberFormat="1" applyFont="1" applyAlignment="1">
      <alignment vertical="center"/>
    </xf>
    <xf numFmtId="37" fontId="188" fillId="0" borderId="0" xfId="16" applyNumberFormat="1" applyFont="1" applyAlignment="1">
      <alignment vertical="center"/>
    </xf>
    <xf numFmtId="0" fontId="137" fillId="0" borderId="0" xfId="16" applyFont="1" applyAlignment="1">
      <alignment vertical="center"/>
    </xf>
    <xf numFmtId="3" fontId="188" fillId="0" borderId="0" xfId="16" applyNumberFormat="1" applyFont="1" applyAlignment="1">
      <alignment vertical="center"/>
    </xf>
    <xf numFmtId="0" fontId="188" fillId="0" borderId="0" xfId="16" applyFont="1" applyAlignment="1">
      <alignment vertical="center"/>
    </xf>
    <xf numFmtId="2" fontId="137" fillId="0" borderId="0" xfId="16" applyNumberFormat="1" applyFont="1" applyAlignment="1">
      <alignment vertical="center"/>
    </xf>
    <xf numFmtId="0" fontId="180" fillId="0" borderId="0" xfId="16" applyFont="1" applyAlignment="1">
      <alignment vertical="center"/>
    </xf>
    <xf numFmtId="41" fontId="180" fillId="0" borderId="0" xfId="16" applyNumberFormat="1" applyFont="1" applyAlignment="1">
      <alignment vertical="center"/>
    </xf>
    <xf numFmtId="41" fontId="137" fillId="0" borderId="0" xfId="36" applyNumberFormat="1" applyFont="1"/>
    <xf numFmtId="0" fontId="180" fillId="0" borderId="0" xfId="0" applyFont="1" applyAlignment="1">
      <alignment vertical="center"/>
    </xf>
    <xf numFmtId="0" fontId="180" fillId="0" borderId="0" xfId="16" applyFont="1" applyAlignment="1">
      <alignment horizontal="left" vertical="center"/>
    </xf>
    <xf numFmtId="0" fontId="180" fillId="0" borderId="0" xfId="16" applyFont="1" applyAlignment="1">
      <alignment horizontal="left" vertical="center" wrapText="1"/>
    </xf>
    <xf numFmtId="0" fontId="145" fillId="0" borderId="0" xfId="8" applyFont="1" applyAlignment="1">
      <alignment horizontal="left" vertical="center"/>
    </xf>
    <xf numFmtId="0" fontId="185" fillId="0" borderId="0" xfId="16" applyFont="1" applyAlignment="1">
      <alignment horizontal="left" vertical="center"/>
    </xf>
    <xf numFmtId="0" fontId="185" fillId="0" borderId="0" xfId="16" applyFont="1" applyAlignment="1">
      <alignment vertical="center"/>
    </xf>
    <xf numFmtId="0" fontId="137" fillId="0" borderId="0" xfId="28" applyFont="1"/>
    <xf numFmtId="0" fontId="185" fillId="0" borderId="0" xfId="28" applyFont="1"/>
    <xf numFmtId="0" fontId="185" fillId="0" borderId="0" xfId="0" applyFont="1" applyAlignment="1">
      <alignment horizontal="left" vertical="center"/>
    </xf>
    <xf numFmtId="0" fontId="185" fillId="0" borderId="0" xfId="0" applyFont="1" applyAlignment="1">
      <alignment vertical="center"/>
    </xf>
    <xf numFmtId="0" fontId="185" fillId="0" borderId="0" xfId="28" applyFont="1" applyAlignment="1">
      <alignment horizontal="left" vertical="center"/>
    </xf>
    <xf numFmtId="0" fontId="185" fillId="0" borderId="0" xfId="28" applyFont="1" applyAlignment="1">
      <alignment vertical="center"/>
    </xf>
    <xf numFmtId="0" fontId="51" fillId="0" borderId="19" xfId="28" applyFont="1" applyBorder="1" applyAlignment="1">
      <alignment horizontal="right" indent="2"/>
    </xf>
    <xf numFmtId="0" fontId="151" fillId="0" borderId="0" xfId="28" applyFont="1" applyAlignment="1">
      <alignment horizontal="left" vertical="center"/>
    </xf>
    <xf numFmtId="0" fontId="185" fillId="0" borderId="0" xfId="10" applyFont="1" applyAlignment="1">
      <alignment vertical="center"/>
    </xf>
    <xf numFmtId="37" fontId="185" fillId="0" borderId="0" xfId="17" applyNumberFormat="1" applyFont="1" applyAlignment="1">
      <alignment vertical="center"/>
    </xf>
    <xf numFmtId="0" fontId="185" fillId="0" borderId="0" xfId="17" applyFont="1" applyAlignment="1">
      <alignment vertical="center"/>
    </xf>
    <xf numFmtId="3" fontId="185" fillId="0" borderId="0" xfId="17" applyNumberFormat="1" applyFont="1" applyAlignment="1">
      <alignment vertical="center"/>
    </xf>
    <xf numFmtId="0" fontId="18" fillId="0" borderId="10" xfId="0" applyFont="1" applyBorder="1" applyAlignment="1">
      <alignment horizontal="right"/>
    </xf>
    <xf numFmtId="0" fontId="19" fillId="0" borderId="10" xfId="0" applyFont="1" applyBorder="1" applyAlignment="1">
      <alignment horizontal="right"/>
    </xf>
    <xf numFmtId="0" fontId="37" fillId="0" borderId="10" xfId="0" applyFont="1" applyBorder="1" applyAlignment="1">
      <alignment horizontal="right"/>
    </xf>
    <xf numFmtId="0" fontId="18" fillId="0" borderId="1" xfId="0" applyFont="1" applyBorder="1" applyAlignment="1">
      <alignment horizontal="right" indent="2"/>
    </xf>
    <xf numFmtId="0" fontId="18" fillId="0" borderId="1" xfId="0" applyFont="1" applyBorder="1" applyAlignment="1">
      <alignment horizontal="right" indent="1"/>
    </xf>
    <xf numFmtId="0" fontId="37" fillId="0" borderId="1" xfId="0" applyFont="1" applyBorder="1" applyAlignment="1">
      <alignment horizontal="right" indent="2"/>
    </xf>
    <xf numFmtId="0" fontId="26" fillId="0" borderId="10" xfId="0" applyFont="1" applyBorder="1" applyAlignment="1">
      <alignment horizontal="right" indent="1"/>
    </xf>
    <xf numFmtId="4" fontId="19" fillId="0" borderId="1" xfId="0" applyNumberFormat="1" applyFont="1" applyBorder="1" applyAlignment="1">
      <alignment horizontal="right" indent="2"/>
    </xf>
    <xf numFmtId="167" fontId="26" fillId="0" borderId="1" xfId="0" applyNumberFormat="1" applyFont="1" applyBorder="1" applyAlignment="1">
      <alignment horizontal="right" indent="1"/>
    </xf>
    <xf numFmtId="0" fontId="18" fillId="0" borderId="10" xfId="0" applyFont="1" applyBorder="1" applyAlignment="1">
      <alignment horizontal="right" indent="1"/>
    </xf>
    <xf numFmtId="167" fontId="19" fillId="0" borderId="1" xfId="0" applyNumberFormat="1" applyFont="1" applyBorder="1" applyAlignment="1">
      <alignment horizontal="right" indent="2"/>
    </xf>
    <xf numFmtId="0" fontId="37" fillId="0" borderId="10" xfId="0" applyFont="1" applyBorder="1" applyAlignment="1">
      <alignment horizontal="right" indent="2"/>
    </xf>
    <xf numFmtId="3" fontId="6" fillId="0" borderId="0" xfId="0" applyNumberFormat="1" applyFont="1" applyAlignment="1">
      <alignment horizontal="right" indent="1"/>
    </xf>
    <xf numFmtId="3" fontId="6" fillId="0" borderId="0" xfId="36" applyNumberFormat="1" applyFont="1" applyFill="1" applyBorder="1" applyAlignment="1">
      <alignment horizontal="right" indent="1"/>
    </xf>
    <xf numFmtId="167" fontId="6" fillId="0" borderId="0" xfId="16" applyNumberFormat="1" applyFont="1" applyAlignment="1">
      <alignment horizontal="right" indent="2"/>
    </xf>
    <xf numFmtId="3" fontId="6" fillId="0" borderId="0" xfId="16" applyNumberFormat="1" applyFont="1" applyAlignment="1">
      <alignment horizontal="right" indent="2"/>
    </xf>
    <xf numFmtId="3" fontId="6" fillId="0" borderId="0" xfId="0" applyNumberFormat="1" applyFont="1" applyAlignment="1">
      <alignment horizontal="right" indent="2"/>
    </xf>
    <xf numFmtId="3" fontId="6" fillId="0" borderId="0" xfId="36" applyNumberFormat="1" applyFont="1" applyFill="1" applyBorder="1" applyAlignment="1">
      <alignment horizontal="right" indent="2"/>
    </xf>
    <xf numFmtId="0" fontId="137" fillId="0" borderId="0" xfId="0" applyFont="1" applyAlignment="1">
      <alignment vertical="top"/>
    </xf>
    <xf numFmtId="3" fontId="185" fillId="0" borderId="0" xfId="0" applyNumberFormat="1" applyFont="1"/>
    <xf numFmtId="0" fontId="185" fillId="0" borderId="0" xfId="0" applyFont="1" applyAlignment="1">
      <alignment vertical="top"/>
    </xf>
    <xf numFmtId="1" fontId="20" fillId="0" borderId="0" xfId="0" applyNumberFormat="1" applyFont="1" applyAlignment="1">
      <alignment horizontal="right" indent="1"/>
    </xf>
    <xf numFmtId="0" fontId="85" fillId="0" borderId="0" xfId="9" applyFont="1"/>
    <xf numFmtId="0" fontId="83" fillId="0" borderId="0" xfId="9" applyFont="1"/>
    <xf numFmtId="0" fontId="6" fillId="0" borderId="0" xfId="9" applyFont="1"/>
    <xf numFmtId="0" fontId="18" fillId="0" borderId="14" xfId="9" applyFont="1" applyBorder="1" applyAlignment="1">
      <alignment horizontal="right" vertical="center" wrapText="1"/>
    </xf>
    <xf numFmtId="0" fontId="19" fillId="0" borderId="14" xfId="9" applyFont="1" applyBorder="1" applyAlignment="1">
      <alignment horizontal="right" vertical="center" wrapText="1"/>
    </xf>
    <xf numFmtId="0" fontId="105" fillId="0" borderId="15" xfId="29" applyFont="1" applyBorder="1" applyAlignment="1">
      <alignment vertical="center"/>
    </xf>
    <xf numFmtId="0" fontId="42" fillId="0" borderId="0" xfId="29" applyAlignment="1">
      <alignment vertical="center"/>
    </xf>
    <xf numFmtId="0" fontId="42" fillId="0" borderId="15" xfId="29" applyBorder="1" applyAlignment="1">
      <alignment vertical="center"/>
    </xf>
    <xf numFmtId="0" fontId="26" fillId="0" borderId="15" xfId="29" applyFont="1" applyBorder="1" applyAlignment="1">
      <alignment horizontal="center" vertical="center"/>
    </xf>
    <xf numFmtId="0" fontId="24" fillId="0" borderId="0" xfId="29" applyFont="1" applyAlignment="1">
      <alignment vertical="center"/>
    </xf>
    <xf numFmtId="0" fontId="95" fillId="0" borderId="0" xfId="86" applyAlignment="1" applyProtection="1">
      <alignment horizontal="right" vertical="center"/>
    </xf>
    <xf numFmtId="0" fontId="9" fillId="0" borderId="0" xfId="29" applyFont="1" applyAlignment="1">
      <alignment vertical="center"/>
    </xf>
    <xf numFmtId="0" fontId="185" fillId="4" borderId="0" xfId="10" applyFont="1" applyFill="1"/>
    <xf numFmtId="0" fontId="185" fillId="4" borderId="0" xfId="32" applyFont="1" applyFill="1"/>
    <xf numFmtId="167" fontId="185" fillId="4" borderId="0" xfId="38" applyNumberFormat="1" applyFont="1" applyFill="1"/>
    <xf numFmtId="0" fontId="185" fillId="4" borderId="39" xfId="10" applyFont="1" applyFill="1" applyBorder="1"/>
    <xf numFmtId="0" fontId="137" fillId="4" borderId="0" xfId="33" applyFont="1" applyFill="1" applyAlignment="1">
      <alignment vertical="top"/>
    </xf>
    <xf numFmtId="10" fontId="137" fillId="4" borderId="0" xfId="38" applyNumberFormat="1" applyFont="1" applyFill="1" applyAlignment="1">
      <alignment vertical="top"/>
    </xf>
    <xf numFmtId="0" fontId="137" fillId="4" borderId="0" xfId="33" applyFont="1" applyFill="1" applyAlignment="1">
      <alignment horizontal="left" vertical="top"/>
    </xf>
    <xf numFmtId="44" fontId="137" fillId="4" borderId="0" xfId="4" applyFont="1" applyFill="1" applyAlignment="1">
      <alignment vertical="top"/>
    </xf>
    <xf numFmtId="3" fontId="190" fillId="4" borderId="0" xfId="33" applyNumberFormat="1" applyFont="1" applyFill="1" applyAlignment="1">
      <alignment vertical="top"/>
    </xf>
    <xf numFmtId="0" fontId="190" fillId="4" borderId="0" xfId="33" applyFont="1" applyFill="1" applyAlignment="1">
      <alignment vertical="top"/>
    </xf>
    <xf numFmtId="3" fontId="137" fillId="4" borderId="0" xfId="33" applyNumberFormat="1" applyFont="1" applyFill="1" applyAlignment="1">
      <alignment vertical="top"/>
    </xf>
    <xf numFmtId="0" fontId="137" fillId="0" borderId="0" xfId="13" applyFont="1"/>
    <xf numFmtId="0" fontId="20" fillId="0" borderId="0" xfId="14" applyFont="1" applyAlignment="1">
      <alignment horizontal="left" vertical="center"/>
    </xf>
    <xf numFmtId="3" fontId="6" fillId="0" borderId="0" xfId="14" applyNumberFormat="1" applyFont="1" applyAlignment="1">
      <alignment vertical="center"/>
    </xf>
    <xf numFmtId="37" fontId="6" fillId="0" borderId="0" xfId="14" applyNumberFormat="1" applyFont="1" applyAlignment="1">
      <alignment vertical="center"/>
    </xf>
    <xf numFmtId="169" fontId="6" fillId="0" borderId="51" xfId="36" applyNumberFormat="1" applyFont="1" applyBorder="1" applyAlignment="1">
      <alignment vertical="center"/>
    </xf>
    <xf numFmtId="3" fontId="6" fillId="0" borderId="52" xfId="14" applyNumberFormat="1" applyFont="1" applyBorder="1" applyAlignment="1">
      <alignment vertical="center"/>
    </xf>
    <xf numFmtId="0" fontId="181" fillId="0" borderId="0" xfId="87" applyFont="1"/>
    <xf numFmtId="0" fontId="27" fillId="0" borderId="46" xfId="87" applyFont="1" applyBorder="1" applyAlignment="1">
      <alignment horizontal="left" vertical="center"/>
    </xf>
    <xf numFmtId="0" fontId="27" fillId="0" borderId="46" xfId="87" applyFont="1" applyBorder="1" applyAlignment="1">
      <alignment horizontal="right" vertical="center" wrapText="1"/>
    </xf>
    <xf numFmtId="0" fontId="27" fillId="0" borderId="46" xfId="87" applyFont="1" applyBorder="1" applyAlignment="1">
      <alignment horizontal="right" vertical="center" wrapText="1" indent="1"/>
    </xf>
    <xf numFmtId="0" fontId="185" fillId="0" borderId="0" xfId="87" applyFont="1" applyAlignment="1">
      <alignment horizontal="left" vertical="center"/>
    </xf>
    <xf numFmtId="0" fontId="185" fillId="0" borderId="0" xfId="87" applyFont="1" applyAlignment="1">
      <alignment vertical="center"/>
    </xf>
    <xf numFmtId="0" fontId="19" fillId="0" borderId="41" xfId="87" applyFont="1" applyBorder="1" applyAlignment="1">
      <alignment horizontal="left"/>
    </xf>
    <xf numFmtId="0" fontId="140" fillId="0" borderId="41" xfId="87" applyFont="1" applyBorder="1" applyAlignment="1">
      <alignment horizontal="center" vertical="center" wrapText="1"/>
    </xf>
    <xf numFmtId="3" fontId="19" fillId="0" borderId="41" xfId="87" applyNumberFormat="1" applyFont="1" applyBorder="1" applyAlignment="1">
      <alignment horizontal="right" vertical="center" indent="1"/>
    </xf>
    <xf numFmtId="3" fontId="19" fillId="0" borderId="41" xfId="87" applyNumberFormat="1" applyFont="1" applyBorder="1" applyAlignment="1">
      <alignment horizontal="right" vertical="center" indent="2"/>
    </xf>
    <xf numFmtId="3" fontId="19" fillId="0" borderId="41" xfId="87" applyNumberFormat="1" applyFont="1" applyBorder="1" applyAlignment="1">
      <alignment horizontal="right" vertical="center" indent="3"/>
    </xf>
    <xf numFmtId="0" fontId="19" fillId="0" borderId="41" xfId="87" applyFont="1" applyBorder="1" applyAlignment="1">
      <alignment vertical="center"/>
    </xf>
    <xf numFmtId="0" fontId="185" fillId="0" borderId="0" xfId="87" applyFont="1" applyAlignment="1">
      <alignment horizontal="left"/>
    </xf>
    <xf numFmtId="179" fontId="185" fillId="0" borderId="0" xfId="88" applyNumberFormat="1" applyFont="1" applyFill="1" applyAlignment="1">
      <alignment vertical="center"/>
    </xf>
    <xf numFmtId="9" fontId="192" fillId="0" borderId="0" xfId="36" applyFont="1" applyFill="1"/>
    <xf numFmtId="0" fontId="181" fillId="0" borderId="0" xfId="84" applyFont="1" applyAlignment="1">
      <alignment horizontal="center"/>
    </xf>
    <xf numFmtId="0" fontId="137" fillId="0" borderId="0" xfId="84" applyFont="1" applyAlignment="1">
      <alignment vertical="center" wrapText="1"/>
    </xf>
    <xf numFmtId="0" fontId="194" fillId="0" borderId="0" xfId="8" applyFont="1"/>
    <xf numFmtId="3" fontId="135" fillId="0" borderId="0" xfId="84" applyNumberFormat="1" applyFont="1"/>
    <xf numFmtId="41" fontId="98" fillId="0" borderId="0" xfId="35" applyNumberFormat="1" applyFont="1"/>
    <xf numFmtId="9" fontId="6" fillId="0" borderId="0" xfId="36" applyFont="1" applyAlignment="1"/>
    <xf numFmtId="0" fontId="7" fillId="0" borderId="0" xfId="16" applyAlignment="1">
      <alignment horizontal="center"/>
    </xf>
    <xf numFmtId="169" fontId="120" fillId="0" borderId="0" xfId="36" applyNumberFormat="1" applyFont="1" applyProtection="1"/>
    <xf numFmtId="169" fontId="56" fillId="0" borderId="0" xfId="36" applyNumberFormat="1" applyFont="1" applyProtection="1"/>
    <xf numFmtId="0" fontId="19" fillId="0" borderId="1" xfId="25" applyFont="1" applyBorder="1" applyAlignment="1">
      <alignment horizontal="right" indent="1"/>
    </xf>
    <xf numFmtId="37" fontId="6" fillId="0" borderId="0" xfId="88" applyNumberFormat="1" applyFont="1" applyFill="1" applyBorder="1" applyAlignment="1">
      <alignment horizontal="right" wrapText="1"/>
    </xf>
    <xf numFmtId="0" fontId="6" fillId="0" borderId="0" xfId="40" applyAlignment="1">
      <alignment horizontal="right" wrapText="1"/>
    </xf>
    <xf numFmtId="0" fontId="76" fillId="0" borderId="0" xfId="0" applyFont="1" applyAlignment="1">
      <alignment wrapText="1"/>
    </xf>
    <xf numFmtId="0" fontId="76" fillId="0" borderId="0" xfId="0" applyFont="1" applyAlignment="1">
      <alignment horizontal="left" wrapText="1"/>
    </xf>
    <xf numFmtId="0" fontId="76" fillId="0" borderId="0" xfId="40" applyFont="1" applyAlignment="1">
      <alignment horizontal="right" wrapText="1"/>
    </xf>
    <xf numFmtId="3" fontId="76" fillId="0" borderId="0" xfId="40" applyNumberFormat="1" applyFont="1" applyAlignment="1">
      <alignment horizontal="right"/>
    </xf>
    <xf numFmtId="37" fontId="76" fillId="0" borderId="0" xfId="88" applyNumberFormat="1" applyFont="1" applyFill="1" applyBorder="1" applyAlignment="1">
      <alignment horizontal="right" wrapText="1"/>
    </xf>
    <xf numFmtId="0" fontId="7" fillId="0" borderId="0" xfId="8" applyFont="1" applyAlignment="1">
      <alignment horizontal="left"/>
    </xf>
    <xf numFmtId="3" fontId="7" fillId="0" borderId="0" xfId="12" applyNumberFormat="1"/>
    <xf numFmtId="3" fontId="6" fillId="0" borderId="0" xfId="22" applyNumberFormat="1" applyFont="1" applyAlignment="1">
      <alignment horizontal="right"/>
    </xf>
    <xf numFmtId="0" fontId="196" fillId="0" borderId="0" xfId="25" applyFont="1"/>
    <xf numFmtId="0" fontId="38" fillId="0" borderId="0" xfId="0" applyFont="1" applyAlignment="1">
      <alignment horizontal="left"/>
    </xf>
    <xf numFmtId="0" fontId="23" fillId="0" borderId="0" xfId="0" applyFont="1" applyAlignment="1">
      <alignment horizontal="left" indent="1"/>
    </xf>
    <xf numFmtId="0" fontId="95" fillId="0" borderId="0" xfId="86" applyBorder="1" applyAlignment="1" applyProtection="1">
      <alignment horizontal="left" indent="1"/>
    </xf>
    <xf numFmtId="0" fontId="96" fillId="0" borderId="0" xfId="0" applyFont="1" applyAlignment="1">
      <alignment horizontal="left" vertical="center" wrapText="1"/>
    </xf>
    <xf numFmtId="3" fontId="137" fillId="0" borderId="0" xfId="0" applyNumberFormat="1" applyFont="1" applyAlignment="1">
      <alignment horizontal="right" vertical="center"/>
    </xf>
    <xf numFmtId="0" fontId="95" fillId="0" borderId="0" xfId="86" applyAlignment="1" applyProtection="1">
      <alignment horizontal="left" vertical="center" wrapText="1" indent="1"/>
    </xf>
    <xf numFmtId="0" fontId="185" fillId="0" borderId="0" xfId="14" applyFont="1" applyAlignment="1">
      <alignment horizontal="left"/>
    </xf>
    <xf numFmtId="37" fontId="185" fillId="0" borderId="0" xfId="14" applyNumberFormat="1" applyFont="1"/>
    <xf numFmtId="37" fontId="191" fillId="0" borderId="0" xfId="14" applyNumberFormat="1" applyFont="1"/>
    <xf numFmtId="9" fontId="191" fillId="0" borderId="0" xfId="14" applyNumberFormat="1" applyFont="1"/>
    <xf numFmtId="0" fontId="185" fillId="0" borderId="0" xfId="13" applyFont="1"/>
    <xf numFmtId="0" fontId="185" fillId="0" borderId="0" xfId="14" applyFont="1" applyAlignment="1">
      <alignment horizontal="left" vertical="top"/>
    </xf>
    <xf numFmtId="37" fontId="185" fillId="0" borderId="0" xfId="14" applyNumberFormat="1" applyFont="1" applyAlignment="1">
      <alignment vertical="top"/>
    </xf>
    <xf numFmtId="39" fontId="185" fillId="0" borderId="0" xfId="14" applyNumberFormat="1" applyFont="1" applyAlignment="1">
      <alignment vertical="top"/>
    </xf>
    <xf numFmtId="174" fontId="185" fillId="0" borderId="0" xfId="14" applyNumberFormat="1" applyFont="1" applyAlignment="1">
      <alignment vertical="top"/>
    </xf>
    <xf numFmtId="0" fontId="185" fillId="0" borderId="0" xfId="14" applyFont="1" applyAlignment="1">
      <alignment vertical="top"/>
    </xf>
    <xf numFmtId="0" fontId="185" fillId="0" borderId="0" xfId="16" applyFont="1"/>
    <xf numFmtId="3" fontId="185" fillId="0" borderId="0" xfId="16" applyNumberFormat="1" applyFont="1"/>
    <xf numFmtId="0" fontId="176" fillId="0" borderId="0" xfId="84" applyFont="1"/>
    <xf numFmtId="0" fontId="176" fillId="4" borderId="39" xfId="10" applyFont="1" applyFill="1" applyBorder="1"/>
    <xf numFmtId="167" fontId="176" fillId="4" borderId="0" xfId="38" applyNumberFormat="1" applyFont="1" applyFill="1"/>
    <xf numFmtId="0" fontId="176" fillId="0" borderId="0" xfId="17" applyFont="1"/>
    <xf numFmtId="37" fontId="98" fillId="0" borderId="0" xfId="17" applyNumberFormat="1" applyFont="1"/>
    <xf numFmtId="0" fontId="176" fillId="0" borderId="0" xfId="17" applyFont="1" applyAlignment="1">
      <alignment vertical="center"/>
    </xf>
    <xf numFmtId="0" fontId="98" fillId="0" borderId="0" xfId="17" applyFont="1"/>
    <xf numFmtId="0" fontId="176" fillId="0" borderId="0" xfId="0" applyFont="1" applyAlignment="1">
      <alignment vertical="center"/>
    </xf>
    <xf numFmtId="0" fontId="176" fillId="0" borderId="0" xfId="10" applyFont="1" applyAlignment="1">
      <alignment vertical="center"/>
    </xf>
    <xf numFmtId="3" fontId="176" fillId="0" borderId="0" xfId="17" applyNumberFormat="1" applyFont="1"/>
    <xf numFmtId="0" fontId="176" fillId="0" borderId="0" xfId="97" applyFont="1" applyAlignment="1">
      <alignment vertical="center"/>
    </xf>
    <xf numFmtId="0" fontId="176" fillId="4" borderId="0" xfId="32" applyFont="1" applyFill="1"/>
    <xf numFmtId="3" fontId="176" fillId="0" borderId="0" xfId="17" applyNumberFormat="1" applyFont="1" applyAlignment="1">
      <alignment vertical="center"/>
    </xf>
    <xf numFmtId="0" fontId="176" fillId="0" borderId="0" xfId="11" applyFont="1"/>
    <xf numFmtId="3" fontId="176" fillId="0" borderId="0" xfId="11" applyNumberFormat="1" applyFont="1"/>
    <xf numFmtId="0" fontId="176" fillId="0" borderId="0" xfId="11" applyFont="1" applyAlignment="1">
      <alignment vertical="center"/>
    </xf>
    <xf numFmtId="3" fontId="176" fillId="0" borderId="0" xfId="11" applyNumberFormat="1" applyFont="1" applyAlignment="1">
      <alignment vertical="center"/>
    </xf>
    <xf numFmtId="0" fontId="197" fillId="0" borderId="0" xfId="8" applyFont="1"/>
    <xf numFmtId="3" fontId="108" fillId="0" borderId="0" xfId="8" applyNumberFormat="1" applyFont="1"/>
    <xf numFmtId="167" fontId="112" fillId="0" borderId="0" xfId="8" applyNumberFormat="1" applyFont="1"/>
    <xf numFmtId="0" fontId="108" fillId="0" borderId="0" xfId="8" applyFont="1"/>
    <xf numFmtId="10" fontId="108" fillId="0" borderId="0" xfId="8" applyNumberFormat="1" applyFont="1"/>
    <xf numFmtId="0" fontId="198" fillId="0" borderId="0" xfId="8" applyFont="1" applyAlignment="1">
      <alignment horizontal="center"/>
    </xf>
    <xf numFmtId="0" fontId="108" fillId="0" borderId="0" xfId="8" applyFont="1" applyAlignment="1">
      <alignment horizontal="left"/>
    </xf>
    <xf numFmtId="164" fontId="194" fillId="0" borderId="0" xfId="8" applyNumberFormat="1" applyFont="1"/>
    <xf numFmtId="0" fontId="18" fillId="0" borderId="14" xfId="91" applyFont="1" applyBorder="1" applyAlignment="1">
      <alignment horizontal="right" vertical="center" wrapText="1"/>
    </xf>
    <xf numFmtId="10" fontId="7" fillId="0" borderId="0" xfId="97" applyNumberFormat="1" applyFont="1" applyAlignment="1">
      <alignment horizontal="right" vertical="center"/>
    </xf>
    <xf numFmtId="10" fontId="173" fillId="0" borderId="0" xfId="97" applyNumberFormat="1" applyFont="1" applyAlignment="1">
      <alignment horizontal="center"/>
    </xf>
    <xf numFmtId="0" fontId="8" fillId="0" borderId="0" xfId="97" applyFont="1"/>
    <xf numFmtId="10" fontId="7" fillId="0" borderId="0" xfId="97" applyNumberFormat="1" applyFont="1"/>
    <xf numFmtId="9" fontId="100" fillId="37" borderId="0" xfId="97" applyNumberFormat="1" applyFont="1" applyFill="1" applyAlignment="1">
      <alignment horizontal="center" vertical="center"/>
    </xf>
    <xf numFmtId="9" fontId="100" fillId="38" borderId="0" xfId="97" applyNumberFormat="1" applyFont="1" applyFill="1" applyAlignment="1">
      <alignment horizontal="center" vertical="center"/>
    </xf>
    <xf numFmtId="9" fontId="100" fillId="39" borderId="0" xfId="97" applyNumberFormat="1" applyFont="1" applyFill="1" applyAlignment="1">
      <alignment horizontal="center" vertical="center"/>
    </xf>
    <xf numFmtId="10" fontId="8" fillId="0" borderId="0" xfId="97" applyNumberFormat="1" applyFont="1"/>
    <xf numFmtId="10" fontId="9" fillId="0" borderId="0" xfId="97" applyNumberFormat="1" applyFont="1" applyAlignment="1">
      <alignment horizontal="right" vertical="center"/>
    </xf>
    <xf numFmtId="0" fontId="148" fillId="0" borderId="0" xfId="97" applyFont="1"/>
    <xf numFmtId="3" fontId="100" fillId="0" borderId="0" xfId="97" applyNumberFormat="1" applyFont="1"/>
    <xf numFmtId="10" fontId="108" fillId="0" borderId="0" xfId="97" applyNumberFormat="1" applyFont="1"/>
    <xf numFmtId="9" fontId="100" fillId="40" borderId="0" xfId="97" applyNumberFormat="1" applyFont="1" applyFill="1" applyAlignment="1">
      <alignment horizontal="center" vertical="center"/>
    </xf>
    <xf numFmtId="10" fontId="9" fillId="0" borderId="0" xfId="0" applyNumberFormat="1" applyFont="1" applyAlignment="1">
      <alignment horizontal="center"/>
    </xf>
    <xf numFmtId="10" fontId="151" fillId="0" borderId="0" xfId="91" applyNumberFormat="1" applyFont="1" applyAlignment="1">
      <alignment horizontal="right"/>
    </xf>
    <xf numFmtId="10" fontId="151" fillId="0" borderId="0" xfId="91" applyNumberFormat="1" applyFont="1" applyAlignment="1">
      <alignment horizontal="left"/>
    </xf>
    <xf numFmtId="169" fontId="151" fillId="0" borderId="0" xfId="91" applyNumberFormat="1" applyFont="1" applyAlignment="1">
      <alignment horizontal="right"/>
    </xf>
    <xf numFmtId="10" fontId="199" fillId="0" borderId="0" xfId="91" applyNumberFormat="1" applyFont="1" applyAlignment="1">
      <alignment horizontal="left"/>
    </xf>
    <xf numFmtId="10" fontId="200" fillId="0" borderId="0" xfId="0" applyNumberFormat="1" applyFont="1"/>
    <xf numFmtId="0" fontId="76" fillId="0" borderId="60" xfId="0" applyFont="1" applyBorder="1" applyAlignment="1">
      <alignment vertical="top"/>
    </xf>
    <xf numFmtId="0" fontId="76" fillId="0" borderId="60" xfId="0" applyFont="1" applyBorder="1" applyAlignment="1">
      <alignment vertical="top" wrapText="1"/>
    </xf>
    <xf numFmtId="0" fontId="76" fillId="0" borderId="60" xfId="0" applyFont="1" applyBorder="1" applyAlignment="1">
      <alignment horizontal="left" vertical="top" wrapText="1"/>
    </xf>
    <xf numFmtId="3" fontId="76" fillId="0" borderId="60" xfId="40" applyNumberFormat="1" applyFont="1" applyBorder="1" applyAlignment="1">
      <alignment horizontal="right" vertical="top"/>
    </xf>
    <xf numFmtId="0" fontId="76" fillId="0" borderId="60" xfId="0" applyFont="1" applyBorder="1"/>
    <xf numFmtId="0" fontId="76" fillId="0" borderId="60" xfId="0" applyFont="1" applyBorder="1" applyAlignment="1">
      <alignment wrapText="1"/>
    </xf>
    <xf numFmtId="0" fontId="76" fillId="0" borderId="60" xfId="0" applyFont="1" applyBorder="1" applyAlignment="1">
      <alignment horizontal="left" wrapText="1"/>
    </xf>
    <xf numFmtId="3" fontId="76" fillId="0" borderId="60" xfId="40" applyNumberFormat="1" applyFont="1" applyBorder="1" applyAlignment="1">
      <alignment horizontal="right"/>
    </xf>
    <xf numFmtId="0" fontId="6" fillId="0" borderId="60" xfId="0" applyFont="1" applyBorder="1"/>
    <xf numFmtId="0" fontId="6" fillId="0" borderId="60" xfId="0" applyFont="1" applyBorder="1" applyAlignment="1">
      <alignment wrapText="1"/>
    </xf>
    <xf numFmtId="0" fontId="6" fillId="0" borderId="60" xfId="0" applyFont="1" applyBorder="1" applyAlignment="1">
      <alignment horizontal="left" wrapText="1"/>
    </xf>
    <xf numFmtId="3" fontId="6" fillId="0" borderId="60" xfId="40" applyNumberFormat="1" applyBorder="1" applyAlignment="1">
      <alignment horizontal="right"/>
    </xf>
    <xf numFmtId="9" fontId="98" fillId="0" borderId="0" xfId="36" applyFont="1"/>
    <xf numFmtId="3" fontId="98" fillId="0" borderId="0" xfId="13" applyNumberFormat="1" applyFont="1"/>
    <xf numFmtId="3" fontId="42" fillId="0" borderId="0" xfId="25" applyNumberFormat="1" applyAlignment="1">
      <alignment horizontal="right" vertical="top"/>
    </xf>
    <xf numFmtId="3" fontId="42" fillId="0" borderId="0" xfId="25" applyNumberFormat="1" applyAlignment="1">
      <alignment vertical="top"/>
    </xf>
    <xf numFmtId="44" fontId="23" fillId="0" borderId="0" xfId="0" applyNumberFormat="1" applyFont="1" applyAlignment="1">
      <alignment vertical="center"/>
    </xf>
    <xf numFmtId="0" fontId="3" fillId="0" borderId="0" xfId="0" applyFont="1" applyAlignment="1">
      <alignment wrapText="1"/>
    </xf>
    <xf numFmtId="41" fontId="6" fillId="0" borderId="0" xfId="14" applyNumberFormat="1" applyFont="1"/>
    <xf numFmtId="39" fontId="19" fillId="0" borderId="17" xfId="14" applyNumberFormat="1" applyFont="1" applyBorder="1" applyAlignment="1">
      <alignment horizontal="center" wrapText="1"/>
    </xf>
    <xf numFmtId="41" fontId="202" fillId="0" borderId="0" xfId="14" applyNumberFormat="1" applyFont="1" applyAlignment="1">
      <alignment horizontal="left"/>
    </xf>
    <xf numFmtId="41" fontId="202" fillId="0" borderId="0" xfId="14" applyNumberFormat="1" applyFont="1"/>
    <xf numFmtId="0" fontId="202" fillId="0" borderId="0" xfId="13" applyFont="1"/>
    <xf numFmtId="0" fontId="202" fillId="0" borderId="0" xfId="14" applyFont="1" applyAlignment="1">
      <alignment horizontal="right"/>
    </xf>
    <xf numFmtId="37" fontId="202" fillId="0" borderId="0" xfId="14" applyNumberFormat="1" applyFont="1" applyAlignment="1">
      <alignment horizontal="left"/>
    </xf>
    <xf numFmtId="39" fontId="202" fillId="0" borderId="0" xfId="14" applyNumberFormat="1" applyFont="1"/>
    <xf numFmtId="37" fontId="202" fillId="0" borderId="0" xfId="14" applyNumberFormat="1" applyFont="1"/>
    <xf numFmtId="0" fontId="196" fillId="0" borderId="0" xfId="14" applyFont="1" applyAlignment="1">
      <alignment horizontal="left" vertical="center"/>
    </xf>
    <xf numFmtId="37" fontId="203" fillId="0" borderId="0" xfId="14" applyNumberFormat="1" applyFont="1" applyAlignment="1">
      <alignment vertical="center"/>
    </xf>
    <xf numFmtId="9" fontId="203" fillId="0" borderId="0" xfId="14" applyNumberFormat="1" applyFont="1" applyAlignment="1">
      <alignment vertical="center"/>
    </xf>
    <xf numFmtId="5" fontId="203" fillId="0" borderId="0" xfId="14" applyNumberFormat="1" applyFont="1" applyAlignment="1">
      <alignment vertical="center"/>
    </xf>
    <xf numFmtId="0" fontId="137" fillId="0" borderId="0" xfId="87" applyFont="1" applyAlignment="1">
      <alignment horizontal="left"/>
    </xf>
    <xf numFmtId="0" fontId="6" fillId="0" borderId="0" xfId="87" applyAlignment="1">
      <alignment horizontal="left" indent="1"/>
    </xf>
    <xf numFmtId="167" fontId="25" fillId="0" borderId="0" xfId="91" quotePrefix="1" applyNumberFormat="1" applyFont="1" applyAlignment="1">
      <alignment horizontal="right"/>
    </xf>
    <xf numFmtId="167" fontId="25" fillId="0" borderId="0" xfId="87" applyNumberFormat="1" applyFont="1" applyAlignment="1">
      <alignment horizontal="right"/>
    </xf>
    <xf numFmtId="3" fontId="25" fillId="0" borderId="0" xfId="91" quotePrefix="1" applyNumberFormat="1" applyFont="1" applyAlignment="1">
      <alignment horizontal="right"/>
    </xf>
    <xf numFmtId="3" fontId="25" fillId="0" borderId="0" xfId="87" applyNumberFormat="1" applyFont="1" applyAlignment="1">
      <alignment horizontal="right"/>
    </xf>
    <xf numFmtId="0" fontId="25" fillId="0" borderId="0" xfId="91" quotePrefix="1" applyFont="1" applyAlignment="1">
      <alignment horizontal="right"/>
    </xf>
    <xf numFmtId="0" fontId="25" fillId="0" borderId="0" xfId="91" applyFont="1" applyAlignment="1">
      <alignment horizontal="right"/>
    </xf>
    <xf numFmtId="3" fontId="25" fillId="0" borderId="0" xfId="91" applyNumberFormat="1" applyFont="1" applyAlignment="1">
      <alignment horizontal="right"/>
    </xf>
    <xf numFmtId="167" fontId="25" fillId="0" borderId="0" xfId="91" applyNumberFormat="1" applyFont="1" applyAlignment="1">
      <alignment horizontal="right"/>
    </xf>
    <xf numFmtId="167" fontId="137" fillId="0" borderId="0" xfId="87" applyNumberFormat="1" applyFont="1" applyAlignment="1">
      <alignment vertical="center"/>
    </xf>
    <xf numFmtId="3" fontId="137" fillId="0" borderId="0" xfId="87" applyNumberFormat="1" applyFont="1"/>
    <xf numFmtId="179" fontId="137" fillId="0" borderId="0" xfId="88" applyNumberFormat="1" applyFont="1" applyFill="1"/>
    <xf numFmtId="167" fontId="184" fillId="0" borderId="0" xfId="91" applyNumberFormat="1" applyFont="1"/>
    <xf numFmtId="167" fontId="184" fillId="0" borderId="0" xfId="91" applyNumberFormat="1" applyFont="1" applyAlignment="1">
      <alignment horizontal="right" indent="1"/>
    </xf>
    <xf numFmtId="3" fontId="184" fillId="0" borderId="0" xfId="91" applyNumberFormat="1" applyFont="1"/>
    <xf numFmtId="3" fontId="184" fillId="0" borderId="0" xfId="91" applyNumberFormat="1" applyFont="1" applyAlignment="1">
      <alignment horizontal="right" indent="1"/>
    </xf>
    <xf numFmtId="10" fontId="184" fillId="0" borderId="0" xfId="91" applyNumberFormat="1" applyFont="1"/>
    <xf numFmtId="3" fontId="184" fillId="0" borderId="0" xfId="87" applyNumberFormat="1" applyFont="1"/>
    <xf numFmtId="3" fontId="184" fillId="0" borderId="0" xfId="87" applyNumberFormat="1" applyFont="1" applyAlignment="1">
      <alignment horizontal="right" indent="1"/>
    </xf>
    <xf numFmtId="10" fontId="184" fillId="0" borderId="0" xfId="87" applyNumberFormat="1" applyFont="1"/>
    <xf numFmtId="167" fontId="184" fillId="0" borderId="0" xfId="87" applyNumberFormat="1" applyFont="1"/>
    <xf numFmtId="167" fontId="184" fillId="0" borderId="0" xfId="87" applyNumberFormat="1" applyFont="1" applyAlignment="1">
      <alignment horizontal="right" indent="1"/>
    </xf>
    <xf numFmtId="167" fontId="184" fillId="0" borderId="0" xfId="3" applyNumberFormat="1" applyFont="1" applyFill="1"/>
    <xf numFmtId="3" fontId="184" fillId="0" borderId="0" xfId="3" applyNumberFormat="1" applyFont="1" applyFill="1"/>
    <xf numFmtId="167" fontId="184" fillId="0" borderId="0" xfId="90" applyNumberFormat="1" applyFont="1" applyFill="1"/>
    <xf numFmtId="3" fontId="184" fillId="0" borderId="0" xfId="90" applyNumberFormat="1" applyFont="1" applyFill="1"/>
    <xf numFmtId="3" fontId="184" fillId="0" borderId="0" xfId="90" applyNumberFormat="1" applyFont="1" applyFill="1" applyBorder="1"/>
    <xf numFmtId="167" fontId="15" fillId="0" borderId="0" xfId="87" applyNumberFormat="1" applyFont="1"/>
    <xf numFmtId="9" fontId="137" fillId="0" borderId="0" xfId="36" applyFont="1" applyFill="1" applyAlignment="1">
      <alignment vertical="center"/>
    </xf>
    <xf numFmtId="3" fontId="204" fillId="0" borderId="0" xfId="87" applyNumberFormat="1" applyFont="1"/>
    <xf numFmtId="169" fontId="204" fillId="0" borderId="41" xfId="36" applyNumberFormat="1" applyFont="1" applyFill="1" applyBorder="1" applyAlignment="1"/>
    <xf numFmtId="167" fontId="204" fillId="0" borderId="0" xfId="87" applyNumberFormat="1" applyFont="1"/>
    <xf numFmtId="4" fontId="204" fillId="0" borderId="0" xfId="87" applyNumberFormat="1" applyFont="1"/>
    <xf numFmtId="0" fontId="182" fillId="0" borderId="61" xfId="87" applyFont="1" applyBorder="1"/>
    <xf numFmtId="179" fontId="205" fillId="0" borderId="61" xfId="88" applyNumberFormat="1" applyFont="1" applyFill="1" applyBorder="1" applyAlignment="1"/>
    <xf numFmtId="0" fontId="205" fillId="0" borderId="0" xfId="87" applyFont="1"/>
    <xf numFmtId="41" fontId="205" fillId="0" borderId="0" xfId="87" applyNumberFormat="1" applyFont="1"/>
    <xf numFmtId="0" fontId="182" fillId="0" borderId="0" xfId="87" applyFont="1" applyAlignment="1">
      <alignment horizontal="right"/>
    </xf>
    <xf numFmtId="3" fontId="206" fillId="0" borderId="0" xfId="87" applyNumberFormat="1" applyFont="1"/>
    <xf numFmtId="4" fontId="206" fillId="0" borderId="0" xfId="87" applyNumberFormat="1" applyFont="1"/>
    <xf numFmtId="3" fontId="19" fillId="4" borderId="14" xfId="32" applyNumberFormat="1" applyFont="1" applyFill="1" applyBorder="1" applyAlignment="1">
      <alignment horizontal="left"/>
    </xf>
    <xf numFmtId="3" fontId="6" fillId="0" borderId="0" xfId="1" applyNumberFormat="1" applyFont="1" applyFill="1" applyAlignment="1">
      <alignment horizontal="center"/>
    </xf>
    <xf numFmtId="3" fontId="204" fillId="0" borderId="0" xfId="1" applyNumberFormat="1" applyFont="1" applyFill="1" applyAlignment="1">
      <alignment horizontal="center"/>
    </xf>
    <xf numFmtId="5" fontId="204" fillId="0" borderId="0" xfId="29" applyNumberFormat="1" applyFont="1"/>
    <xf numFmtId="37" fontId="204" fillId="0" borderId="0" xfId="29" applyNumberFormat="1" applyFont="1"/>
    <xf numFmtId="37" fontId="204" fillId="0" borderId="41" xfId="29" applyNumberFormat="1" applyFont="1" applyBorder="1"/>
    <xf numFmtId="5" fontId="207" fillId="0" borderId="0" xfId="29" applyNumberFormat="1" applyFont="1"/>
    <xf numFmtId="5" fontId="207" fillId="0" borderId="15" xfId="29" applyNumberFormat="1" applyFont="1" applyBorder="1" applyAlignment="1">
      <alignment vertical="center"/>
    </xf>
    <xf numFmtId="5" fontId="207" fillId="0" borderId="13" xfId="29" applyNumberFormat="1" applyFont="1" applyBorder="1"/>
    <xf numFmtId="0" fontId="19" fillId="0" borderId="15" xfId="29" applyFont="1" applyBorder="1" applyAlignment="1">
      <alignment horizontal="center" vertical="center"/>
    </xf>
    <xf numFmtId="0" fontId="19" fillId="0" borderId="13" xfId="29" applyFont="1" applyBorder="1"/>
    <xf numFmtId="0" fontId="19" fillId="0" borderId="15" xfId="29" applyFont="1" applyBorder="1" applyAlignment="1">
      <alignment vertical="center"/>
    </xf>
    <xf numFmtId="5" fontId="208" fillId="0" borderId="0" xfId="17" applyNumberFormat="1" applyFont="1"/>
    <xf numFmtId="37" fontId="208" fillId="0" borderId="0" xfId="17" applyNumberFormat="1" applyFont="1"/>
    <xf numFmtId="5" fontId="209" fillId="0" borderId="8" xfId="17" applyNumberFormat="1" applyFont="1" applyBorder="1" applyAlignment="1">
      <alignment vertical="center"/>
    </xf>
    <xf numFmtId="37" fontId="208" fillId="0" borderId="41" xfId="17" applyNumberFormat="1" applyFont="1" applyBorder="1"/>
    <xf numFmtId="5" fontId="209" fillId="0" borderId="8" xfId="17" applyNumberFormat="1" applyFont="1" applyBorder="1"/>
    <xf numFmtId="37" fontId="210" fillId="0" borderId="0" xfId="17" applyNumberFormat="1" applyFont="1"/>
    <xf numFmtId="0" fontId="210" fillId="0" borderId="0" xfId="17" applyFont="1"/>
    <xf numFmtId="0" fontId="211" fillId="0" borderId="0" xfId="28" applyFont="1"/>
    <xf numFmtId="0" fontId="212" fillId="0" borderId="0" xfId="28" applyFont="1"/>
    <xf numFmtId="41" fontId="211" fillId="0" borderId="0" xfId="28" applyNumberFormat="1" applyFont="1"/>
    <xf numFmtId="0" fontId="211" fillId="0" borderId="0" xfId="28" applyFont="1" applyAlignment="1">
      <alignment horizontal="right"/>
    </xf>
    <xf numFmtId="0" fontId="182" fillId="0" borderId="0" xfId="28" applyFont="1"/>
    <xf numFmtId="167" fontId="22" fillId="0" borderId="0" xfId="28" applyNumberFormat="1" applyFont="1"/>
    <xf numFmtId="3" fontId="90" fillId="0" borderId="0" xfId="28" applyNumberFormat="1" applyFont="1"/>
    <xf numFmtId="41" fontId="185" fillId="0" borderId="0" xfId="28" applyNumberFormat="1" applyFont="1" applyAlignment="1">
      <alignment horizontal="left" vertical="center"/>
    </xf>
    <xf numFmtId="3" fontId="207" fillId="0" borderId="15" xfId="25" applyNumberFormat="1" applyFont="1" applyBorder="1" applyAlignment="1">
      <alignment horizontal="right" vertical="center"/>
    </xf>
    <xf numFmtId="167" fontId="207" fillId="0" borderId="15" xfId="25" applyNumberFormat="1" applyFont="1" applyBorder="1" applyAlignment="1">
      <alignment vertical="center"/>
    </xf>
    <xf numFmtId="0" fontId="207" fillId="0" borderId="15" xfId="25" applyFont="1" applyBorder="1" applyAlignment="1">
      <alignment vertical="center"/>
    </xf>
    <xf numFmtId="0" fontId="196" fillId="0" borderId="0" xfId="0" applyFont="1"/>
    <xf numFmtId="0" fontId="215" fillId="0" borderId="0" xfId="0" applyFont="1"/>
    <xf numFmtId="10" fontId="215" fillId="0" borderId="0" xfId="0" applyNumberFormat="1" applyFont="1"/>
    <xf numFmtId="10" fontId="135" fillId="0" borderId="0" xfId="0" applyNumberFormat="1" applyFont="1"/>
    <xf numFmtId="0" fontId="214" fillId="0" borderId="0" xfId="21" applyFont="1" applyAlignment="1">
      <alignment horizontal="left"/>
    </xf>
    <xf numFmtId="0" fontId="196" fillId="0" borderId="0" xfId="0" applyFont="1" applyAlignment="1">
      <alignment horizontal="left" indent="1"/>
    </xf>
    <xf numFmtId="0" fontId="186" fillId="0" borderId="0" xfId="0" applyFont="1"/>
    <xf numFmtId="3" fontId="6" fillId="0" borderId="0" xfId="14" applyNumberFormat="1" applyFont="1" applyAlignment="1">
      <alignment horizontal="right" indent="1"/>
    </xf>
    <xf numFmtId="3" fontId="74" fillId="0" borderId="0" xfId="8" applyNumberFormat="1" applyFont="1"/>
    <xf numFmtId="164" fontId="217" fillId="0" borderId="0" xfId="8" applyNumberFormat="1" applyFont="1"/>
    <xf numFmtId="164" fontId="218" fillId="0" borderId="0" xfId="8" applyNumberFormat="1" applyFont="1"/>
    <xf numFmtId="0" fontId="202" fillId="0" borderId="0" xfId="8" applyFont="1"/>
    <xf numFmtId="0" fontId="135" fillId="0" borderId="0" xfId="8" applyFont="1"/>
    <xf numFmtId="179" fontId="135" fillId="0" borderId="0" xfId="41" applyNumberFormat="1" applyFont="1" applyFill="1" applyAlignment="1"/>
    <xf numFmtId="3" fontId="141" fillId="0" borderId="0" xfId="8" applyNumberFormat="1" applyFont="1"/>
    <xf numFmtId="3" fontId="141" fillId="0" borderId="0" xfId="97" applyNumberFormat="1" applyFont="1"/>
    <xf numFmtId="0" fontId="141" fillId="0" borderId="0" xfId="8" applyFont="1"/>
    <xf numFmtId="166" fontId="141" fillId="0" borderId="0" xfId="8" applyNumberFormat="1" applyFont="1" applyAlignment="1">
      <alignment horizontal="left"/>
    </xf>
    <xf numFmtId="0" fontId="139" fillId="0" borderId="0" xfId="8" applyFont="1"/>
    <xf numFmtId="0" fontId="139" fillId="0" borderId="0" xfId="8" applyFont="1" applyAlignment="1">
      <alignment horizontal="center"/>
    </xf>
    <xf numFmtId="0" fontId="196" fillId="0" borderId="0" xfId="8" applyFont="1"/>
    <xf numFmtId="3" fontId="135" fillId="0" borderId="0" xfId="8" applyNumberFormat="1" applyFont="1"/>
    <xf numFmtId="10" fontId="141" fillId="0" borderId="0" xfId="8" applyNumberFormat="1" applyFont="1"/>
    <xf numFmtId="10" fontId="141" fillId="0" borderId="0" xfId="97" applyNumberFormat="1" applyFont="1"/>
    <xf numFmtId="0" fontId="141" fillId="0" borderId="0" xfId="8" applyFont="1" applyAlignment="1">
      <alignment horizontal="left"/>
    </xf>
    <xf numFmtId="1" fontId="141" fillId="0" borderId="0" xfId="8" applyNumberFormat="1" applyFont="1"/>
    <xf numFmtId="0" fontId="196" fillId="0" borderId="0" xfId="8" applyFont="1" applyAlignment="1">
      <alignment horizontal="left" vertical="center"/>
    </xf>
    <xf numFmtId="0" fontId="135" fillId="0" borderId="0" xfId="8" applyFont="1" applyAlignment="1">
      <alignment horizontal="left" vertical="center"/>
    </xf>
    <xf numFmtId="0" fontId="141" fillId="0" borderId="0" xfId="8" applyFont="1" applyAlignment="1">
      <alignment horizontal="left" vertical="center"/>
    </xf>
    <xf numFmtId="0" fontId="141" fillId="0" borderId="0" xfId="97" applyFont="1" applyAlignment="1">
      <alignment horizontal="left" vertical="center"/>
    </xf>
    <xf numFmtId="4" fontId="141" fillId="0" borderId="0" xfId="8" applyNumberFormat="1" applyFont="1"/>
    <xf numFmtId="0" fontId="141" fillId="0" borderId="0" xfId="0" applyFont="1"/>
    <xf numFmtId="0" fontId="135" fillId="0" borderId="0" xfId="8" applyFont="1" applyAlignment="1">
      <alignment vertical="center" wrapText="1"/>
    </xf>
    <xf numFmtId="0" fontId="141" fillId="0" borderId="0" xfId="8" applyFont="1" applyAlignment="1">
      <alignment vertical="center" wrapText="1"/>
    </xf>
    <xf numFmtId="0" fontId="141" fillId="0" borderId="0" xfId="97" applyFont="1" applyAlignment="1">
      <alignment vertical="center" wrapText="1"/>
    </xf>
    <xf numFmtId="0" fontId="196" fillId="0" borderId="0" xfId="10" applyFont="1" applyAlignment="1">
      <alignment horizontal="left" indent="1"/>
    </xf>
    <xf numFmtId="0" fontId="196" fillId="0" borderId="0" xfId="87" applyFont="1" applyAlignment="1">
      <alignment horizontal="left"/>
    </xf>
    <xf numFmtId="0" fontId="135" fillId="0" borderId="0" xfId="97" applyFont="1" applyAlignment="1">
      <alignment horizontal="left" vertical="center" wrapText="1"/>
    </xf>
    <xf numFmtId="0" fontId="135" fillId="0" borderId="0" xfId="97" applyFont="1" applyAlignment="1">
      <alignment vertical="center" wrapText="1"/>
    </xf>
    <xf numFmtId="0" fontId="141" fillId="0" borderId="0" xfId="97" applyFont="1"/>
    <xf numFmtId="0" fontId="141" fillId="0" borderId="0" xfId="97" applyFont="1" applyAlignment="1">
      <alignment horizontal="left"/>
    </xf>
    <xf numFmtId="0" fontId="135" fillId="0" borderId="0" xfId="97" applyFont="1"/>
    <xf numFmtId="167" fontId="215" fillId="0" borderId="0" xfId="36" applyNumberFormat="1" applyFont="1" applyAlignment="1"/>
    <xf numFmtId="10" fontId="215" fillId="0" borderId="0" xfId="0" applyNumberFormat="1" applyFont="1" applyAlignment="1">
      <alignment horizontal="center"/>
    </xf>
    <xf numFmtId="10" fontId="135" fillId="0" borderId="0" xfId="0" applyNumberFormat="1" applyFont="1" applyAlignment="1">
      <alignment horizontal="center"/>
    </xf>
    <xf numFmtId="2" fontId="215" fillId="0" borderId="0" xfId="0" applyNumberFormat="1" applyFont="1" applyAlignment="1">
      <alignment horizontal="center"/>
    </xf>
    <xf numFmtId="44" fontId="215" fillId="0" borderId="0" xfId="3" applyFont="1" applyAlignment="1"/>
    <xf numFmtId="10" fontId="215" fillId="0" borderId="0" xfId="36" applyNumberFormat="1" applyFont="1" applyAlignment="1"/>
    <xf numFmtId="0" fontId="196" fillId="0" borderId="0" xfId="8" applyFont="1" applyAlignment="1">
      <alignment horizontal="left" indent="1"/>
    </xf>
    <xf numFmtId="3" fontId="112" fillId="0" borderId="0" xfId="8" applyNumberFormat="1" applyFont="1"/>
    <xf numFmtId="0" fontId="129" fillId="0" borderId="0" xfId="0" applyFont="1" applyAlignment="1">
      <alignment horizontal="right"/>
    </xf>
    <xf numFmtId="3" fontId="16" fillId="0" borderId="0" xfId="0" applyNumberFormat="1" applyFont="1"/>
    <xf numFmtId="169" fontId="6" fillId="0" borderId="0" xfId="36" applyNumberFormat="1" applyFont="1"/>
    <xf numFmtId="0" fontId="176" fillId="0" borderId="0" xfId="0" applyFont="1"/>
    <xf numFmtId="0" fontId="176" fillId="0" borderId="0" xfId="97" applyFont="1" applyAlignment="1">
      <alignment horizontal="left" vertical="top"/>
    </xf>
    <xf numFmtId="0" fontId="176" fillId="0" borderId="0" xfId="0" applyFont="1" applyAlignment="1">
      <alignment horizontal="left" vertical="top"/>
    </xf>
    <xf numFmtId="0" fontId="219" fillId="0" borderId="0" xfId="0" applyFont="1"/>
    <xf numFmtId="0" fontId="220" fillId="0" borderId="0" xfId="0" applyFont="1"/>
    <xf numFmtId="41" fontId="221" fillId="0" borderId="0" xfId="22" applyNumberFormat="1" applyFont="1"/>
    <xf numFmtId="0" fontId="176" fillId="0" borderId="0" xfId="14" applyFont="1" applyAlignment="1">
      <alignment horizontal="left"/>
    </xf>
    <xf numFmtId="37" fontId="176" fillId="0" borderId="0" xfId="14" applyNumberFormat="1" applyFont="1"/>
    <xf numFmtId="37" fontId="187" fillId="0" borderId="0" xfId="14" applyNumberFormat="1" applyFont="1"/>
    <xf numFmtId="9" fontId="187" fillId="0" borderId="0" xfId="14" applyNumberFormat="1" applyFont="1"/>
    <xf numFmtId="0" fontId="176" fillId="0" borderId="0" xfId="13" applyFont="1"/>
    <xf numFmtId="0" fontId="176" fillId="0" borderId="0" xfId="14" applyFont="1" applyAlignment="1">
      <alignment horizontal="left" vertical="top"/>
    </xf>
    <xf numFmtId="0" fontId="176" fillId="0" borderId="0" xfId="0" applyFont="1" applyAlignment="1">
      <alignment vertical="top"/>
    </xf>
    <xf numFmtId="0" fontId="135" fillId="0" borderId="0" xfId="40" applyFont="1" applyAlignment="1">
      <alignment horizontal="left" vertical="center"/>
    </xf>
    <xf numFmtId="0" fontId="135" fillId="0" borderId="0" xfId="0" applyFont="1" applyAlignment="1">
      <alignment vertical="center"/>
    </xf>
    <xf numFmtId="0" fontId="135" fillId="0" borderId="0" xfId="0" applyFont="1" applyAlignment="1">
      <alignment horizontal="left" vertical="center"/>
    </xf>
    <xf numFmtId="0" fontId="135" fillId="0" borderId="0" xfId="9" applyFont="1"/>
    <xf numFmtId="0" fontId="137" fillId="0" borderId="0" xfId="14" applyFont="1" applyAlignment="1">
      <alignment vertical="top"/>
    </xf>
    <xf numFmtId="0" fontId="141" fillId="0" borderId="0" xfId="0" applyFont="1" applyAlignment="1">
      <alignment vertical="center"/>
    </xf>
    <xf numFmtId="0" fontId="2" fillId="0" borderId="0" xfId="0" applyFont="1" applyAlignment="1">
      <alignment wrapText="1"/>
    </xf>
    <xf numFmtId="0" fontId="28" fillId="0" borderId="0" xfId="0" applyFont="1" applyAlignment="1">
      <alignment horizontal="center"/>
    </xf>
    <xf numFmtId="0" fontId="40" fillId="0" borderId="0" xfId="0" applyFont="1" applyAlignment="1">
      <alignment horizontal="center"/>
    </xf>
    <xf numFmtId="0" fontId="19" fillId="0" borderId="19" xfId="11" applyFont="1" applyBorder="1" applyAlignment="1">
      <alignment horizontal="center"/>
    </xf>
    <xf numFmtId="3" fontId="19" fillId="0" borderId="29" xfId="11" applyNumberFormat="1" applyFont="1" applyBorder="1" applyAlignment="1">
      <alignment horizontal="center"/>
    </xf>
    <xf numFmtId="3" fontId="19" fillId="0" borderId="19" xfId="11" applyNumberFormat="1" applyFont="1" applyBorder="1" applyAlignment="1">
      <alignment horizontal="center"/>
    </xf>
    <xf numFmtId="0" fontId="19" fillId="0" borderId="46" xfId="11" applyFont="1" applyBorder="1" applyAlignment="1">
      <alignment horizontal="center"/>
    </xf>
    <xf numFmtId="0" fontId="42" fillId="0" borderId="0" xfId="25"/>
    <xf numFmtId="0" fontId="42" fillId="0" borderId="16" xfId="25" applyBorder="1"/>
    <xf numFmtId="0" fontId="7" fillId="0" borderId="16" xfId="24" applyBorder="1"/>
    <xf numFmtId="0" fontId="26" fillId="0" borderId="0" xfId="25" applyFont="1"/>
    <xf numFmtId="0" fontId="7" fillId="0" borderId="0" xfId="24"/>
    <xf numFmtId="0" fontId="6" fillId="0" borderId="0" xfId="25" applyFont="1"/>
    <xf numFmtId="0" fontId="196" fillId="0" borderId="0" xfId="21" applyFont="1" applyAlignment="1">
      <alignment horizontal="left" vertical="center" wrapText="1"/>
    </xf>
    <xf numFmtId="0" fontId="186" fillId="0" borderId="0" xfId="0" applyFont="1" applyAlignment="1">
      <alignment vertical="center"/>
    </xf>
    <xf numFmtId="0" fontId="196" fillId="0" borderId="0" xfId="21" applyFont="1" applyAlignment="1">
      <alignment vertical="center" wrapText="1"/>
    </xf>
    <xf numFmtId="0" fontId="214" fillId="0" borderId="0" xfId="21" applyFont="1" applyAlignment="1">
      <alignment horizontal="left" vertical="center" wrapText="1"/>
    </xf>
    <xf numFmtId="0" fontId="185" fillId="0" borderId="0" xfId="26" applyFont="1" applyAlignment="1">
      <alignment wrapText="1"/>
    </xf>
    <xf numFmtId="0" fontId="185" fillId="0" borderId="0" xfId="0" applyFont="1" applyAlignment="1">
      <alignment wrapText="1"/>
    </xf>
    <xf numFmtId="0" fontId="202" fillId="0" borderId="0" xfId="14" applyFont="1" applyAlignment="1">
      <alignment wrapText="1"/>
    </xf>
    <xf numFmtId="41" fontId="202" fillId="0" borderId="0" xfId="14" applyNumberFormat="1" applyFont="1" applyAlignment="1">
      <alignment horizontal="left" wrapText="1"/>
    </xf>
    <xf numFmtId="41" fontId="202" fillId="0" borderId="0" xfId="0" applyNumberFormat="1" applyFont="1" applyAlignment="1">
      <alignment wrapText="1"/>
    </xf>
    <xf numFmtId="41" fontId="202" fillId="0" borderId="0" xfId="14" applyNumberFormat="1" applyFont="1" applyAlignment="1">
      <alignment wrapText="1"/>
    </xf>
    <xf numFmtId="0" fontId="6" fillId="0" borderId="0" xfId="0" applyFont="1" applyAlignment="1">
      <alignment vertical="center" wrapText="1"/>
    </xf>
    <xf numFmtId="0" fontId="6" fillId="0" borderId="0" xfId="0" applyFont="1" applyAlignment="1">
      <alignment wrapText="1"/>
    </xf>
    <xf numFmtId="0" fontId="27" fillId="0" borderId="17" xfId="16" applyFont="1" applyBorder="1" applyAlignment="1">
      <alignment horizontal="center" wrapText="1"/>
    </xf>
    <xf numFmtId="0" fontId="0" fillId="0" borderId="17" xfId="0" applyBorder="1" applyAlignment="1">
      <alignment horizontal="center" wrapText="1"/>
    </xf>
    <xf numFmtId="0" fontId="27" fillId="0" borderId="17" xfId="16" applyFont="1" applyBorder="1" applyAlignment="1">
      <alignment horizontal="center"/>
    </xf>
    <xf numFmtId="0" fontId="168" fillId="36" borderId="0" xfId="8" applyFont="1" applyFill="1" applyAlignment="1">
      <alignment horizontal="left" vertical="center" wrapText="1"/>
    </xf>
    <xf numFmtId="0" fontId="169" fillId="36" borderId="0" xfId="0" applyFont="1" applyFill="1" applyAlignment="1">
      <alignment vertical="center" wrapText="1"/>
    </xf>
    <xf numFmtId="0" fontId="185" fillId="0" borderId="0" xfId="28" applyFont="1" applyAlignment="1">
      <alignment horizontal="left" vertical="center" wrapText="1"/>
    </xf>
    <xf numFmtId="0" fontId="185" fillId="0" borderId="0" xfId="0" applyFont="1" applyAlignment="1">
      <alignment vertical="center" wrapText="1"/>
    </xf>
    <xf numFmtId="0" fontId="185" fillId="0" borderId="40" xfId="0" applyFont="1" applyBorder="1" applyAlignment="1">
      <alignment vertical="center"/>
    </xf>
    <xf numFmtId="0" fontId="185" fillId="0" borderId="0" xfId="0" applyFont="1" applyAlignment="1">
      <alignment vertical="center"/>
    </xf>
    <xf numFmtId="0" fontId="176" fillId="0" borderId="40" xfId="0" applyFont="1" applyBorder="1" applyAlignment="1">
      <alignment vertical="center"/>
    </xf>
    <xf numFmtId="0" fontId="176" fillId="0" borderId="0" xfId="0" applyFont="1" applyAlignment="1">
      <alignment vertical="center"/>
    </xf>
    <xf numFmtId="0" fontId="185" fillId="0" borderId="0" xfId="0" applyFont="1" applyAlignment="1">
      <alignment horizontal="left" vertical="top" wrapText="1"/>
    </xf>
    <xf numFmtId="0" fontId="137" fillId="0" borderId="0" xfId="0" applyFont="1" applyAlignment="1">
      <alignment horizontal="left" vertical="top" wrapText="1"/>
    </xf>
    <xf numFmtId="0" fontId="185" fillId="0" borderId="0" xfId="0" applyFont="1" applyAlignment="1">
      <alignment vertical="top" wrapText="1"/>
    </xf>
    <xf numFmtId="0" fontId="137" fillId="0" borderId="0" xfId="0" applyFont="1" applyAlignment="1">
      <alignment vertical="top" wrapText="1"/>
    </xf>
    <xf numFmtId="0" fontId="24" fillId="4" borderId="0" xfId="32" applyFont="1" applyFill="1" applyAlignment="1">
      <alignment horizontal="left"/>
    </xf>
    <xf numFmtId="0" fontId="137" fillId="4" borderId="0" xfId="33" applyFont="1" applyFill="1" applyAlignment="1">
      <alignment horizontal="left" vertical="top" wrapText="1"/>
    </xf>
    <xf numFmtId="0" fontId="137" fillId="0" borderId="0" xfId="33" applyFont="1" applyAlignment="1">
      <alignment horizontal="left" vertical="top" wrapText="1"/>
    </xf>
    <xf numFmtId="0" fontId="6" fillId="0" borderId="0" xfId="14" applyFont="1" applyAlignment="1">
      <alignment wrapText="1"/>
    </xf>
    <xf numFmtId="0" fontId="137" fillId="0" borderId="0" xfId="14" applyFont="1" applyAlignment="1">
      <alignment horizontal="left" vertical="top" wrapText="1"/>
    </xf>
    <xf numFmtId="0" fontId="6" fillId="0" borderId="0" xfId="0" applyFont="1"/>
    <xf numFmtId="0" fontId="185" fillId="0" borderId="0" xfId="14" applyFont="1" applyAlignment="1">
      <alignment horizontal="left" vertical="top" wrapText="1"/>
    </xf>
    <xf numFmtId="0" fontId="186" fillId="0" borderId="0" xfId="0" applyFont="1"/>
    <xf numFmtId="0" fontId="9" fillId="0" borderId="0" xfId="87" applyFont="1"/>
    <xf numFmtId="0" fontId="137" fillId="0" borderId="0" xfId="87" applyFont="1" applyAlignment="1">
      <alignment horizontal="left"/>
    </xf>
    <xf numFmtId="0" fontId="19" fillId="0" borderId="18" xfId="10" applyFont="1" applyBorder="1"/>
    <xf numFmtId="0" fontId="25" fillId="0" borderId="0" xfId="10" applyFont="1" applyAlignment="1">
      <alignment horizontal="left"/>
    </xf>
    <xf numFmtId="0" fontId="19" fillId="0" borderId="0" xfId="10" applyFont="1" applyAlignment="1">
      <alignment horizontal="left"/>
    </xf>
    <xf numFmtId="0" fontId="27" fillId="0" borderId="0" xfId="10" applyFont="1" applyAlignment="1">
      <alignment horizontal="left"/>
    </xf>
    <xf numFmtId="0" fontId="27" fillId="0" borderId="0" xfId="10" applyFont="1" applyAlignment="1">
      <alignment horizontal="center"/>
    </xf>
    <xf numFmtId="3" fontId="25" fillId="0" borderId="0" xfId="6" applyNumberFormat="1" applyFont="1" applyFill="1" applyBorder="1" applyAlignment="1">
      <alignment horizontal="center"/>
    </xf>
    <xf numFmtId="0" fontId="163" fillId="0" borderId="0" xfId="87" applyFont="1" applyAlignment="1">
      <alignment horizontal="center"/>
    </xf>
    <xf numFmtId="0" fontId="105" fillId="0" borderId="0" xfId="87" applyFont="1" applyAlignment="1">
      <alignment horizontal="left"/>
    </xf>
    <xf numFmtId="3" fontId="104" fillId="0" borderId="0" xfId="87" applyNumberFormat="1" applyFont="1" applyAlignment="1">
      <alignment horizontal="center"/>
    </xf>
    <xf numFmtId="0" fontId="121" fillId="0" borderId="0" xfId="87" applyFont="1" applyAlignment="1">
      <alignment horizontal="left"/>
    </xf>
    <xf numFmtId="0" fontId="137" fillId="0" borderId="0" xfId="84" applyFont="1" applyAlignment="1">
      <alignment horizontal="left" vertical="top" wrapText="1"/>
    </xf>
    <xf numFmtId="0" fontId="137" fillId="0" borderId="0" xfId="84" applyFont="1" applyAlignment="1">
      <alignment vertical="top" wrapText="1"/>
    </xf>
  </cellXfs>
  <cellStyles count="113">
    <cellStyle name="20% - Accent1" xfId="59" builtinId="30" customBuiltin="1"/>
    <cellStyle name="20% - Accent1 2" xfId="99" xr:uid="{00000000-0005-0000-0000-000001000000}"/>
    <cellStyle name="20% - Accent2" xfId="63" builtinId="34" customBuiltin="1"/>
    <cellStyle name="20% - Accent2 2" xfId="101" xr:uid="{00000000-0005-0000-0000-000003000000}"/>
    <cellStyle name="20% - Accent3" xfId="67" builtinId="38" customBuiltin="1"/>
    <cellStyle name="20% - Accent3 2" xfId="103" xr:uid="{00000000-0005-0000-0000-000005000000}"/>
    <cellStyle name="20% - Accent4" xfId="71" builtinId="42" customBuiltin="1"/>
    <cellStyle name="20% - Accent4 2" xfId="105" xr:uid="{00000000-0005-0000-0000-000007000000}"/>
    <cellStyle name="20% - Accent5" xfId="75" builtinId="46" customBuiltin="1"/>
    <cellStyle name="20% - Accent5 2" xfId="107" xr:uid="{00000000-0005-0000-0000-000009000000}"/>
    <cellStyle name="20% - Accent6" xfId="79" builtinId="50" customBuiltin="1"/>
    <cellStyle name="20% - Accent6 2" xfId="109" xr:uid="{00000000-0005-0000-0000-00000B000000}"/>
    <cellStyle name="40% - Accent1" xfId="60" builtinId="31" customBuiltin="1"/>
    <cellStyle name="40% - Accent1 2" xfId="100" xr:uid="{00000000-0005-0000-0000-00000D000000}"/>
    <cellStyle name="40% - Accent2" xfId="64" builtinId="35" customBuiltin="1"/>
    <cellStyle name="40% - Accent2 2" xfId="102" xr:uid="{00000000-0005-0000-0000-00000F000000}"/>
    <cellStyle name="40% - Accent3" xfId="68" builtinId="39" customBuiltin="1"/>
    <cellStyle name="40% - Accent3 2" xfId="104" xr:uid="{00000000-0005-0000-0000-000011000000}"/>
    <cellStyle name="40% - Accent4" xfId="72" builtinId="43" customBuiltin="1"/>
    <cellStyle name="40% - Accent4 2" xfId="106" xr:uid="{00000000-0005-0000-0000-000013000000}"/>
    <cellStyle name="40% - Accent5" xfId="76" builtinId="47" customBuiltin="1"/>
    <cellStyle name="40% - Accent5 2" xfId="108" xr:uid="{00000000-0005-0000-0000-000015000000}"/>
    <cellStyle name="40% - Accent6" xfId="80" builtinId="51" customBuiltin="1"/>
    <cellStyle name="40% - Accent6 2" xfId="110" xr:uid="{00000000-0005-0000-0000-000017000000}"/>
    <cellStyle name="60% - Accent1" xfId="61" builtinId="32" customBuiltin="1"/>
    <cellStyle name="60% - Accent2" xfId="65" builtinId="36" customBuiltin="1"/>
    <cellStyle name="60% - Accent3" xfId="69" builtinId="40" customBuiltin="1"/>
    <cellStyle name="60% - Accent4" xfId="73" builtinId="44" customBuiltin="1"/>
    <cellStyle name="60% - Accent5" xfId="77" builtinId="48" customBuiltin="1"/>
    <cellStyle name="60% - Accent6" xfId="81" builtinId="52" customBuiltin="1"/>
    <cellStyle name="Accent1" xfId="58" builtinId="29" customBuiltin="1"/>
    <cellStyle name="Accent2" xfId="62" builtinId="33" customBuiltin="1"/>
    <cellStyle name="Accent3" xfId="66" builtinId="37" customBuiltin="1"/>
    <cellStyle name="Accent4" xfId="70" builtinId="41" customBuiltin="1"/>
    <cellStyle name="Accent5" xfId="74" builtinId="45" customBuiltin="1"/>
    <cellStyle name="Accent6" xfId="78" builtinId="49" customBuiltin="1"/>
    <cellStyle name="Bad" xfId="48" builtinId="27" customBuiltin="1"/>
    <cellStyle name="Calculation" xfId="52" builtinId="22" customBuiltin="1"/>
    <cellStyle name="Check Cell" xfId="54" builtinId="23" customBuiltin="1"/>
    <cellStyle name="Comma" xfId="41" builtinId="3"/>
    <cellStyle name="Comma 2" xfId="1" xr:uid="{00000000-0005-0000-0000-000028000000}"/>
    <cellStyle name="Comma 2 2" xfId="92" xr:uid="{00000000-0005-0000-0000-000029000000}"/>
    <cellStyle name="Comma 3" xfId="2" xr:uid="{00000000-0005-0000-0000-00002A000000}"/>
    <cellStyle name="Comma 3 2" xfId="93" xr:uid="{00000000-0005-0000-0000-00002B000000}"/>
    <cellStyle name="Comma 4" xfId="88" xr:uid="{00000000-0005-0000-0000-00002C000000}"/>
    <cellStyle name="Currency" xfId="3" builtinId="4"/>
    <cellStyle name="Currency 2" xfId="4" xr:uid="{00000000-0005-0000-0000-00002E000000}"/>
    <cellStyle name="Currency 2 2" xfId="94" xr:uid="{00000000-0005-0000-0000-00002F000000}"/>
    <cellStyle name="Currency 3" xfId="5" xr:uid="{00000000-0005-0000-0000-000030000000}"/>
    <cellStyle name="Currency 3 2" xfId="95" xr:uid="{00000000-0005-0000-0000-000031000000}"/>
    <cellStyle name="Currency 4" xfId="6" xr:uid="{00000000-0005-0000-0000-000032000000}"/>
    <cellStyle name="Currency 4 2" xfId="90" xr:uid="{00000000-0005-0000-0000-000033000000}"/>
    <cellStyle name="Currency 5" xfId="85" xr:uid="{00000000-0005-0000-0000-000034000000}"/>
    <cellStyle name="Explanatory Text" xfId="56" builtinId="53" customBuiltin="1"/>
    <cellStyle name="Good" xfId="47" builtinId="26" customBuiltin="1"/>
    <cellStyle name="Heading 1" xfId="43" builtinId="16" customBuiltin="1"/>
    <cellStyle name="Heading 2" xfId="44" builtinId="17" customBuiltin="1"/>
    <cellStyle name="Heading 3" xfId="45" builtinId="18" customBuiltin="1"/>
    <cellStyle name="Heading 4" xfId="46" builtinId="19" customBuiltin="1"/>
    <cellStyle name="Hyperlink" xfId="86" builtinId="8"/>
    <cellStyle name="Input" xfId="50" builtinId="20" customBuiltin="1"/>
    <cellStyle name="Linked Cell" xfId="53" builtinId="24" customBuiltin="1"/>
    <cellStyle name="Neutral" xfId="49" builtinId="28" customBuiltin="1"/>
    <cellStyle name="Normal" xfId="0" builtinId="0"/>
    <cellStyle name="Normal 2" xfId="7" xr:uid="{00000000-0005-0000-0000-000040000000}"/>
    <cellStyle name="Normal 2 2" xfId="8" xr:uid="{00000000-0005-0000-0000-000041000000}"/>
    <cellStyle name="Normal 2 2 2" xfId="97" xr:uid="{00000000-0005-0000-0000-000042000000}"/>
    <cellStyle name="Normal 2 3" xfId="96" xr:uid="{00000000-0005-0000-0000-000043000000}"/>
    <cellStyle name="Normal 3" xfId="9" xr:uid="{00000000-0005-0000-0000-000044000000}"/>
    <cellStyle name="Normal 3 2" xfId="91" xr:uid="{00000000-0005-0000-0000-000045000000}"/>
    <cellStyle name="Normal 4" xfId="40" xr:uid="{00000000-0005-0000-0000-000046000000}"/>
    <cellStyle name="Normal 5" xfId="82" xr:uid="{00000000-0005-0000-0000-000047000000}"/>
    <cellStyle name="Normal 5 2" xfId="111" xr:uid="{00000000-0005-0000-0000-000048000000}"/>
    <cellStyle name="Normal 6" xfId="84" xr:uid="{00000000-0005-0000-0000-000049000000}"/>
    <cellStyle name="Normal_1998 Surveys" xfId="10" xr:uid="{00000000-0005-0000-0000-00004A000000}"/>
    <cellStyle name="Normal_1998 Surveys 2" xfId="87" xr:uid="{00000000-0005-0000-0000-00004B000000}"/>
    <cellStyle name="Normal_Annual Report FY 06_v2" xfId="11" xr:uid="{00000000-0005-0000-0000-00004C000000}"/>
    <cellStyle name="Normal_Annual Report FY 2004" xfId="12" xr:uid="{00000000-0005-0000-0000-00004D000000}"/>
    <cellStyle name="Normal_Annual Report FY 2009 Final 12282009" xfId="13" xr:uid="{00000000-0005-0000-0000-00004E000000}"/>
    <cellStyle name="Normal_AR99TBL2" xfId="14" xr:uid="{00000000-0005-0000-0000-00004F000000}"/>
    <cellStyle name="Normal_AR99TBL2 2" xfId="15" xr:uid="{00000000-0005-0000-0000-000050000000}"/>
    <cellStyle name="Normal_AR99TBL3" xfId="16" xr:uid="{00000000-0005-0000-0000-000051000000}"/>
    <cellStyle name="Normal_AR99TBL3 2" xfId="17" xr:uid="{00000000-0005-0000-0000-000052000000}"/>
    <cellStyle name="Normal_Sheet1 2" xfId="18" xr:uid="{00000000-0005-0000-0000-000053000000}"/>
    <cellStyle name="Normal_Sheet1_Table 1.10 Refund Match" xfId="19" xr:uid="{00000000-0005-0000-0000-000054000000}"/>
    <cellStyle name="Normal_Table 1.10 Refund Match" xfId="20" xr:uid="{00000000-0005-0000-0000-000055000000}"/>
    <cellStyle name="Normal_Table 1.11 Checkoffs" xfId="21" xr:uid="{00000000-0005-0000-0000-000056000000}"/>
    <cellStyle name="Normal_Table 1.2–1.4" xfId="22" xr:uid="{00000000-0005-0000-0000-000057000000}"/>
    <cellStyle name="Normal_Table 1.5-1.7" xfId="23" xr:uid="{00000000-0005-0000-0000-000058000000}"/>
    <cellStyle name="Normal_Table 1.8-1.9" xfId="24" xr:uid="{00000000-0005-0000-0000-000059000000}"/>
    <cellStyle name="Normal_Table 1.9 Debt Setoff - Report 138" xfId="25" xr:uid="{00000000-0005-0000-0000-00005A000000}"/>
    <cellStyle name="Normal_Table 2.1" xfId="26" xr:uid="{00000000-0005-0000-0000-00005B000000}"/>
    <cellStyle name="Normal_Table 3.4 2" xfId="27" xr:uid="{00000000-0005-0000-0000-00005C000000}"/>
    <cellStyle name="Normal_Table 3_2" xfId="28" xr:uid="{00000000-0005-0000-0000-00005D000000}"/>
    <cellStyle name="Normal_Table 4.3, 4.4" xfId="29" xr:uid="{00000000-0005-0000-0000-00005E000000}"/>
    <cellStyle name="Normal_Table 4.3, 4.4 Bank Franchise" xfId="30" xr:uid="{00000000-0005-0000-0000-00005F000000}"/>
    <cellStyle name="Normal_Table 4.5" xfId="31" xr:uid="{00000000-0005-0000-0000-000060000000}"/>
    <cellStyle name="Normal_Table 4.5_1" xfId="32" xr:uid="{00000000-0005-0000-0000-000061000000}"/>
    <cellStyle name="Normal_Table_4.6_v6" xfId="33" xr:uid="{00000000-0005-0000-0000-000062000000}"/>
    <cellStyle name="Normal_Table1.5" xfId="34" xr:uid="{00000000-0005-0000-0000-000063000000}"/>
    <cellStyle name="Normal_Tables 1.2-1.8 2" xfId="35" xr:uid="{00000000-0005-0000-0000-000064000000}"/>
    <cellStyle name="Note 2" xfId="83" xr:uid="{00000000-0005-0000-0000-000065000000}"/>
    <cellStyle name="Note 2 2" xfId="112" xr:uid="{00000000-0005-0000-0000-000066000000}"/>
    <cellStyle name="Output" xfId="51" builtinId="21" customBuiltin="1"/>
    <cellStyle name="Percent" xfId="36" builtinId="5"/>
    <cellStyle name="Percent 2" xfId="37" xr:uid="{00000000-0005-0000-0000-000069000000}"/>
    <cellStyle name="Percent 2 2" xfId="38" xr:uid="{00000000-0005-0000-0000-00006A000000}"/>
    <cellStyle name="Percent 2 2 2" xfId="89" xr:uid="{00000000-0005-0000-0000-00006B000000}"/>
    <cellStyle name="Percent 3" xfId="39" xr:uid="{00000000-0005-0000-0000-00006C000000}"/>
    <cellStyle name="Percent 3 2" xfId="98" xr:uid="{00000000-0005-0000-0000-00006D000000}"/>
    <cellStyle name="Title" xfId="42" builtinId="15" customBuiltin="1"/>
    <cellStyle name="Total" xfId="57" builtinId="25" customBuiltin="1"/>
    <cellStyle name="Warning Text" xfId="55" builtinId="11" customBuiltin="1"/>
  </cellStyles>
  <dxfs count="3">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colors>
    <mruColors>
      <color rgb="FFFFFF99"/>
      <color rgb="FFFFFFCC"/>
      <color rgb="FFAFAFFF"/>
      <color rgb="FF9999FF"/>
      <color rgb="FFFFFFFF"/>
      <color rgb="FF28F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eetMetadata" Target="metadata.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Share of Revenue Collections by Fund Group</a:t>
            </a:r>
          </a:p>
        </c:rich>
      </c:tx>
      <c:layout>
        <c:manualLayout>
          <c:xMode val="edge"/>
          <c:yMode val="edge"/>
          <c:x val="0.30526602861405222"/>
          <c:y val="1.2343469800935146E-2"/>
        </c:manualLayout>
      </c:layout>
      <c:overlay val="0"/>
      <c:spPr>
        <a:noFill/>
        <a:ln w="25400">
          <a:noFill/>
        </a:ln>
      </c:spPr>
    </c:title>
    <c:autoTitleDeleted val="0"/>
    <c:plotArea>
      <c:layout>
        <c:manualLayout>
          <c:layoutTarget val="inner"/>
          <c:xMode val="edge"/>
          <c:yMode val="edge"/>
          <c:x val="0.27674293945909439"/>
          <c:y val="8.2722167078234279E-2"/>
          <c:w val="0.58637447619178151"/>
          <c:h val="0.87806982325483551"/>
        </c:manualLayout>
      </c:layout>
      <c:pieChart>
        <c:varyColors val="1"/>
        <c:ser>
          <c:idx val="0"/>
          <c:order val="0"/>
          <c:spPr>
            <a:solidFill>
              <a:srgbClr val="9999FF"/>
            </a:solidFill>
            <a:ln w="12700">
              <a:solidFill>
                <a:schemeClr val="bg1">
                  <a:lumMod val="65000"/>
                </a:schemeClr>
              </a:solidFill>
              <a:prstDash val="solid"/>
            </a:ln>
          </c:spPr>
          <c:explosion val="10"/>
          <c:dPt>
            <c:idx val="1"/>
            <c:bubble3D val="0"/>
            <c:explosion val="5"/>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0-647A-452A-B18E-897E0CE96462}"/>
              </c:ext>
            </c:extLst>
          </c:dPt>
          <c:dPt>
            <c:idx val="2"/>
            <c:bubble3D val="0"/>
            <c:explosion val="5"/>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1-647A-452A-B18E-897E0CE96462}"/>
              </c:ext>
            </c:extLst>
          </c:dPt>
          <c:dPt>
            <c:idx val="3"/>
            <c:bubble3D val="0"/>
            <c:spPr>
              <a:solidFill>
                <a:srgbClr val="CCFFFF"/>
              </a:solidFill>
              <a:ln w="12700">
                <a:solidFill>
                  <a:schemeClr val="bg1">
                    <a:lumMod val="65000"/>
                  </a:schemeClr>
                </a:solidFill>
                <a:prstDash val="solid"/>
              </a:ln>
            </c:spPr>
            <c:extLst>
              <c:ext xmlns:c16="http://schemas.microsoft.com/office/drawing/2014/chart" uri="{C3380CC4-5D6E-409C-BE32-E72D297353CC}">
                <c16:uniqueId val="{00000002-647A-452A-B18E-897E0CE96462}"/>
              </c:ext>
            </c:extLst>
          </c:dPt>
          <c:dLbls>
            <c:dLbl>
              <c:idx val="0"/>
              <c:layout>
                <c:manualLayout>
                  <c:x val="-4.108805211570439E-2"/>
                  <c:y val="-3.696088985027242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628432806926776"/>
                      <c:h val="0.15199715048743168"/>
                    </c:manualLayout>
                  </c15:layout>
                </c:ext>
                <c:ext xmlns:c16="http://schemas.microsoft.com/office/drawing/2014/chart" uri="{C3380CC4-5D6E-409C-BE32-E72D297353CC}">
                  <c16:uniqueId val="{00000003-647A-452A-B18E-897E0CE96462}"/>
                </c:ext>
              </c:extLst>
            </c:dLbl>
            <c:dLbl>
              <c:idx val="1"/>
              <c:layout>
                <c:manualLayout>
                  <c:x val="4.7672972352519934E-3"/>
                  <c:y val="-7.4299733103281071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0650601501441"/>
                      <c:h val="0.16081609778533726"/>
                    </c:manualLayout>
                  </c15:layout>
                </c:ext>
                <c:ext xmlns:c16="http://schemas.microsoft.com/office/drawing/2014/chart" uri="{C3380CC4-5D6E-409C-BE32-E72D297353CC}">
                  <c16:uniqueId val="{00000000-647A-452A-B18E-897E0CE96462}"/>
                </c:ext>
              </c:extLst>
            </c:dLbl>
            <c:dLbl>
              <c:idx val="2"/>
              <c:layout>
                <c:manualLayout>
                  <c:x val="-8.2199896998957106E-2"/>
                  <c:y val="6.777794348203687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244170866840499"/>
                      <c:h val="0.12943115679481029"/>
                    </c:manualLayout>
                  </c15:layout>
                </c:ext>
                <c:ext xmlns:c16="http://schemas.microsoft.com/office/drawing/2014/chart" uri="{C3380CC4-5D6E-409C-BE32-E72D297353CC}">
                  <c16:uniqueId val="{00000001-647A-452A-B18E-897E0CE96462}"/>
                </c:ext>
              </c:extLst>
            </c:dLbl>
            <c:dLbl>
              <c:idx val="3"/>
              <c:layout>
                <c:manualLayout>
                  <c:x val="-8.8929696006987708E-3"/>
                  <c:y val="-5.11414968678841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47A-452A-B18E-897E0CE96462}"/>
                </c:ext>
              </c:extLst>
            </c:dLbl>
            <c:numFmt formatCode="0.0%" sourceLinked="0"/>
            <c:spPr>
              <a:noFill/>
              <a:ln w="25400">
                <a:noFill/>
              </a:ln>
            </c:spPr>
            <c:txPr>
              <a:bodyPr/>
              <a:lstStyle/>
              <a:p>
                <a:pPr>
                  <a:defRPr sz="1000" b="0" i="0" u="none" strike="noStrike" baseline="0">
                    <a:solidFill>
                      <a:srgbClr val="000000"/>
                    </a:solidFill>
                    <a:latin typeface="Arial Narrow" panose="020B0606020202030204" pitchFamily="34" charset="0"/>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(RevExp!$N$11:$N$12,RevExp!$N$16:$N$17)</c:f>
              <c:strCache>
                <c:ptCount val="4"/>
                <c:pt idx="0">
                  <c:v>General Fund (TAX)</c:v>
                </c:pt>
                <c:pt idx="1">
                  <c:v>Non-General Fund (TAX)</c:v>
                </c:pt>
                <c:pt idx="2">
                  <c:v>General Fund (Other Agencies)</c:v>
                </c:pt>
                <c:pt idx="3">
                  <c:v>Non-General Fund (Other Agencies)</c:v>
                </c:pt>
              </c:strCache>
            </c:strRef>
          </c:cat>
          <c:val>
            <c:numRef>
              <c:f>(RevExp!$O$11:$O$12,RevExp!$O$16:$O$17)</c:f>
              <c:numCache>
                <c:formatCode>0.0%</c:formatCode>
                <c:ptCount val="4"/>
                <c:pt idx="0">
                  <c:v>0.3587794252970854</c:v>
                </c:pt>
                <c:pt idx="1">
                  <c:v>2.271994725345778E-2</c:v>
                </c:pt>
                <c:pt idx="2">
                  <c:v>1.8956286351563153E-2</c:v>
                </c:pt>
                <c:pt idx="3">
                  <c:v>0.59954434109789367</c:v>
                </c:pt>
              </c:numCache>
            </c:numRef>
          </c:val>
          <c:extLst>
            <c:ext xmlns:c16="http://schemas.microsoft.com/office/drawing/2014/chart" uri="{C3380CC4-5D6E-409C-BE32-E72D297353CC}">
              <c16:uniqueId val="{00000004-647A-452A-B18E-897E0CE96462}"/>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Corporate Income Tax Collections</a:t>
            </a:r>
          </a:p>
        </c:rich>
      </c:tx>
      <c:layout>
        <c:manualLayout>
          <c:xMode val="edge"/>
          <c:yMode val="edge"/>
          <c:x val="0.2828715450933188"/>
          <c:y val="6.8093790066523002E-3"/>
        </c:manualLayout>
      </c:layout>
      <c:overlay val="0"/>
      <c:spPr>
        <a:noFill/>
        <a:ln w="25400">
          <a:noFill/>
        </a:ln>
      </c:spPr>
    </c:title>
    <c:autoTitleDeleted val="0"/>
    <c:plotArea>
      <c:layout>
        <c:manualLayout>
          <c:layoutTarget val="inner"/>
          <c:xMode val="edge"/>
          <c:yMode val="edge"/>
          <c:x val="0.10279029337810965"/>
          <c:y val="9.1568963086775298E-2"/>
          <c:w val="0.87187598319192328"/>
          <c:h val="0.7878735084419356"/>
        </c:manualLayout>
      </c:layout>
      <c:barChart>
        <c:barDir val="col"/>
        <c:grouping val="clustered"/>
        <c:varyColors val="0"/>
        <c:ser>
          <c:idx val="0"/>
          <c:order val="0"/>
          <c:tx>
            <c:strRef>
              <c:f>'2.1'!$D$4</c:f>
              <c:strCache>
                <c:ptCount val="1"/>
                <c:pt idx="0">
                  <c:v>Amount</c:v>
                </c:pt>
              </c:strCache>
            </c:strRef>
          </c:tx>
          <c:spPr>
            <a:solidFill>
              <a:srgbClr val="9999FF"/>
            </a:solidFill>
            <a:ln w="12700">
              <a:solidFill>
                <a:schemeClr val="bg1">
                  <a:lumMod val="65000"/>
                </a:schemeClr>
              </a:solidFill>
              <a:prstDash val="solid"/>
            </a:ln>
          </c:spPr>
          <c:invertIfNegative val="0"/>
          <c:dLbls>
            <c:numFmt formatCode="&quot;$&quot;#,##0_);\(&quot;$&quot;#,##0\)" sourceLinked="0"/>
            <c:spPr>
              <a:solidFill>
                <a:schemeClr val="bg1"/>
              </a:solidFill>
              <a:ln>
                <a:noFill/>
              </a:ln>
              <a:effectLst/>
            </c:spPr>
            <c:txPr>
              <a:bodyPr wrap="square" lIns="38100" tIns="19050" rIns="38100" bIns="19050" anchor="ctr">
                <a:spAutoFit/>
              </a:bodyPr>
              <a:lstStyle/>
              <a:p>
                <a:pPr>
                  <a:defRPr sz="105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'2.1'!$A$8:$A$18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'2.1'!$D$8:$D$18</c:f>
              <c:numCache>
                <c:formatCode>#,##0</c:formatCode>
                <c:ptCount val="11"/>
                <c:pt idx="0">
                  <c:v>796728154.4000001</c:v>
                </c:pt>
                <c:pt idx="1">
                  <c:v>757490742.09000015</c:v>
                </c:pt>
                <c:pt idx="2">
                  <c:v>831906887.15999985</c:v>
                </c:pt>
                <c:pt idx="3">
                  <c:v>764948013.7700001</c:v>
                </c:pt>
                <c:pt idx="4">
                  <c:v>826960822.31000006</c:v>
                </c:pt>
                <c:pt idx="5">
                  <c:v>861897138.17999983</c:v>
                </c:pt>
                <c:pt idx="6">
                  <c:v>943390660.94999993</c:v>
                </c:pt>
                <c:pt idx="7">
                  <c:v>1011649618.0699999</c:v>
                </c:pt>
                <c:pt idx="8">
                  <c:v>1515692110.6500001</c:v>
                </c:pt>
                <c:pt idx="9">
                  <c:v>1978697205.29</c:v>
                </c:pt>
                <c:pt idx="10">
                  <c:v>2031120170.5999999</c:v>
                </c:pt>
              </c:numCache>
            </c:numRef>
          </c:val>
          <c:extLst>
            <c:ext xmlns:c16="http://schemas.microsoft.com/office/drawing/2014/chart" uri="{C3380CC4-5D6E-409C-BE32-E72D297353CC}">
              <c16:uniqueId val="{00000000-715C-42C7-B77B-1C3EF491EC81}"/>
            </c:ext>
          </c:extLst>
        </c:ser>
        <c:dLbls>
          <c:showLegendKey val="0"/>
          <c:showVal val="0"/>
          <c:showCatName val="0"/>
          <c:showSerName val="0"/>
          <c:showPercent val="0"/>
          <c:showBubbleSize val="0"/>
        </c:dLbls>
        <c:gapWidth val="75"/>
        <c:axId val="80448512"/>
        <c:axId val="80454784"/>
      </c:barChart>
      <c:catAx>
        <c:axId val="804485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Fiscal Year</a:t>
                </a:r>
              </a:p>
            </c:rich>
          </c:tx>
          <c:layout>
            <c:manualLayout>
              <c:xMode val="edge"/>
              <c:yMode val="edge"/>
              <c:x val="0.44052440180252644"/>
              <c:y val="0.9441131495391720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0454784"/>
        <c:crosses val="autoZero"/>
        <c:auto val="1"/>
        <c:lblAlgn val="ctr"/>
        <c:lblOffset val="100"/>
        <c:noMultiLvlLbl val="0"/>
      </c:catAx>
      <c:valAx>
        <c:axId val="80454784"/>
        <c:scaling>
          <c:orientation val="minMax"/>
          <c:max val="2300000000"/>
          <c:min val="0"/>
        </c:scaling>
        <c:delete val="0"/>
        <c:axPos val="l"/>
        <c:majorGridlines>
          <c:spPr>
            <a:ln w="3175">
              <a:solidFill>
                <a:schemeClr val="bg1">
                  <a:lumMod val="7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Millions</a:t>
                </a:r>
              </a:p>
            </c:rich>
          </c:tx>
          <c:layout>
            <c:manualLayout>
              <c:xMode val="edge"/>
              <c:yMode val="edge"/>
              <c:x val="1.9401435824382956E-3"/>
              <c:y val="0.17325082279450932"/>
            </c:manualLayout>
          </c:layout>
          <c:overlay val="0"/>
          <c:spPr>
            <a:noFill/>
            <a:ln w="25400">
              <a:noFill/>
            </a:ln>
          </c:spPr>
        </c:title>
        <c:numFmt formatCode="#,##0" sourceLinked="1"/>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448512"/>
        <c:crosses val="autoZero"/>
        <c:crossBetween val="between"/>
        <c:dispUnits>
          <c:builtInUnit val="millions"/>
        </c:dispUnits>
      </c:valAx>
      <c:spPr>
        <a:solidFill>
          <a:srgbClr val="FFFFFF"/>
        </a:solidFill>
        <a:ln w="12700">
          <a:solidFill>
            <a:schemeClr val="bg1">
              <a:lumMod val="85000"/>
            </a:schemeClr>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State and Local Retail Sales &amp; Use Tax Collections</a:t>
            </a:r>
          </a:p>
        </c:rich>
      </c:tx>
      <c:layout>
        <c:manualLayout>
          <c:xMode val="edge"/>
          <c:yMode val="edge"/>
          <c:x val="0.30010701532773854"/>
          <c:y val="2.5777526406881661E-3"/>
        </c:manualLayout>
      </c:layout>
      <c:overlay val="0"/>
      <c:spPr>
        <a:noFill/>
        <a:ln w="25400">
          <a:noFill/>
        </a:ln>
      </c:spPr>
    </c:title>
    <c:autoTitleDeleted val="0"/>
    <c:plotArea>
      <c:layout>
        <c:manualLayout>
          <c:layoutTarget val="inner"/>
          <c:xMode val="edge"/>
          <c:yMode val="edge"/>
          <c:x val="6.542909273361211E-2"/>
          <c:y val="7.7608387014024061E-2"/>
          <c:w val="0.92827561241298695"/>
          <c:h val="0.821721671532474"/>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'4.1'!$A$9:$A$18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'4.1'!$P$9:$P$18</c:f>
              <c:numCache>
                <c:formatCode>_(* #,##0_);_(* \(#,##0\);_(* "-"_);_(@_)</c:formatCode>
                <c:ptCount val="10"/>
                <c:pt idx="0">
                  <c:v>5594644000</c:v>
                </c:pt>
                <c:pt idx="1">
                  <c:v>6102277000</c:v>
                </c:pt>
                <c:pt idx="2">
                  <c:v>6204518000</c:v>
                </c:pt>
                <c:pt idx="3">
                  <c:v>6337800000</c:v>
                </c:pt>
                <c:pt idx="4">
                  <c:v>6515598000</c:v>
                </c:pt>
                <c:pt idx="5">
                  <c:v>6776635000</c:v>
                </c:pt>
                <c:pt idx="6">
                  <c:v>7029632000</c:v>
                </c:pt>
                <c:pt idx="7">
                  <c:v>7935765000</c:v>
                </c:pt>
                <c:pt idx="8">
                  <c:v>8810274000</c:v>
                </c:pt>
                <c:pt idx="9">
                  <c:v>9229041000</c:v>
                </c:pt>
              </c:numCache>
            </c:numRef>
          </c:val>
          <c:extLst>
            <c:ext xmlns:c16="http://schemas.microsoft.com/office/drawing/2014/chart" uri="{C3380CC4-5D6E-409C-BE32-E72D297353CC}">
              <c16:uniqueId val="{00000000-5427-4C96-9613-AEF53680B835}"/>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7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State and Local Retail Sales &amp; Use Tax Collections</a:t>
            </a:r>
          </a:p>
        </c:rich>
      </c:tx>
      <c:layout>
        <c:manualLayout>
          <c:xMode val="edge"/>
          <c:yMode val="edge"/>
          <c:x val="0.22271029323581742"/>
          <c:y val="2.5777011062337383E-3"/>
        </c:manualLayout>
      </c:layout>
      <c:overlay val="0"/>
      <c:spPr>
        <a:noFill/>
        <a:ln w="25400">
          <a:noFill/>
        </a:ln>
      </c:spPr>
    </c:title>
    <c:autoTitleDeleted val="0"/>
    <c:plotArea>
      <c:layout>
        <c:manualLayout>
          <c:layoutTarget val="inner"/>
          <c:xMode val="edge"/>
          <c:yMode val="edge"/>
          <c:x val="8.6518164630170286E-2"/>
          <c:y val="9.2927619405491879E-2"/>
          <c:w val="0.90718655486416255"/>
          <c:h val="0.78597707824482899"/>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'4.1_v1'!$A$7:$A$16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'4.1_v1'!$N$7:$N$16</c:f>
              <c:numCache>
                <c:formatCode>#,##0_);\(#,##0\)</c:formatCode>
                <c:ptCount val="10"/>
                <c:pt idx="0">
                  <c:v>4891193000</c:v>
                </c:pt>
                <c:pt idx="1">
                  <c:v>5052117000</c:v>
                </c:pt>
                <c:pt idx="2">
                  <c:v>5594644000</c:v>
                </c:pt>
                <c:pt idx="3">
                  <c:v>6102277000</c:v>
                </c:pt>
                <c:pt idx="4">
                  <c:v>6204518000</c:v>
                </c:pt>
                <c:pt idx="5">
                  <c:v>6340303000</c:v>
                </c:pt>
                <c:pt idx="6">
                  <c:v>6519121000</c:v>
                </c:pt>
                <c:pt idx="7">
                  <c:v>6776640000</c:v>
                </c:pt>
                <c:pt idx="8">
                  <c:v>7029639000</c:v>
                </c:pt>
                <c:pt idx="9">
                  <c:v>7933076000</c:v>
                </c:pt>
              </c:numCache>
            </c:numRef>
          </c:val>
          <c:extLst>
            <c:ext xmlns:c16="http://schemas.microsoft.com/office/drawing/2014/chart" uri="{C3380CC4-5D6E-409C-BE32-E72D297353CC}">
              <c16:uniqueId val="{00000000-E1F1-41B5-A510-4D5DAE2AFBA2}"/>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7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State and Local Retail Sales &amp; Use Tax Collections</a:t>
            </a:r>
          </a:p>
        </c:rich>
      </c:tx>
      <c:layout>
        <c:manualLayout>
          <c:xMode val="edge"/>
          <c:yMode val="edge"/>
          <c:x val="0.28435523938572721"/>
          <c:y val="2.5778014032212969E-3"/>
        </c:manualLayout>
      </c:layout>
      <c:overlay val="0"/>
      <c:spPr>
        <a:noFill/>
        <a:ln w="25400">
          <a:noFill/>
        </a:ln>
      </c:spPr>
    </c:title>
    <c:autoTitleDeleted val="0"/>
    <c:plotArea>
      <c:layout>
        <c:manualLayout>
          <c:layoutTarget val="inner"/>
          <c:xMode val="edge"/>
          <c:yMode val="edge"/>
          <c:x val="6.542909273361211E-2"/>
          <c:y val="7.7608387014024061E-2"/>
          <c:w val="0.92827561241298695"/>
          <c:h val="0.821721671532474"/>
        </c:manualLayout>
      </c:layout>
      <c:barChart>
        <c:barDir val="col"/>
        <c:grouping val="clustered"/>
        <c:varyColors val="0"/>
        <c:ser>
          <c:idx val="0"/>
          <c:order val="0"/>
          <c:spPr>
            <a:solidFill>
              <a:srgbClr val="9999FF"/>
            </a:solidFill>
            <a:ln w="12700">
              <a:solidFill>
                <a:schemeClr val="bg1">
                  <a:lumMod val="65000"/>
                </a:schemeClr>
              </a:solid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'4.1k'!$A$7:$A$16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'4.1k'!$P$7:$P$16</c:f>
              <c:numCache>
                <c:formatCode>_(* #,##0_);_(* \(#,##0\);_(* "-"_);_(@_)</c:formatCode>
                <c:ptCount val="10"/>
                <c:pt idx="0" formatCode="_(&quot;$&quot;* #,##0_);_(&quot;$&quot;* \(#,##0\);_(&quot;$&quot;* &quot;-&quot;_);_(@_)">
                  <c:v>4891193000</c:v>
                </c:pt>
                <c:pt idx="1">
                  <c:v>5052117000</c:v>
                </c:pt>
                <c:pt idx="2">
                  <c:v>5594644000</c:v>
                </c:pt>
                <c:pt idx="3">
                  <c:v>6102277000</c:v>
                </c:pt>
                <c:pt idx="4">
                  <c:v>6204518000</c:v>
                </c:pt>
                <c:pt idx="5">
                  <c:v>6340303000</c:v>
                </c:pt>
                <c:pt idx="6">
                  <c:v>6519121000</c:v>
                </c:pt>
                <c:pt idx="7">
                  <c:v>6776640000</c:v>
                </c:pt>
                <c:pt idx="8">
                  <c:v>7029640000</c:v>
                </c:pt>
                <c:pt idx="9">
                  <c:v>7937850000</c:v>
                </c:pt>
              </c:numCache>
            </c:numRef>
          </c:val>
          <c:extLst>
            <c:ext xmlns:c16="http://schemas.microsoft.com/office/drawing/2014/chart" uri="{C3380CC4-5D6E-409C-BE32-E72D297353CC}">
              <c16:uniqueId val="{00000000-8263-41DC-8F68-CAC6169C00C0}"/>
            </c:ext>
          </c:extLst>
        </c:ser>
        <c:dLbls>
          <c:showLegendKey val="0"/>
          <c:showVal val="0"/>
          <c:showCatName val="0"/>
          <c:showSerName val="0"/>
          <c:showPercent val="0"/>
          <c:showBubbleSize val="0"/>
        </c:dLbls>
        <c:gapWidth val="75"/>
        <c:axId val="80824960"/>
        <c:axId val="80831232"/>
      </c:barChart>
      <c:catAx>
        <c:axId val="808249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sz="900"/>
                  <a:t>Fiscal Year</a:t>
                </a:r>
              </a:p>
            </c:rich>
          </c:tx>
          <c:layout>
            <c:manualLayout>
              <c:xMode val="edge"/>
              <c:yMode val="edge"/>
              <c:x val="0.44579790353921117"/>
              <c:y val="0.95157138709071343"/>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31232"/>
        <c:crosses val="autoZero"/>
        <c:auto val="1"/>
        <c:lblAlgn val="ctr"/>
        <c:lblOffset val="100"/>
        <c:noMultiLvlLbl val="0"/>
      </c:catAx>
      <c:valAx>
        <c:axId val="80831232"/>
        <c:scaling>
          <c:orientation val="minMax"/>
          <c:min val="0"/>
        </c:scaling>
        <c:delete val="0"/>
        <c:axPos val="l"/>
        <c:majorGridlines>
          <c:spPr>
            <a:ln w="3175">
              <a:solidFill>
                <a:schemeClr val="bg1">
                  <a:lumMod val="7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0824960"/>
        <c:crosses val="autoZero"/>
        <c:crossBetween val="between"/>
        <c:minorUnit val="0.5"/>
        <c:dispUnits>
          <c:builtInUnit val="billions"/>
          <c:dispUnitsLbl>
            <c:layout>
              <c:manualLayout>
                <c:xMode val="edge"/>
                <c:yMode val="edge"/>
                <c:x val="2.7538633837846426E-3"/>
                <c:y val="0.15463985171956601"/>
              </c:manualLayout>
            </c:layout>
            <c:txPr>
              <a:bodyPr/>
              <a:lstStyle/>
              <a:p>
                <a:pPr>
                  <a:defRPr sz="1000" b="1"/>
                </a:pPr>
                <a:endParaRPr lang="en-US"/>
              </a:p>
            </c:txPr>
          </c:dispUnitsLbl>
        </c:dispUnits>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Bank Franchise Tax Collections</a:t>
            </a:r>
          </a:p>
        </c:rich>
      </c:tx>
      <c:layout>
        <c:manualLayout>
          <c:xMode val="edge"/>
          <c:yMode val="edge"/>
          <c:x val="0.25312551077760526"/>
          <c:y val="8.8005979612613885E-3"/>
        </c:manualLayout>
      </c:layout>
      <c:overlay val="0"/>
      <c:spPr>
        <a:noFill/>
        <a:ln w="25400">
          <a:noFill/>
        </a:ln>
      </c:spPr>
    </c:title>
    <c:autoTitleDeleted val="0"/>
    <c:plotArea>
      <c:layout>
        <c:manualLayout>
          <c:layoutTarget val="inner"/>
          <c:xMode val="edge"/>
          <c:yMode val="edge"/>
          <c:x val="0.1042419717623686"/>
          <c:y val="0.127162132556671"/>
          <c:w val="0.8892856653263862"/>
          <c:h val="0.7081261732627121"/>
        </c:manualLayout>
      </c:layout>
      <c:barChart>
        <c:barDir val="col"/>
        <c:grouping val="clustered"/>
        <c:varyColors val="0"/>
        <c:ser>
          <c:idx val="0"/>
          <c:order val="0"/>
          <c:spPr>
            <a:solidFill>
              <a:srgbClr val="9999FF"/>
            </a:solidFill>
            <a:ln w="12700">
              <a:noFill/>
              <a:prstDash val="solid"/>
            </a:ln>
          </c:spPr>
          <c:invertIfNegative val="0"/>
          <c:dLbls>
            <c:numFmt formatCode="&quot;$&quot;#,##0.0" sourceLinked="0"/>
            <c:spPr>
              <a:noFill/>
              <a:ln>
                <a:noFill/>
              </a:ln>
              <a:effectLst/>
            </c:spPr>
            <c:txPr>
              <a:bodyPr wrap="square" lIns="38100" tIns="19050" rIns="38100" bIns="19050" anchor="ctr">
                <a:spAutoFit/>
              </a:bodyPr>
              <a:lstStyle/>
              <a:p>
                <a:pPr>
                  <a:defRPr>
                    <a:solidFill>
                      <a:schemeClr val="tx1">
                        <a:lumMod val="65000"/>
                        <a:lumOff val="3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'5.3-5.4'!$A$36:$A$41</c:f>
              <c:numCache>
                <c:formatCode>General</c:formatCode>
                <c:ptCount val="6"/>
                <c:pt idx="0">
                  <c:v>2018</c:v>
                </c:pt>
                <c:pt idx="1">
                  <c:v>2019</c:v>
                </c:pt>
                <c:pt idx="2">
                  <c:v>2020</c:v>
                </c:pt>
                <c:pt idx="3">
                  <c:v>2021</c:v>
                </c:pt>
                <c:pt idx="4">
                  <c:v>2022</c:v>
                </c:pt>
                <c:pt idx="5">
                  <c:v>2023</c:v>
                </c:pt>
              </c:numCache>
            </c:numRef>
          </c:cat>
          <c:val>
            <c:numRef>
              <c:f>'5.3-5.4'!$B$36:$B$41</c:f>
              <c:numCache>
                <c:formatCode>#,##0</c:formatCode>
                <c:ptCount val="6"/>
                <c:pt idx="0">
                  <c:v>23724800</c:v>
                </c:pt>
                <c:pt idx="1">
                  <c:v>29641360</c:v>
                </c:pt>
                <c:pt idx="2">
                  <c:v>25949060</c:v>
                </c:pt>
                <c:pt idx="3">
                  <c:v>29336130</c:v>
                </c:pt>
                <c:pt idx="4">
                  <c:v>30170420</c:v>
                </c:pt>
                <c:pt idx="5">
                  <c:v>30120070</c:v>
                </c:pt>
              </c:numCache>
            </c:numRef>
          </c:val>
          <c:extLst>
            <c:ext xmlns:c16="http://schemas.microsoft.com/office/drawing/2014/chart" uri="{C3380CC4-5D6E-409C-BE32-E72D297353CC}">
              <c16:uniqueId val="{00000000-1F59-4639-B18B-99F958A20FFE}"/>
            </c:ext>
          </c:extLst>
        </c:ser>
        <c:dLbls>
          <c:showLegendKey val="0"/>
          <c:showVal val="0"/>
          <c:showCatName val="0"/>
          <c:showSerName val="0"/>
          <c:showPercent val="0"/>
          <c:showBubbleSize val="0"/>
        </c:dLbls>
        <c:gapWidth val="75"/>
        <c:axId val="86595840"/>
        <c:axId val="86606208"/>
      </c:barChart>
      <c:catAx>
        <c:axId val="8659584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sz="1000"/>
                  <a:t>Fiscal Year</a:t>
                </a:r>
              </a:p>
            </c:rich>
          </c:tx>
          <c:layout>
            <c:manualLayout>
              <c:xMode val="edge"/>
              <c:yMode val="edge"/>
              <c:x val="0.45714361036328877"/>
              <c:y val="0.91889806736514723"/>
            </c:manualLayout>
          </c:layout>
          <c:overlay val="0"/>
          <c:spPr>
            <a:noFill/>
            <a:ln w="25400">
              <a:noFill/>
            </a:ln>
          </c:spPr>
        </c:title>
        <c:numFmt formatCode="#\ ?/?" sourceLinked="0"/>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606208"/>
        <c:crossesAt val="0"/>
        <c:auto val="1"/>
        <c:lblAlgn val="ctr"/>
        <c:lblOffset val="100"/>
        <c:noMultiLvlLbl val="0"/>
      </c:catAx>
      <c:valAx>
        <c:axId val="86606208"/>
        <c:scaling>
          <c:orientation val="minMax"/>
          <c:min val="0"/>
        </c:scaling>
        <c:delete val="0"/>
        <c:axPos val="l"/>
        <c:majorGridlines>
          <c:spPr>
            <a:ln w="3175">
              <a:solidFill>
                <a:schemeClr val="bg1">
                  <a:lumMod val="65000"/>
                </a:schemeClr>
              </a:solidFill>
              <a:prstDash val="dash"/>
            </a:ln>
          </c:spPr>
        </c:majorGridlines>
        <c:numFmt formatCode="\$#,##0" sourceLinked="0"/>
        <c:majorTickMark val="out"/>
        <c:minorTickMark val="none"/>
        <c:tickLblPos val="nextTo"/>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595840"/>
        <c:crosses val="autoZero"/>
        <c:crossBetween val="between"/>
        <c:dispUnits>
          <c:builtInUnit val="millions"/>
          <c:dispUnitsLbl/>
        </c:dispUnits>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baseline="0">
                <a:solidFill>
                  <a:sysClr val="windowText" lastClr="000000"/>
                </a:solidFill>
              </a:rPr>
              <a:t>Nonprofit Organization Tax Exemption</a:t>
            </a:r>
          </a:p>
        </c:rich>
      </c:tx>
      <c:layout>
        <c:manualLayout>
          <c:xMode val="edge"/>
          <c:yMode val="edge"/>
          <c:x val="0.19608516958635988"/>
          <c:y val="1.1437007874015748E-3"/>
        </c:manualLayout>
      </c:layout>
      <c:overlay val="0"/>
      <c:spPr>
        <a:noFill/>
        <a:ln>
          <a:noFill/>
        </a:ln>
        <a:effectLst/>
      </c:spPr>
    </c:title>
    <c:autoTitleDeleted val="0"/>
    <c:plotArea>
      <c:layout>
        <c:manualLayout>
          <c:layoutTarget val="inner"/>
          <c:xMode val="edge"/>
          <c:yMode val="edge"/>
          <c:x val="9.3682278385494533E-2"/>
          <c:y val="0.10802821522309713"/>
          <c:w val="0.88822986881076671"/>
          <c:h val="0.76588976377952755"/>
        </c:manualLayout>
      </c:layout>
      <c:barChart>
        <c:barDir val="col"/>
        <c:grouping val="clustered"/>
        <c:varyColors val="0"/>
        <c:ser>
          <c:idx val="0"/>
          <c:order val="0"/>
          <c:tx>
            <c:strRef>
              <c:f>'7.1'!$B$5</c:f>
              <c:strCache>
                <c:ptCount val="1"/>
                <c:pt idx="0">
                  <c:v>Amount ($)</c:v>
                </c:pt>
              </c:strCache>
            </c:strRef>
          </c:tx>
          <c:spPr>
            <a:solidFill>
              <a:srgbClr val="AFAFFF"/>
            </a:solidFill>
            <a:ln>
              <a:noFill/>
            </a:ln>
            <a:effectLst>
              <a:outerShdw blurRad="40000" dist="23000" dir="5400000" rotWithShape="0">
                <a:srgbClr val="000000">
                  <a:alpha val="35000"/>
                </a:srgbClr>
              </a:outerShdw>
            </a:effectLst>
            <a:sp3d>
              <a:contourClr>
                <a:srgbClr val="000000"/>
              </a:contourClr>
            </a:sp3d>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tx2">
                          <a:lumMod val="35000"/>
                          <a:lumOff val="65000"/>
                        </a:schemeClr>
                      </a:solidFill>
                    </a:ln>
                    <a:effectLst/>
                  </c:spPr>
                </c15:leaderLines>
              </c:ext>
            </c:extLst>
          </c:dLbls>
          <c:cat>
            <c:numRef>
              <c:f>'7.1'!$A$12:$A$22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'7.1'!$B$12:$B$22</c:f>
              <c:numCache>
                <c:formatCode>#,##0</c:formatCode>
                <c:ptCount val="11"/>
                <c:pt idx="0">
                  <c:v>161434467.78945559</c:v>
                </c:pt>
                <c:pt idx="1">
                  <c:v>208366102.08833417</c:v>
                </c:pt>
                <c:pt idx="2">
                  <c:v>210994603.36485529</c:v>
                </c:pt>
                <c:pt idx="3">
                  <c:v>223074819.58170167</c:v>
                </c:pt>
                <c:pt idx="4">
                  <c:v>244370076.32769448</c:v>
                </c:pt>
                <c:pt idx="5">
                  <c:v>314543689.44675058</c:v>
                </c:pt>
                <c:pt idx="6">
                  <c:v>352673576.32049298</c:v>
                </c:pt>
                <c:pt idx="7">
                  <c:v>362781521.93254882</c:v>
                </c:pt>
                <c:pt idx="8">
                  <c:v>378603136.28511971</c:v>
                </c:pt>
                <c:pt idx="9">
                  <c:v>406492802.46544868</c:v>
                </c:pt>
                <c:pt idx="10">
                  <c:v>477274945.34478736</c:v>
                </c:pt>
              </c:numCache>
            </c:numRef>
          </c:val>
          <c:extLst>
            <c:ext xmlns:c16="http://schemas.microsoft.com/office/drawing/2014/chart" uri="{C3380CC4-5D6E-409C-BE32-E72D297353CC}">
              <c16:uniqueId val="{00000000-D681-4B12-9196-CA936C8FF275}"/>
            </c:ext>
          </c:extLst>
        </c:ser>
        <c:dLbls>
          <c:showLegendKey val="0"/>
          <c:showVal val="0"/>
          <c:showCatName val="0"/>
          <c:showSerName val="0"/>
          <c:showPercent val="0"/>
          <c:showBubbleSize val="0"/>
        </c:dLbls>
        <c:gapWidth val="75"/>
        <c:axId val="389499248"/>
        <c:axId val="389497936"/>
      </c:barChart>
      <c:catAx>
        <c:axId val="389499248"/>
        <c:scaling>
          <c:orientation val="minMax"/>
        </c:scaling>
        <c:delete val="0"/>
        <c:axPos val="b"/>
        <c:minorGridlines>
          <c:spPr>
            <a:ln>
              <a:noFill/>
            </a:ln>
            <a:effectLst>
              <a:outerShdw blurRad="50800" dist="50800" dir="5400000" algn="ctr" rotWithShape="0">
                <a:schemeClr val="tx1"/>
              </a:outerShdw>
            </a:effectLst>
          </c:spPr>
        </c:min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000" baseline="0">
                    <a:solidFill>
                      <a:schemeClr val="tx1">
                        <a:lumMod val="65000"/>
                        <a:lumOff val="35000"/>
                      </a:schemeClr>
                    </a:solidFill>
                  </a:rPr>
                  <a:t>Fiscal Year</a:t>
                </a:r>
              </a:p>
            </c:rich>
          </c:tx>
          <c:layout>
            <c:manualLayout>
              <c:xMode val="edge"/>
              <c:yMode val="edge"/>
              <c:x val="0.47680126977371073"/>
              <c:y val="0.93387565616797896"/>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7936"/>
        <c:crosses val="autoZero"/>
        <c:auto val="0"/>
        <c:lblAlgn val="ctr"/>
        <c:lblOffset val="100"/>
        <c:noMultiLvlLbl val="0"/>
      </c:catAx>
      <c:valAx>
        <c:axId val="389497936"/>
        <c:scaling>
          <c:orientation val="minMax"/>
          <c:min val="0"/>
        </c:scaling>
        <c:delete val="0"/>
        <c:axPos val="l"/>
        <c:majorGridlines>
          <c:spPr>
            <a:ln w="9525" cap="flat" cmpd="sng" algn="ctr">
              <a:solidFill>
                <a:schemeClr val="bg1">
                  <a:lumMod val="65000"/>
                </a:schemeClr>
              </a:solidFill>
              <a:prstDash val="dash"/>
              <a:round/>
            </a:ln>
            <a:effectLst/>
          </c:spPr>
        </c:majorGridlines>
        <c:numFmt formatCode="#,##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89499248"/>
        <c:crosses val="autoZero"/>
        <c:crossBetween val="between"/>
        <c:majorUnit val="50000000"/>
        <c:dispUnits>
          <c:builtInUnit val="millions"/>
          <c:dispUnitsLbl>
            <c:layout>
              <c:manualLayout>
                <c:xMode val="edge"/>
                <c:yMode val="edge"/>
                <c:x val="1.6390693297570888E-3"/>
                <c:y val="0.10802810284604869"/>
              </c:manualLayout>
            </c:layout>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dispUnitsLbl>
        </c:dispUnits>
      </c:valAx>
      <c:spPr>
        <a:noFill/>
        <a:ln>
          <a:solidFill>
            <a:schemeClr val="bg1">
              <a:lumMod val="75000"/>
            </a:schemeClr>
          </a:solidFill>
        </a:ln>
        <a:effectLst/>
      </c:spPr>
    </c:plotArea>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Narrow" panose="020B0606020202030204" pitchFamily="34" charset="0"/>
                <a:ea typeface="Arial"/>
                <a:cs typeface="Arial"/>
              </a:defRPr>
            </a:pPr>
            <a:r>
              <a:rPr lang="en-US" sz="1300">
                <a:latin typeface="Arial Narrow" panose="020B0606020202030204" pitchFamily="34" charset="0"/>
              </a:rPr>
              <a:t>Commonwealth of Virginia Net Revenue Collections by Fiscal Year</a:t>
            </a:r>
          </a:p>
        </c:rich>
      </c:tx>
      <c:layout>
        <c:manualLayout>
          <c:xMode val="edge"/>
          <c:yMode val="edge"/>
          <c:x val="0.14350689754602158"/>
          <c:y val="4.8183018704747952E-3"/>
        </c:manualLayout>
      </c:layout>
      <c:overlay val="0"/>
      <c:spPr>
        <a:noFill/>
        <a:ln w="25400">
          <a:noFill/>
        </a:ln>
      </c:spPr>
    </c:title>
    <c:autoTitleDeleted val="0"/>
    <c:plotArea>
      <c:layout>
        <c:manualLayout>
          <c:layoutTarget val="inner"/>
          <c:xMode val="edge"/>
          <c:yMode val="edge"/>
          <c:x val="0.10777234975752187"/>
          <c:y val="0.13564654502218987"/>
          <c:w val="0.87542087362007115"/>
          <c:h val="0.79186967685405973"/>
        </c:manualLayout>
      </c:layout>
      <c:barChart>
        <c:barDir val="col"/>
        <c:grouping val="clustered"/>
        <c:varyColors val="0"/>
        <c:ser>
          <c:idx val="0"/>
          <c:order val="0"/>
          <c:tx>
            <c:strRef>
              <c:f>RevExp!$A$6</c:f>
              <c:strCache>
                <c:ptCount val="1"/>
                <c:pt idx="0">
                  <c:v>General Fund ³</c:v>
                </c:pt>
              </c:strCache>
            </c:strRef>
          </c:tx>
          <c:spPr>
            <a:solidFill>
              <a:srgbClr val="9999FF"/>
            </a:solidFill>
            <a:ln w="12700">
              <a:solidFill>
                <a:schemeClr val="bg1">
                  <a:lumMod val="65000"/>
                </a:schemeClr>
              </a:solidFill>
              <a:prstDash val="solid"/>
            </a:ln>
          </c:spPr>
          <c:invertIfNegative val="0"/>
          <c:dLbls>
            <c:numFmt formatCode="#,##0.0" sourceLinked="0"/>
            <c:spPr>
              <a:solidFill>
                <a:schemeClr val="bg1"/>
              </a:solidFill>
              <a:ln>
                <a:noFill/>
              </a:ln>
              <a:effectLst/>
            </c:spPr>
            <c:txPr>
              <a:bodyPr wrap="square" lIns="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RevExp!$E$3:$K$3</c:f>
              <c:strCache>
                <c:ptCount val="7"/>
                <c:pt idx="0">
                  <c:v>FY 2017</c:v>
                </c:pt>
                <c:pt idx="1">
                  <c:v>FY 2018</c:v>
                </c:pt>
                <c:pt idx="2">
                  <c:v>FY 2019</c:v>
                </c:pt>
                <c:pt idx="3">
                  <c:v>FY 2020</c:v>
                </c:pt>
                <c:pt idx="4">
                  <c:v>FY 2021</c:v>
                </c:pt>
                <c:pt idx="5">
                  <c:v>FY 2022</c:v>
                </c:pt>
                <c:pt idx="6">
                  <c:v>FY 2023</c:v>
                </c:pt>
              </c:strCache>
            </c:strRef>
          </c:cat>
          <c:val>
            <c:numRef>
              <c:f>RevExp!$E$6:$K$6</c:f>
              <c:numCache>
                <c:formatCode>[$$-409]#,##0</c:formatCode>
                <c:ptCount val="7"/>
                <c:pt idx="0">
                  <c:v>18839827000</c:v>
                </c:pt>
                <c:pt idx="1">
                  <c:v>20024020000</c:v>
                </c:pt>
                <c:pt idx="2">
                  <c:v>21467094000</c:v>
                </c:pt>
                <c:pt idx="3">
                  <c:v>21903571000</c:v>
                </c:pt>
                <c:pt idx="4">
                  <c:v>25083803000</c:v>
                </c:pt>
                <c:pt idx="5">
                  <c:v>29109249000</c:v>
                </c:pt>
                <c:pt idx="6">
                  <c:v>28079312000</c:v>
                </c:pt>
              </c:numCache>
            </c:numRef>
          </c:val>
          <c:extLst>
            <c:ext xmlns:c16="http://schemas.microsoft.com/office/drawing/2014/chart" uri="{C3380CC4-5D6E-409C-BE32-E72D297353CC}">
              <c16:uniqueId val="{00000000-E84D-47E1-A68D-F21671D2B5FA}"/>
            </c:ext>
          </c:extLst>
        </c:ser>
        <c:ser>
          <c:idx val="1"/>
          <c:order val="1"/>
          <c:tx>
            <c:strRef>
              <c:f>RevExp!$A$7</c:f>
              <c:strCache>
                <c:ptCount val="1"/>
                <c:pt idx="0">
                  <c:v>Non-General Fund ⁴</c:v>
                </c:pt>
              </c:strCache>
            </c:strRef>
          </c:tx>
          <c:spPr>
            <a:solidFill>
              <a:srgbClr val="993366"/>
            </a:solidFill>
            <a:ln w="12700">
              <a:solidFill>
                <a:schemeClr val="bg1">
                  <a:lumMod val="65000"/>
                </a:schemeClr>
              </a:solidFill>
              <a:prstDash val="solid"/>
            </a:ln>
          </c:spPr>
          <c:invertIfNegative val="0"/>
          <c:dLbls>
            <c:numFmt formatCode="#,##0.0" sourceLinked="0"/>
            <c:spPr>
              <a:solidFill>
                <a:schemeClr val="bg1"/>
              </a:solidFill>
              <a:ln>
                <a:noFill/>
              </a:ln>
              <a:effectLst/>
            </c:spPr>
            <c:txPr>
              <a:bodyPr wrap="square" lIns="38100" tIns="0" rIns="0" bIns="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RevExp!$E$3:$K$3</c:f>
              <c:strCache>
                <c:ptCount val="7"/>
                <c:pt idx="0">
                  <c:v>FY 2017</c:v>
                </c:pt>
                <c:pt idx="1">
                  <c:v>FY 2018</c:v>
                </c:pt>
                <c:pt idx="2">
                  <c:v>FY 2019</c:v>
                </c:pt>
                <c:pt idx="3">
                  <c:v>FY 2020</c:v>
                </c:pt>
                <c:pt idx="4">
                  <c:v>FY 2021</c:v>
                </c:pt>
                <c:pt idx="5">
                  <c:v>FY 2022</c:v>
                </c:pt>
                <c:pt idx="6">
                  <c:v>FY 2023</c:v>
                </c:pt>
              </c:strCache>
            </c:strRef>
          </c:cat>
          <c:val>
            <c:numRef>
              <c:f>RevExp!$E$7:$K$7</c:f>
              <c:numCache>
                <c:formatCode>[$$-409]#,##0</c:formatCode>
                <c:ptCount val="7"/>
                <c:pt idx="0">
                  <c:v>26073523000</c:v>
                </c:pt>
                <c:pt idx="1">
                  <c:v>27608806000</c:v>
                </c:pt>
                <c:pt idx="2">
                  <c:v>29225445000</c:v>
                </c:pt>
                <c:pt idx="3">
                  <c:v>39119584000</c:v>
                </c:pt>
                <c:pt idx="4">
                  <c:v>50027817000</c:v>
                </c:pt>
                <c:pt idx="5">
                  <c:v>45991135000</c:v>
                </c:pt>
                <c:pt idx="6">
                  <c:v>46256556000</c:v>
                </c:pt>
              </c:numCache>
            </c:numRef>
          </c:val>
          <c:extLst>
            <c:ext xmlns:c16="http://schemas.microsoft.com/office/drawing/2014/chart" uri="{C3380CC4-5D6E-409C-BE32-E72D297353CC}">
              <c16:uniqueId val="{00000001-E84D-47E1-A68D-F21671D2B5FA}"/>
            </c:ext>
          </c:extLst>
        </c:ser>
        <c:dLbls>
          <c:showLegendKey val="0"/>
          <c:showVal val="0"/>
          <c:showCatName val="0"/>
          <c:showSerName val="0"/>
          <c:showPercent val="0"/>
          <c:showBubbleSize val="0"/>
        </c:dLbls>
        <c:gapWidth val="75"/>
        <c:axId val="160050560"/>
        <c:axId val="73057408"/>
      </c:barChart>
      <c:catAx>
        <c:axId val="16005056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73057408"/>
        <c:crosses val="autoZero"/>
        <c:auto val="1"/>
        <c:lblAlgn val="ctr"/>
        <c:lblOffset val="100"/>
        <c:noMultiLvlLbl val="0"/>
      </c:catAx>
      <c:valAx>
        <c:axId val="73057408"/>
        <c:scaling>
          <c:orientation val="minMax"/>
          <c:max val="52000000000"/>
          <c:min val="0"/>
        </c:scaling>
        <c:delete val="0"/>
        <c:axPos val="l"/>
        <c:majorGridlines>
          <c:spPr>
            <a:ln w="3175">
              <a:solidFill>
                <a:schemeClr val="bg1">
                  <a:lumMod val="65000"/>
                </a:schemeClr>
              </a:solidFill>
              <a:prstDash val="dash"/>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60050560"/>
        <c:crosses val="autoZero"/>
        <c:crossBetween val="between"/>
        <c:dispUnits>
          <c:builtInUnit val="billions"/>
          <c:dispUnitsLbl>
            <c:layout>
              <c:manualLayout>
                <c:xMode val="edge"/>
                <c:yMode val="edge"/>
                <c:x val="4.7245882899525525E-3"/>
                <c:y val="0.17401779154296546"/>
              </c:manualLayout>
            </c:layout>
            <c:tx>
              <c:rich>
                <a:bodyPr/>
                <a:lstStyle/>
                <a:p>
                  <a:pPr>
                    <a:defRPr/>
                  </a:pPr>
                  <a:r>
                    <a:rPr lang="en-US"/>
                    <a:t>Billions$</a:t>
                  </a:r>
                </a:p>
              </c:rich>
            </c:tx>
          </c:dispUnitsLbl>
        </c:dispUnits>
      </c:valAx>
      <c:spPr>
        <a:solidFill>
          <a:srgbClr val="FFFFFF"/>
        </a:solidFill>
        <a:ln w="25400">
          <a:noFill/>
        </a:ln>
      </c:spPr>
    </c:plotArea>
    <c:legend>
      <c:legendPos val="b"/>
      <c:layout>
        <c:manualLayout>
          <c:xMode val="edge"/>
          <c:yMode val="edge"/>
          <c:x val="0.2780480813170173"/>
          <c:y val="6.9984899382662655E-2"/>
          <c:w val="0.4533146282352849"/>
          <c:h val="5.2772875458468663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Select</a:t>
            </a:r>
            <a:r>
              <a:rPr lang="en-US" sz="1400" baseline="0">
                <a:latin typeface="Arial Narrow" panose="020B0606020202030204" pitchFamily="34" charset="0"/>
              </a:rPr>
              <a:t> </a:t>
            </a:r>
            <a:r>
              <a:rPr lang="en-US" sz="1400">
                <a:latin typeface="Arial Narrow" panose="020B0606020202030204" pitchFamily="34" charset="0"/>
              </a:rPr>
              <a:t>General Fund Revenue Sources</a:t>
            </a:r>
            <a:r>
              <a:rPr lang="en-US" sz="1400" baseline="0">
                <a:latin typeface="Arial Narrow" panose="020B0606020202030204" pitchFamily="34" charset="0"/>
              </a:rPr>
              <a:t> </a:t>
            </a:r>
            <a:r>
              <a:rPr lang="en-US" sz="1400">
                <a:latin typeface="Arial Narrow" panose="020B0606020202030204" pitchFamily="34" charset="0"/>
              </a:rPr>
              <a:t>vs.</a:t>
            </a:r>
            <a:r>
              <a:rPr lang="en-US" sz="1400" baseline="0">
                <a:latin typeface="Arial Narrow" panose="020B0606020202030204" pitchFamily="34" charset="0"/>
              </a:rPr>
              <a:t> Other </a:t>
            </a:r>
            <a:r>
              <a:rPr lang="en-US" sz="1400">
                <a:latin typeface="Arial Narrow" panose="020B0606020202030204" pitchFamily="34" charset="0"/>
              </a:rPr>
              <a:t>Revenue</a:t>
            </a:r>
          </a:p>
          <a:p>
            <a:pPr>
              <a:defRPr sz="1400" b="1" i="0" u="none" strike="noStrike" baseline="0">
                <a:solidFill>
                  <a:srgbClr val="000000"/>
                </a:solidFill>
                <a:latin typeface="Arial Narrow" panose="020B0606020202030204" pitchFamily="34" charset="0"/>
                <a:ea typeface="Arial"/>
                <a:cs typeface="Arial"/>
              </a:defRPr>
            </a:pPr>
            <a:r>
              <a:rPr lang="en-US" sz="1200" b="0">
                <a:latin typeface="Arial Narrow" panose="020B0606020202030204" pitchFamily="34" charset="0"/>
              </a:rPr>
              <a:t>Administered</a:t>
            </a:r>
            <a:r>
              <a:rPr lang="en-US" sz="1200" b="0" baseline="0">
                <a:latin typeface="Arial Narrow" panose="020B0606020202030204" pitchFamily="34" charset="0"/>
              </a:rPr>
              <a:t> by TAX Department</a:t>
            </a:r>
            <a:endParaRPr lang="en-US" sz="1400" b="0">
              <a:latin typeface="Arial Narrow" panose="020B0606020202030204" pitchFamily="34" charset="0"/>
            </a:endParaRPr>
          </a:p>
        </c:rich>
      </c:tx>
      <c:layout>
        <c:manualLayout>
          <c:xMode val="edge"/>
          <c:yMode val="edge"/>
          <c:x val="0.18110416021773909"/>
          <c:y val="2.6574307473923261E-3"/>
        </c:manualLayout>
      </c:layout>
      <c:overlay val="0"/>
      <c:spPr>
        <a:noFill/>
        <a:ln w="25400">
          <a:noFill/>
        </a:ln>
      </c:spPr>
    </c:title>
    <c:autoTitleDeleted val="0"/>
    <c:plotArea>
      <c:layout>
        <c:manualLayout>
          <c:layoutTarget val="inner"/>
          <c:xMode val="edge"/>
          <c:yMode val="edge"/>
          <c:x val="0.2445320509846122"/>
          <c:y val="0.12947091773218611"/>
          <c:w val="0.50776239004512291"/>
          <c:h val="0.85824403830632434"/>
        </c:manualLayout>
      </c:layout>
      <c:pieChart>
        <c:varyColors val="1"/>
        <c:ser>
          <c:idx val="0"/>
          <c:order val="0"/>
          <c:tx>
            <c:strRef>
              <c:f>ByAcct!$K$4</c:f>
              <c:strCache>
                <c:ptCount val="1"/>
                <c:pt idx="0">
                  <c:v>FY 2023</c:v>
                </c:pt>
              </c:strCache>
            </c:strRef>
          </c:tx>
          <c:spPr>
            <a:solidFill>
              <a:srgbClr val="9999FF"/>
            </a:solidFill>
            <a:ln w="12700">
              <a:solidFill>
                <a:schemeClr val="bg1">
                  <a:lumMod val="65000"/>
                </a:schemeClr>
              </a:solidFill>
              <a:prstDash val="solid"/>
            </a:ln>
          </c:spPr>
          <c:explosion val="5"/>
          <c:dPt>
            <c:idx val="1"/>
            <c:bubble3D val="0"/>
            <c:explosion val="4"/>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0-ADD4-4E20-96B6-371490AA8BF6}"/>
              </c:ext>
            </c:extLst>
          </c:dPt>
          <c:dPt>
            <c:idx val="2"/>
            <c:bubble3D val="0"/>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1-ADD4-4E20-96B6-371490AA8BF6}"/>
              </c:ext>
            </c:extLst>
          </c:dPt>
          <c:dPt>
            <c:idx val="3"/>
            <c:bubble3D val="0"/>
            <c:spPr>
              <a:solidFill>
                <a:srgbClr val="CCFFFF"/>
              </a:solidFill>
              <a:ln w="12700">
                <a:solidFill>
                  <a:schemeClr val="bg1">
                    <a:lumMod val="65000"/>
                  </a:schemeClr>
                </a:solidFill>
                <a:prstDash val="solid"/>
              </a:ln>
            </c:spPr>
            <c:extLst>
              <c:ext xmlns:c16="http://schemas.microsoft.com/office/drawing/2014/chart" uri="{C3380CC4-5D6E-409C-BE32-E72D297353CC}">
                <c16:uniqueId val="{00000002-ADD4-4E20-96B6-371490AA8BF6}"/>
              </c:ext>
            </c:extLst>
          </c:dPt>
          <c:dLbls>
            <c:dLbl>
              <c:idx val="0"/>
              <c:layout>
                <c:manualLayout>
                  <c:x val="-2.0857818070641895E-2"/>
                  <c:y val="4.298623878468334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DD4-4E20-96B6-371490AA8BF6}"/>
                </c:ext>
              </c:extLst>
            </c:dLbl>
            <c:dLbl>
              <c:idx val="1"/>
              <c:layout>
                <c:manualLayout>
                  <c:x val="-2.6686642186696534E-3"/>
                  <c:y val="-0.19568778546094767"/>
                </c:manualLayout>
              </c:layout>
              <c:numFmt formatCode="0%" sourceLinked="0"/>
              <c:spPr>
                <a:noFill/>
                <a:ln w="25400">
                  <a:noFill/>
                </a:ln>
              </c:spPr>
              <c:txPr>
                <a:bodyPr/>
                <a:lstStyle/>
                <a:p>
                  <a:pPr>
                    <a:defRPr sz="1200" b="0" i="0" u="none" strike="noStrike" baseline="0">
                      <a:solidFill>
                        <a:schemeClr val="bg1"/>
                      </a:solidFill>
                      <a:latin typeface="Arial Narrow" panose="020B0606020202030204" pitchFamily="34" charset="0"/>
                      <a:ea typeface="Arial"/>
                      <a:cs typeface="Arial"/>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ADD4-4E20-96B6-371490AA8BF6}"/>
                </c:ext>
              </c:extLst>
            </c:dLbl>
            <c:dLbl>
              <c:idx val="2"/>
              <c:layout>
                <c:manualLayout>
                  <c:x val="0.12394558047975572"/>
                  <c:y val="0.19002644269831018"/>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DD4-4E20-96B6-371490AA8BF6}"/>
                </c:ext>
              </c:extLst>
            </c:dLbl>
            <c:dLbl>
              <c:idx val="3"/>
              <c:layout>
                <c:manualLayout>
                  <c:x val="-5.35374340779236E-2"/>
                  <c:y val="0.17078195987532044"/>
                </c:manualLayout>
              </c:layout>
              <c:tx>
                <c:rich>
                  <a:bodyPr/>
                  <a:lstStyle/>
                  <a:p>
                    <a:pPr>
                      <a:defRPr sz="1400" b="1" i="0" u="none" strike="noStrike" baseline="0">
                        <a:solidFill>
                          <a:srgbClr val="000000"/>
                        </a:solidFill>
                        <a:latin typeface="Arial Narrow" panose="020B0606020202030204" pitchFamily="34" charset="0"/>
                        <a:ea typeface="Arial"/>
                        <a:cs typeface="Arial"/>
                      </a:defRPr>
                    </a:pPr>
                    <a:fld id="{FD5BAE60-EB74-4724-A97D-506A8384ABA7}" type="CATEGORYNAME">
                      <a:rPr lang="en-US" sz="1400" b="1"/>
                      <a:pPr>
                        <a:defRPr sz="1400" b="1" i="0" u="none" strike="noStrike" baseline="0">
                          <a:solidFill>
                            <a:srgbClr val="000000"/>
                          </a:solidFill>
                          <a:latin typeface="Arial Narrow" panose="020B0606020202030204" pitchFamily="34" charset="0"/>
                          <a:ea typeface="Arial"/>
                          <a:cs typeface="Arial"/>
                        </a:defRPr>
                      </a:pPr>
                      <a:t>[CATEGORY NAME]</a:t>
                    </a:fld>
                    <a:r>
                      <a:rPr lang="en-US" sz="1400" b="1" baseline="0"/>
                      <a:t> </a:t>
                    </a:r>
                  </a:p>
                  <a:p>
                    <a:pPr>
                      <a:defRPr sz="1400" b="1" i="0" u="none" strike="noStrike" baseline="0">
                        <a:solidFill>
                          <a:srgbClr val="000000"/>
                        </a:solidFill>
                        <a:latin typeface="Arial Narrow" panose="020B0606020202030204" pitchFamily="34" charset="0"/>
                        <a:ea typeface="Arial"/>
                        <a:cs typeface="Arial"/>
                      </a:defRPr>
                    </a:pPr>
                    <a:fld id="{D14F5D7B-A43E-491E-89BE-FBF31B4AE054}" type="PERCENTAGE">
                      <a:rPr lang="en-US" sz="1400" b="1" baseline="0"/>
                      <a:pPr>
                        <a:defRPr sz="1400" b="1" i="0" u="none" strike="noStrike" baseline="0">
                          <a:solidFill>
                            <a:srgbClr val="000000"/>
                          </a:solidFill>
                          <a:latin typeface="Arial Narrow" panose="020B0606020202030204" pitchFamily="34" charset="0"/>
                          <a:ea typeface="Arial"/>
                          <a:cs typeface="Arial"/>
                        </a:defRPr>
                      </a:pPr>
                      <a:t>[PERCENTAGE]</a:t>
                    </a:fld>
                    <a:endParaRPr lang="en-US"/>
                  </a:p>
                </c:rich>
              </c:tx>
              <c:numFmt formatCode="0%" sourceLinked="0"/>
              <c:spPr>
                <a:noFill/>
                <a:ln w="25400">
                  <a:noFill/>
                </a:ln>
              </c:spPr>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ADD4-4E20-96B6-371490AA8BF6}"/>
                </c:ext>
              </c:extLst>
            </c:dLbl>
            <c:numFmt formatCode="0%" sourceLinked="0"/>
            <c:spPr>
              <a:noFill/>
              <a:ln w="25400">
                <a:noFill/>
              </a:ln>
            </c:spPr>
            <c:txPr>
              <a:bodyPr/>
              <a:lstStyle/>
              <a:p>
                <a:pPr>
                  <a:defRPr sz="1200" b="0" i="0" u="none" strike="noStrike" baseline="0">
                    <a:solidFill>
                      <a:srgbClr val="000000"/>
                    </a:solidFill>
                    <a:latin typeface="Arial Narrow" panose="020B0606020202030204" pitchFamily="34" charset="0"/>
                    <a:ea typeface="Arial"/>
                    <a:cs typeface="Arial"/>
                  </a:defRPr>
                </a:pPr>
                <a:endParaRPr lang="en-U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Corporate Income Tax </c:v>
              </c:pt>
              <c:pt idx="1">
                <c:v>Individual Income Tax</c:v>
              </c:pt>
              <c:pt idx="2">
                <c:v>Sales &amp; Use Tax</c:v>
              </c:pt>
              <c:pt idx="3">
                <c:v>Other </c:v>
              </c:pt>
            </c:strLit>
          </c:cat>
          <c:val>
            <c:numRef>
              <c:f>(ByAcct!$K$8,ByAcct!$K$9,ByAcct!$K$13,ByAcct!$K$57)</c:f>
              <c:numCache>
                <c:formatCode>#,##0</c:formatCode>
                <c:ptCount val="4"/>
                <c:pt idx="0">
                  <c:v>2031120000</c:v>
                </c:pt>
                <c:pt idx="1">
                  <c:v>18983555000</c:v>
                </c:pt>
                <c:pt idx="2">
                  <c:v>4734549000</c:v>
                </c:pt>
                <c:pt idx="3" formatCode="[$$-409]#,##0">
                  <c:v>2609863000</c:v>
                </c:pt>
              </c:numCache>
            </c:numRef>
          </c:val>
          <c:extLst>
            <c:ext xmlns:c16="http://schemas.microsoft.com/office/drawing/2014/chart" uri="{C3380CC4-5D6E-409C-BE32-E72D297353CC}">
              <c16:uniqueId val="{00000004-ADD4-4E20-96B6-371490AA8BF6}"/>
            </c:ext>
          </c:extLst>
        </c:ser>
        <c:dLbls>
          <c:showLegendKey val="0"/>
          <c:showVal val="0"/>
          <c:showCatName val="1"/>
          <c:showSerName val="0"/>
          <c:showPercent val="1"/>
          <c:showBubbleSize val="0"/>
          <c:showLeaderLines val="0"/>
        </c:dLbls>
        <c:firstSliceAng val="33"/>
      </c:pieChart>
    </c:plotArea>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1"/>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General Fund Revenue by Select Tax and Fiscal Year</a:t>
            </a:r>
          </a:p>
        </c:rich>
      </c:tx>
      <c:layout>
        <c:manualLayout>
          <c:xMode val="edge"/>
          <c:yMode val="edge"/>
          <c:x val="0.19930327227428729"/>
          <c:y val="0"/>
        </c:manualLayout>
      </c:layout>
      <c:overlay val="0"/>
      <c:spPr>
        <a:noFill/>
        <a:ln w="25400">
          <a:noFill/>
        </a:ln>
      </c:spPr>
    </c:title>
    <c:autoTitleDeleted val="0"/>
    <c:plotArea>
      <c:layout>
        <c:manualLayout>
          <c:layoutTarget val="inner"/>
          <c:xMode val="edge"/>
          <c:yMode val="edge"/>
          <c:x val="0.10451771653543308"/>
          <c:y val="0.15581304359651932"/>
          <c:w val="0.86093225065616796"/>
          <c:h val="0.75493201990180581"/>
        </c:manualLayout>
      </c:layout>
      <c:barChart>
        <c:barDir val="col"/>
        <c:grouping val="clustered"/>
        <c:varyColors val="0"/>
        <c:ser>
          <c:idx val="0"/>
          <c:order val="0"/>
          <c:tx>
            <c:strRef>
              <c:f>ByAcct!$A$9</c:f>
              <c:strCache>
                <c:ptCount val="1"/>
                <c:pt idx="0">
                  <c:v>Individual Income ²</c:v>
                </c:pt>
              </c:strCache>
            </c:strRef>
          </c:tx>
          <c:spPr>
            <a:solidFill>
              <a:srgbClr val="9999FF"/>
            </a:solidFill>
            <a:ln w="12700">
              <a:noFill/>
              <a:prstDash val="solid"/>
            </a:ln>
          </c:spPr>
          <c:invertIfNegative val="0"/>
          <c:dLbls>
            <c:numFmt formatCode="#,##0.0" sourceLinked="0"/>
            <c:spPr>
              <a:solidFill>
                <a:schemeClr val="bg1"/>
              </a:solidFill>
              <a:ln>
                <a:noFill/>
              </a:ln>
              <a:effectLst/>
            </c:spPr>
            <c:txPr>
              <a:bodyPr wrap="non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ByAcct!$E$4:$K$4</c:f>
              <c:strCache>
                <c:ptCount val="7"/>
                <c:pt idx="0">
                  <c:v>FY 2017</c:v>
                </c:pt>
                <c:pt idx="1">
                  <c:v>FY 2018</c:v>
                </c:pt>
                <c:pt idx="2">
                  <c:v>FY 2019</c:v>
                </c:pt>
                <c:pt idx="3">
                  <c:v>FY 2020</c:v>
                </c:pt>
                <c:pt idx="4">
                  <c:v>FY 2021</c:v>
                </c:pt>
                <c:pt idx="5">
                  <c:v>FY 2022</c:v>
                </c:pt>
                <c:pt idx="6">
                  <c:v>FY 2023</c:v>
                </c:pt>
              </c:strCache>
            </c:strRef>
          </c:cat>
          <c:val>
            <c:numRef>
              <c:f>ByAcct!$E$9:$K$9</c:f>
              <c:numCache>
                <c:formatCode>#,##0</c:formatCode>
                <c:ptCount val="7"/>
                <c:pt idx="0">
                  <c:v>13052887000</c:v>
                </c:pt>
                <c:pt idx="1">
                  <c:v>14105766000</c:v>
                </c:pt>
                <c:pt idx="2">
                  <c:v>15226471000</c:v>
                </c:pt>
                <c:pt idx="3">
                  <c:v>15351592000</c:v>
                </c:pt>
                <c:pt idx="4">
                  <c:v>17303666000</c:v>
                </c:pt>
                <c:pt idx="5">
                  <c:v>20410203000</c:v>
                </c:pt>
                <c:pt idx="6">
                  <c:v>18983555000</c:v>
                </c:pt>
              </c:numCache>
            </c:numRef>
          </c:val>
          <c:extLst>
            <c:ext xmlns:c16="http://schemas.microsoft.com/office/drawing/2014/chart" uri="{C3380CC4-5D6E-409C-BE32-E72D297353CC}">
              <c16:uniqueId val="{00000000-203F-4211-864B-C69215DCA9F6}"/>
            </c:ext>
          </c:extLst>
        </c:ser>
        <c:ser>
          <c:idx val="1"/>
          <c:order val="1"/>
          <c:tx>
            <c:v>Sales and Use Tax</c:v>
          </c:tx>
          <c:spPr>
            <a:solidFill>
              <a:srgbClr val="993366"/>
            </a:solidFill>
            <a:ln w="12700">
              <a:noFill/>
              <a:prstDash val="solid"/>
            </a:ln>
          </c:spPr>
          <c:invertIfNegative val="0"/>
          <c:dLbls>
            <c:numFmt formatCode="#,##0.0" sourceLinked="0"/>
            <c:spPr>
              <a:solidFill>
                <a:srgbClr val="FFFFFF"/>
              </a:solidFill>
              <a:ln>
                <a:noFill/>
              </a:ln>
              <a:effectLst/>
            </c:spPr>
            <c:txPr>
              <a:bodyPr wrap="squar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ByAcct!$E$4:$K$4</c:f>
              <c:strCache>
                <c:ptCount val="7"/>
                <c:pt idx="0">
                  <c:v>FY 2017</c:v>
                </c:pt>
                <c:pt idx="1">
                  <c:v>FY 2018</c:v>
                </c:pt>
                <c:pt idx="2">
                  <c:v>FY 2019</c:v>
                </c:pt>
                <c:pt idx="3">
                  <c:v>FY 2020</c:v>
                </c:pt>
                <c:pt idx="4">
                  <c:v>FY 2021</c:v>
                </c:pt>
                <c:pt idx="5">
                  <c:v>FY 2022</c:v>
                </c:pt>
                <c:pt idx="6">
                  <c:v>FY 2023</c:v>
                </c:pt>
              </c:strCache>
            </c:strRef>
          </c:cat>
          <c:val>
            <c:numRef>
              <c:f>ByAcct!$E$13:$K$13</c:f>
              <c:numCache>
                <c:formatCode>#,##0</c:formatCode>
                <c:ptCount val="7"/>
                <c:pt idx="0">
                  <c:v>3354561000</c:v>
                </c:pt>
                <c:pt idx="1">
                  <c:v>3458249000</c:v>
                </c:pt>
                <c:pt idx="2">
                  <c:v>3580355000</c:v>
                </c:pt>
                <c:pt idx="3">
                  <c:v>3706817000</c:v>
                </c:pt>
                <c:pt idx="4">
                  <c:v>4166182000</c:v>
                </c:pt>
                <c:pt idx="5">
                  <c:v>4558082000</c:v>
                </c:pt>
                <c:pt idx="6">
                  <c:v>4734549000</c:v>
                </c:pt>
              </c:numCache>
            </c:numRef>
          </c:val>
          <c:extLst>
            <c:ext xmlns:c16="http://schemas.microsoft.com/office/drawing/2014/chart" uri="{C3380CC4-5D6E-409C-BE32-E72D297353CC}">
              <c16:uniqueId val="{00000001-203F-4211-864B-C69215DCA9F6}"/>
            </c:ext>
          </c:extLst>
        </c:ser>
        <c:ser>
          <c:idx val="2"/>
          <c:order val="2"/>
          <c:tx>
            <c:strRef>
              <c:f>ByAcct!$A$8</c:f>
              <c:strCache>
                <c:ptCount val="1"/>
                <c:pt idx="0">
                  <c:v>Corporate Income Tax </c:v>
                </c:pt>
              </c:strCache>
            </c:strRef>
          </c:tx>
          <c:invertIfNegative val="0"/>
          <c:dLbls>
            <c:numFmt formatCode="#,##0.0" sourceLinked="0"/>
            <c:spPr>
              <a:noFill/>
              <a:ln>
                <a:noFill/>
              </a:ln>
              <a:effectLst/>
            </c:spPr>
            <c:txPr>
              <a:bodyPr wrap="square" lIns="38100" tIns="19050" rIns="38100" bIns="1905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ByAcct!$E$4:$K$4</c:f>
              <c:strCache>
                <c:ptCount val="7"/>
                <c:pt idx="0">
                  <c:v>FY 2017</c:v>
                </c:pt>
                <c:pt idx="1">
                  <c:v>FY 2018</c:v>
                </c:pt>
                <c:pt idx="2">
                  <c:v>FY 2019</c:v>
                </c:pt>
                <c:pt idx="3">
                  <c:v>FY 2020</c:v>
                </c:pt>
                <c:pt idx="4">
                  <c:v>FY 2021</c:v>
                </c:pt>
                <c:pt idx="5">
                  <c:v>FY 2022</c:v>
                </c:pt>
                <c:pt idx="6">
                  <c:v>FY 2023</c:v>
                </c:pt>
              </c:strCache>
            </c:strRef>
          </c:cat>
          <c:val>
            <c:numRef>
              <c:f>ByAcct!$E$8:$K$8</c:f>
              <c:numCache>
                <c:formatCode>#,##0</c:formatCode>
                <c:ptCount val="7"/>
                <c:pt idx="0">
                  <c:v>826960822.31000006</c:v>
                </c:pt>
                <c:pt idx="1">
                  <c:v>861897138.17999983</c:v>
                </c:pt>
                <c:pt idx="2">
                  <c:v>943391000</c:v>
                </c:pt>
                <c:pt idx="3">
                  <c:v>1011650000</c:v>
                </c:pt>
                <c:pt idx="4">
                  <c:v>1515692000</c:v>
                </c:pt>
                <c:pt idx="5">
                  <c:v>1978697000</c:v>
                </c:pt>
                <c:pt idx="6">
                  <c:v>2031120000</c:v>
                </c:pt>
              </c:numCache>
            </c:numRef>
          </c:val>
          <c:extLst>
            <c:ext xmlns:c16="http://schemas.microsoft.com/office/drawing/2014/chart" uri="{C3380CC4-5D6E-409C-BE32-E72D297353CC}">
              <c16:uniqueId val="{00000000-8520-436B-B821-0D30B7211317}"/>
            </c:ext>
          </c:extLst>
        </c:ser>
        <c:dLbls>
          <c:showLegendKey val="0"/>
          <c:showVal val="0"/>
          <c:showCatName val="0"/>
          <c:showSerName val="0"/>
          <c:showPercent val="0"/>
          <c:showBubbleSize val="0"/>
        </c:dLbls>
        <c:gapWidth val="75"/>
        <c:axId val="74217344"/>
        <c:axId val="74218880"/>
      </c:barChart>
      <c:catAx>
        <c:axId val="74217344"/>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8880"/>
        <c:crosses val="autoZero"/>
        <c:auto val="1"/>
        <c:lblAlgn val="ctr"/>
        <c:lblOffset val="100"/>
        <c:noMultiLvlLbl val="0"/>
      </c:catAx>
      <c:valAx>
        <c:axId val="74218880"/>
        <c:scaling>
          <c:orientation val="minMax"/>
        </c:scaling>
        <c:delete val="0"/>
        <c:axPos val="l"/>
        <c:majorGridlines>
          <c:spPr>
            <a:ln w="3175">
              <a:solidFill>
                <a:schemeClr val="bg1">
                  <a:lumMod val="65000"/>
                </a:schemeClr>
              </a:solidFill>
              <a:prstDash val="dash"/>
            </a:ln>
          </c:spPr>
        </c:majorGridlines>
        <c:numFmt formatCode="\$#,##0" sourceLinked="0"/>
        <c:majorTickMark val="out"/>
        <c:minorTickMark val="none"/>
        <c:tickLblPos val="nextTo"/>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7344"/>
        <c:crosses val="autoZero"/>
        <c:crossBetween val="between"/>
        <c:dispUnits>
          <c:builtInUnit val="billions"/>
          <c:dispUnitsLbl>
            <c:layout>
              <c:manualLayout>
                <c:xMode val="edge"/>
                <c:yMode val="edge"/>
                <c:x val="9.4302572440513877E-3"/>
                <c:y val="0.20690803631656957"/>
              </c:manualLayout>
            </c:layout>
          </c:dispUnitsLbl>
        </c:dispUnits>
      </c:valAx>
      <c:spPr>
        <a:solidFill>
          <a:srgbClr val="FFFFFF"/>
        </a:solidFill>
        <a:ln w="25400">
          <a:noFill/>
        </a:ln>
      </c:spPr>
    </c:plotArea>
    <c:legend>
      <c:legendPos val="b"/>
      <c:layout>
        <c:manualLayout>
          <c:xMode val="edge"/>
          <c:yMode val="edge"/>
          <c:x val="0.12922050113475797"/>
          <c:y val="7.0373703073383184E-2"/>
          <c:w val="0.75608217143076761"/>
          <c:h val="6.8050114937493231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1"/>
          <a:lstStyle/>
          <a:p>
            <a:pPr>
              <a:defRPr sz="1400" b="1" i="0" u="none" strike="noStrike" baseline="0">
                <a:solidFill>
                  <a:srgbClr val="000000"/>
                </a:solidFill>
                <a:latin typeface="Arial Narrow" panose="020B0606020202030204" pitchFamily="34" charset="0"/>
                <a:ea typeface="Arial"/>
                <a:cs typeface="Arial"/>
              </a:defRPr>
            </a:pPr>
            <a:r>
              <a:rPr lang="en-US" sz="1400">
                <a:latin typeface="Arial Narrow" panose="020B0606020202030204" pitchFamily="34" charset="0"/>
              </a:rPr>
              <a:t>Tax Department Net Revenue Collections by Tax Types</a:t>
            </a:r>
          </a:p>
        </c:rich>
      </c:tx>
      <c:layout>
        <c:manualLayout>
          <c:xMode val="edge"/>
          <c:yMode val="edge"/>
          <c:x val="0.19732743219757962"/>
          <c:y val="3.0556701482565888E-3"/>
        </c:manualLayout>
      </c:layout>
      <c:overlay val="0"/>
      <c:spPr>
        <a:noFill/>
        <a:ln w="25400">
          <a:noFill/>
        </a:ln>
      </c:spPr>
    </c:title>
    <c:autoTitleDeleted val="0"/>
    <c:plotArea>
      <c:layout>
        <c:manualLayout>
          <c:layoutTarget val="inner"/>
          <c:xMode val="edge"/>
          <c:yMode val="edge"/>
          <c:x val="9.4433047715440685E-2"/>
          <c:y val="0.15581304359651932"/>
          <c:w val="0.87101694379590644"/>
          <c:h val="0.75493201990180581"/>
        </c:manualLayout>
      </c:layout>
      <c:barChart>
        <c:barDir val="col"/>
        <c:grouping val="clustered"/>
        <c:varyColors val="0"/>
        <c:ser>
          <c:idx val="0"/>
          <c:order val="0"/>
          <c:tx>
            <c:strRef>
              <c:f>ByAcct!$A$9</c:f>
              <c:strCache>
                <c:ptCount val="1"/>
                <c:pt idx="0">
                  <c:v>Individual Income ²</c:v>
                </c:pt>
              </c:strCache>
            </c:strRef>
          </c:tx>
          <c:spPr>
            <a:solidFill>
              <a:srgbClr val="9999FF"/>
            </a:solidFill>
            <a:ln w="12700">
              <a:noFill/>
              <a:prstDash val="solid"/>
            </a:ln>
          </c:spPr>
          <c:invertIfNegative val="0"/>
          <c:dLbls>
            <c:numFmt formatCode="#,##0.0" sourceLinked="0"/>
            <c:spPr>
              <a:solidFill>
                <a:schemeClr val="bg1"/>
              </a:solidFill>
              <a:ln>
                <a:noFill/>
              </a:ln>
              <a:effectLst/>
            </c:spPr>
            <c:txPr>
              <a:bodyPr wrap="non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ByAcct!$E$4:$K$4</c:f>
              <c:strCache>
                <c:ptCount val="7"/>
                <c:pt idx="0">
                  <c:v>FY 2017</c:v>
                </c:pt>
                <c:pt idx="1">
                  <c:v>FY 2018</c:v>
                </c:pt>
                <c:pt idx="2">
                  <c:v>FY 2019</c:v>
                </c:pt>
                <c:pt idx="3">
                  <c:v>FY 2020</c:v>
                </c:pt>
                <c:pt idx="4">
                  <c:v>FY 2021</c:v>
                </c:pt>
                <c:pt idx="5">
                  <c:v>FY 2022</c:v>
                </c:pt>
                <c:pt idx="6">
                  <c:v>FY 2023</c:v>
                </c:pt>
              </c:strCache>
            </c:strRef>
          </c:cat>
          <c:val>
            <c:numRef>
              <c:f>ByAcct!$E$9:$K$9</c:f>
              <c:numCache>
                <c:formatCode>#,##0</c:formatCode>
                <c:ptCount val="7"/>
                <c:pt idx="0">
                  <c:v>13052887000</c:v>
                </c:pt>
                <c:pt idx="1">
                  <c:v>14105766000</c:v>
                </c:pt>
                <c:pt idx="2">
                  <c:v>15226471000</c:v>
                </c:pt>
                <c:pt idx="3">
                  <c:v>15351592000</c:v>
                </c:pt>
                <c:pt idx="4">
                  <c:v>17303666000</c:v>
                </c:pt>
                <c:pt idx="5">
                  <c:v>20410203000</c:v>
                </c:pt>
                <c:pt idx="6">
                  <c:v>18983555000</c:v>
                </c:pt>
              </c:numCache>
            </c:numRef>
          </c:val>
          <c:extLst>
            <c:ext xmlns:c16="http://schemas.microsoft.com/office/drawing/2014/chart" uri="{C3380CC4-5D6E-409C-BE32-E72D297353CC}">
              <c16:uniqueId val="{00000000-95B3-4120-A17D-754F6746F1B1}"/>
            </c:ext>
          </c:extLst>
        </c:ser>
        <c:ser>
          <c:idx val="1"/>
          <c:order val="1"/>
          <c:tx>
            <c:v>Sales and Use Tax</c:v>
          </c:tx>
          <c:spPr>
            <a:solidFill>
              <a:srgbClr val="993366"/>
            </a:solidFill>
            <a:ln w="12700">
              <a:noFill/>
              <a:prstDash val="solid"/>
            </a:ln>
          </c:spPr>
          <c:invertIfNegative val="0"/>
          <c:dLbls>
            <c:numFmt formatCode="#,##0.0" sourceLinked="0"/>
            <c:spPr>
              <a:solidFill>
                <a:srgbClr val="FFFFFF"/>
              </a:solidFill>
              <a:ln>
                <a:noFill/>
              </a:ln>
              <a:effectLst/>
            </c:spPr>
            <c:txPr>
              <a:bodyPr wrap="square" lIns="0" tIns="0" rIns="0" bIns="0" anchor="ctr">
                <a:spAutoFit/>
              </a:bodyPr>
              <a:lstStyle/>
              <a:p>
                <a:pPr>
                  <a:defRPr sz="11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ByAcct!$E$4:$K$4</c:f>
              <c:strCache>
                <c:ptCount val="7"/>
                <c:pt idx="0">
                  <c:v>FY 2017</c:v>
                </c:pt>
                <c:pt idx="1">
                  <c:v>FY 2018</c:v>
                </c:pt>
                <c:pt idx="2">
                  <c:v>FY 2019</c:v>
                </c:pt>
                <c:pt idx="3">
                  <c:v>FY 2020</c:v>
                </c:pt>
                <c:pt idx="4">
                  <c:v>FY 2021</c:v>
                </c:pt>
                <c:pt idx="5">
                  <c:v>FY 2022</c:v>
                </c:pt>
                <c:pt idx="6">
                  <c:v>FY 2023</c:v>
                </c:pt>
              </c:strCache>
            </c:strRef>
          </c:cat>
          <c:val>
            <c:numRef>
              <c:f>ByAcct!$E$13:$K$13</c:f>
              <c:numCache>
                <c:formatCode>#,##0</c:formatCode>
                <c:ptCount val="7"/>
                <c:pt idx="0">
                  <c:v>3354561000</c:v>
                </c:pt>
                <c:pt idx="1">
                  <c:v>3458249000</c:v>
                </c:pt>
                <c:pt idx="2">
                  <c:v>3580355000</c:v>
                </c:pt>
                <c:pt idx="3">
                  <c:v>3706817000</c:v>
                </c:pt>
                <c:pt idx="4">
                  <c:v>4166182000</c:v>
                </c:pt>
                <c:pt idx="5">
                  <c:v>4558082000</c:v>
                </c:pt>
                <c:pt idx="6">
                  <c:v>4734549000</c:v>
                </c:pt>
              </c:numCache>
            </c:numRef>
          </c:val>
          <c:extLst>
            <c:ext xmlns:c16="http://schemas.microsoft.com/office/drawing/2014/chart" uri="{C3380CC4-5D6E-409C-BE32-E72D297353CC}">
              <c16:uniqueId val="{00000001-95B3-4120-A17D-754F6746F1B1}"/>
            </c:ext>
          </c:extLst>
        </c:ser>
        <c:ser>
          <c:idx val="2"/>
          <c:order val="2"/>
          <c:tx>
            <c:strRef>
              <c:f>ByAcct!$A$8</c:f>
              <c:strCache>
                <c:ptCount val="1"/>
                <c:pt idx="0">
                  <c:v>Corporate Income Tax </c:v>
                </c:pt>
              </c:strCache>
            </c:strRef>
          </c:tx>
          <c:invertIfNegative val="0"/>
          <c:dLbls>
            <c:numFmt formatCode="#,##0.0" sourceLinked="0"/>
            <c:spPr>
              <a:noFill/>
              <a:ln>
                <a:noFill/>
              </a:ln>
              <a:effectLst/>
            </c:spPr>
            <c:txPr>
              <a:bodyPr wrap="square" lIns="38100" tIns="19050" rIns="38100" bIns="1905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ByAcct!$E$4:$K$4</c:f>
              <c:strCache>
                <c:ptCount val="7"/>
                <c:pt idx="0">
                  <c:v>FY 2017</c:v>
                </c:pt>
                <c:pt idx="1">
                  <c:v>FY 2018</c:v>
                </c:pt>
                <c:pt idx="2">
                  <c:v>FY 2019</c:v>
                </c:pt>
                <c:pt idx="3">
                  <c:v>FY 2020</c:v>
                </c:pt>
                <c:pt idx="4">
                  <c:v>FY 2021</c:v>
                </c:pt>
                <c:pt idx="5">
                  <c:v>FY 2022</c:v>
                </c:pt>
                <c:pt idx="6">
                  <c:v>FY 2023</c:v>
                </c:pt>
              </c:strCache>
            </c:strRef>
          </c:cat>
          <c:val>
            <c:numRef>
              <c:f>ByAcct!$E$8:$K$8</c:f>
              <c:numCache>
                <c:formatCode>#,##0</c:formatCode>
                <c:ptCount val="7"/>
                <c:pt idx="0">
                  <c:v>826960822.31000006</c:v>
                </c:pt>
                <c:pt idx="1">
                  <c:v>861897138.17999983</c:v>
                </c:pt>
                <c:pt idx="2">
                  <c:v>943391000</c:v>
                </c:pt>
                <c:pt idx="3">
                  <c:v>1011650000</c:v>
                </c:pt>
                <c:pt idx="4">
                  <c:v>1515692000</c:v>
                </c:pt>
                <c:pt idx="5">
                  <c:v>1978697000</c:v>
                </c:pt>
                <c:pt idx="6">
                  <c:v>2031120000</c:v>
                </c:pt>
              </c:numCache>
            </c:numRef>
          </c:val>
          <c:extLst>
            <c:ext xmlns:c16="http://schemas.microsoft.com/office/drawing/2014/chart" uri="{C3380CC4-5D6E-409C-BE32-E72D297353CC}">
              <c16:uniqueId val="{00000002-95B3-4120-A17D-754F6746F1B1}"/>
            </c:ext>
          </c:extLst>
        </c:ser>
        <c:ser>
          <c:idx val="3"/>
          <c:order val="3"/>
          <c:tx>
            <c:strRef>
              <c:f>ByAcct!$A$57</c:f>
              <c:strCache>
                <c:ptCount val="1"/>
                <c:pt idx="0">
                  <c:v>Other</c:v>
                </c:pt>
              </c:strCache>
            </c:strRef>
          </c:tx>
          <c:invertIfNegative val="0"/>
          <c:dLbls>
            <c:numFmt formatCode="#,##0.0" sourceLinked="0"/>
            <c:spPr>
              <a:noFill/>
              <a:ln>
                <a:noFill/>
              </a:ln>
              <a:effectLst/>
            </c:spPr>
            <c:txPr>
              <a:bodyPr wrap="square" lIns="38100" tIns="19050" rIns="38100" bIns="19050" anchor="ctr">
                <a:spAutoFit/>
              </a:bodyPr>
              <a:lstStyle/>
              <a:p>
                <a:pPr>
                  <a:defRPr sz="1000">
                    <a:solidFill>
                      <a:schemeClr val="bg1">
                        <a:lumMod val="50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ByAcct!$E$4:$K$4</c:f>
              <c:strCache>
                <c:ptCount val="7"/>
                <c:pt idx="0">
                  <c:v>FY 2017</c:v>
                </c:pt>
                <c:pt idx="1">
                  <c:v>FY 2018</c:v>
                </c:pt>
                <c:pt idx="2">
                  <c:v>FY 2019</c:v>
                </c:pt>
                <c:pt idx="3">
                  <c:v>FY 2020</c:v>
                </c:pt>
                <c:pt idx="4">
                  <c:v>FY 2021</c:v>
                </c:pt>
                <c:pt idx="5">
                  <c:v>FY 2022</c:v>
                </c:pt>
                <c:pt idx="6">
                  <c:v>FY 2023</c:v>
                </c:pt>
              </c:strCache>
            </c:strRef>
          </c:cat>
          <c:val>
            <c:numRef>
              <c:f>ByAcct!$E$57:$K$57</c:f>
              <c:numCache>
                <c:formatCode>[$$-409]#,##0</c:formatCode>
                <c:ptCount val="7"/>
                <c:pt idx="0">
                  <c:v>767401177.69000053</c:v>
                </c:pt>
                <c:pt idx="1">
                  <c:v>763035861.81999969</c:v>
                </c:pt>
                <c:pt idx="2">
                  <c:v>1625197140.2000008</c:v>
                </c:pt>
                <c:pt idx="3">
                  <c:v>2167788628.1300011</c:v>
                </c:pt>
                <c:pt idx="4">
                  <c:v>2641396000</c:v>
                </c:pt>
                <c:pt idx="5">
                  <c:v>2782131000</c:v>
                </c:pt>
                <c:pt idx="6">
                  <c:v>2609863000</c:v>
                </c:pt>
              </c:numCache>
            </c:numRef>
          </c:val>
          <c:extLst>
            <c:ext xmlns:c16="http://schemas.microsoft.com/office/drawing/2014/chart" uri="{C3380CC4-5D6E-409C-BE32-E72D297353CC}">
              <c16:uniqueId val="{00000003-95B3-4120-A17D-754F6746F1B1}"/>
            </c:ext>
          </c:extLst>
        </c:ser>
        <c:dLbls>
          <c:showLegendKey val="0"/>
          <c:showVal val="0"/>
          <c:showCatName val="0"/>
          <c:showSerName val="0"/>
          <c:showPercent val="0"/>
          <c:showBubbleSize val="0"/>
        </c:dLbls>
        <c:gapWidth val="75"/>
        <c:overlap val="-5"/>
        <c:axId val="74217344"/>
        <c:axId val="74218880"/>
      </c:barChart>
      <c:catAx>
        <c:axId val="74217344"/>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8880"/>
        <c:crosses val="autoZero"/>
        <c:auto val="1"/>
        <c:lblAlgn val="ctr"/>
        <c:lblOffset val="100"/>
        <c:noMultiLvlLbl val="0"/>
      </c:catAx>
      <c:valAx>
        <c:axId val="74218880"/>
        <c:scaling>
          <c:orientation val="minMax"/>
        </c:scaling>
        <c:delete val="0"/>
        <c:axPos val="l"/>
        <c:majorGridlines>
          <c:spPr>
            <a:ln w="3175">
              <a:solidFill>
                <a:schemeClr val="bg1">
                  <a:lumMod val="65000"/>
                </a:schemeClr>
              </a:solidFill>
              <a:prstDash val="dash"/>
            </a:ln>
          </c:spPr>
        </c:majorGridlines>
        <c:numFmt formatCode="\$#,##0" sourceLinked="0"/>
        <c:majorTickMark val="out"/>
        <c:minorTickMark val="none"/>
        <c:tickLblPos val="nextTo"/>
        <c:spPr>
          <a:ln w="3175">
            <a:solidFill>
              <a:schemeClr val="bg1">
                <a:lumMod val="65000"/>
              </a:schemeClr>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74217344"/>
        <c:crosses val="autoZero"/>
        <c:crossBetween val="between"/>
        <c:dispUnits>
          <c:builtInUnit val="billions"/>
          <c:dispUnitsLbl>
            <c:layout>
              <c:manualLayout>
                <c:xMode val="edge"/>
                <c:yMode val="edge"/>
                <c:x val="1.3624724674632072E-3"/>
                <c:y val="0.14508896247160027"/>
              </c:manualLayout>
            </c:layout>
          </c:dispUnitsLbl>
        </c:dispUnits>
      </c:valAx>
      <c:spPr>
        <a:solidFill>
          <a:srgbClr val="FFFFFF"/>
        </a:solidFill>
        <a:ln w="25400">
          <a:noFill/>
        </a:ln>
      </c:spPr>
    </c:plotArea>
    <c:legend>
      <c:legendPos val="b"/>
      <c:layout>
        <c:manualLayout>
          <c:xMode val="edge"/>
          <c:yMode val="edge"/>
          <c:x val="7.8796774343654022E-2"/>
          <c:y val="7.0415490823862698E-2"/>
          <c:w val="0.84517983477222225"/>
          <c:h val="6.8050114937493231E-2"/>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1" i="0" u="none" strike="noStrike" baseline="0">
                <a:solidFill>
                  <a:srgbClr val="000000"/>
                </a:solidFill>
                <a:latin typeface="Arial"/>
                <a:ea typeface="Arial"/>
                <a:cs typeface="Arial"/>
              </a:defRPr>
            </a:pPr>
            <a:r>
              <a:rPr lang="en-US"/>
              <a:t>Individual Income Tax Liability</a:t>
            </a:r>
          </a:p>
        </c:rich>
      </c:tx>
      <c:layout>
        <c:manualLayout>
          <c:xMode val="edge"/>
          <c:yMode val="edge"/>
          <c:x val="0.32321102633178872"/>
          <c:y val="9.4643869244183181E-4"/>
        </c:manualLayout>
      </c:layout>
      <c:overlay val="0"/>
      <c:spPr>
        <a:noFill/>
        <a:ln w="25400">
          <a:noFill/>
        </a:ln>
      </c:spPr>
    </c:title>
    <c:autoTitleDeleted val="0"/>
    <c:plotArea>
      <c:layout>
        <c:manualLayout>
          <c:layoutTarget val="inner"/>
          <c:xMode val="edge"/>
          <c:yMode val="edge"/>
          <c:x val="0.10923299273644924"/>
          <c:y val="9.0234297900028779E-2"/>
          <c:w val="0.87708838915048948"/>
          <c:h val="0.77058187268105927"/>
        </c:manualLayout>
      </c:layout>
      <c:barChart>
        <c:barDir val="col"/>
        <c:grouping val="clustered"/>
        <c:varyColors val="0"/>
        <c:ser>
          <c:idx val="0"/>
          <c:order val="0"/>
          <c:tx>
            <c:strRef>
              <c:f>'1.1'!$C$6</c:f>
              <c:strCache>
                <c:ptCount val="1"/>
                <c:pt idx="0">
                  <c:v>Amount</c:v>
                </c:pt>
              </c:strCache>
            </c:strRef>
          </c:tx>
          <c:spPr>
            <a:solidFill>
              <a:srgbClr val="993366"/>
            </a:solidFill>
            <a:ln w="12700">
              <a:noFill/>
              <a:prstDash val="solid"/>
            </a:ln>
          </c:spPr>
          <c:invertIfNegative val="0"/>
          <c:dLbls>
            <c:numFmt formatCode="&quot;$&quot;#,##0.0" sourceLinked="0"/>
            <c:spPr>
              <a:solidFill>
                <a:schemeClr val="bg1"/>
              </a:solidFill>
              <a:ln>
                <a:noFill/>
              </a:ln>
              <a:effectLst/>
            </c:spPr>
            <c:txPr>
              <a:bodyPr wrap="square" lIns="0" tIns="0" rIns="0" bIns="0" anchor="ctr">
                <a:spAutoFit/>
              </a:bodyPr>
              <a:lstStyle/>
              <a:p>
                <a:pPr>
                  <a:defRPr sz="900">
                    <a:solidFill>
                      <a:schemeClr val="tx1">
                        <a:lumMod val="75000"/>
                        <a:lumOff val="25000"/>
                      </a:schemeClr>
                    </a:solidFill>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'1.1'!$A$13:$A$23</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'1.1'!$C$13:$C$23</c:f>
              <c:numCache>
                <c:formatCode>#,##0</c:formatCode>
                <c:ptCount val="11"/>
                <c:pt idx="0">
                  <c:v>9846787045</c:v>
                </c:pt>
                <c:pt idx="1">
                  <c:v>10527113882</c:v>
                </c:pt>
                <c:pt idx="2">
                  <c:v>10586343685</c:v>
                </c:pt>
                <c:pt idx="3">
                  <c:v>11623977320</c:v>
                </c:pt>
                <c:pt idx="4">
                  <c:v>12071058964</c:v>
                </c:pt>
                <c:pt idx="5">
                  <c:v>11800977144.559999</c:v>
                </c:pt>
                <c:pt idx="6">
                  <c:v>12342418241.27</c:v>
                </c:pt>
                <c:pt idx="7">
                  <c:v>14112424787.530001</c:v>
                </c:pt>
                <c:pt idx="8">
                  <c:v>14172033140.65</c:v>
                </c:pt>
                <c:pt idx="9">
                  <c:v>14728931857.1</c:v>
                </c:pt>
                <c:pt idx="10">
                  <c:v>18548295256.189999</c:v>
                </c:pt>
              </c:numCache>
            </c:numRef>
          </c:val>
          <c:extLst>
            <c:ext xmlns:c16="http://schemas.microsoft.com/office/drawing/2014/chart" uri="{C3380CC4-5D6E-409C-BE32-E72D297353CC}">
              <c16:uniqueId val="{00000000-559C-4459-9869-AABE38F7692B}"/>
            </c:ext>
          </c:extLst>
        </c:ser>
        <c:dLbls>
          <c:showLegendKey val="0"/>
          <c:showVal val="0"/>
          <c:showCatName val="0"/>
          <c:showSerName val="0"/>
          <c:showPercent val="0"/>
          <c:showBubbleSize val="0"/>
        </c:dLbls>
        <c:gapWidth val="75"/>
        <c:axId val="75302016"/>
        <c:axId val="75303936"/>
      </c:barChart>
      <c:catAx>
        <c:axId val="75302016"/>
        <c:scaling>
          <c:orientation val="minMax"/>
        </c:scaling>
        <c:delete val="0"/>
        <c:axPos val="b"/>
        <c:title>
          <c:tx>
            <c:rich>
              <a:bodyPr/>
              <a:lstStyle/>
              <a:p>
                <a:pPr>
                  <a:defRPr sz="1075" b="1" i="0" u="none" strike="noStrike" baseline="0">
                    <a:solidFill>
                      <a:srgbClr val="000000"/>
                    </a:solidFill>
                    <a:latin typeface="Arial"/>
                    <a:ea typeface="Arial"/>
                    <a:cs typeface="Arial"/>
                  </a:defRPr>
                </a:pPr>
                <a:r>
                  <a:rPr lang="en-US"/>
                  <a:t>Taxable Year</a:t>
                </a:r>
              </a:p>
            </c:rich>
          </c:tx>
          <c:layout>
            <c:manualLayout>
              <c:xMode val="edge"/>
              <c:yMode val="edge"/>
              <c:x val="0.44447386360665669"/>
              <c:y val="0.9392015751443954"/>
            </c:manualLayout>
          </c:layout>
          <c:overlay val="0"/>
          <c:spPr>
            <a:noFill/>
            <a:ln w="25400">
              <a:noFill/>
            </a:ln>
          </c:spPr>
        </c:title>
        <c:numFmt formatCode="General" sourceLinked="1"/>
        <c:majorTickMark val="out"/>
        <c:minorTickMark val="none"/>
        <c:tickLblPos val="low"/>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3936"/>
        <c:crosses val="autoZero"/>
        <c:auto val="1"/>
        <c:lblAlgn val="ctr"/>
        <c:lblOffset val="100"/>
        <c:noMultiLvlLbl val="0"/>
      </c:catAx>
      <c:valAx>
        <c:axId val="75303936"/>
        <c:scaling>
          <c:orientation val="minMax"/>
        </c:scaling>
        <c:delete val="0"/>
        <c:axPos val="l"/>
        <c:majorGridlines>
          <c:spPr>
            <a:ln w="3175">
              <a:solidFill>
                <a:schemeClr val="bg1">
                  <a:lumMod val="65000"/>
                </a:schemeClr>
              </a:solidFill>
              <a:prstDash val="dash"/>
            </a:ln>
          </c:spPr>
        </c:majorGridlines>
        <c:numFmt formatCode="&quot;$&quot;#,##0" sourceLinked="0"/>
        <c:majorTickMark val="out"/>
        <c:minorTickMark val="none"/>
        <c:tickLblPos val="nextTo"/>
        <c:spPr>
          <a:ln w="3175">
            <a:solidFill>
              <a:schemeClr val="bg1">
                <a:lumMod val="65000"/>
              </a:schemeClr>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5302016"/>
        <c:crosses val="autoZero"/>
        <c:crossBetween val="between"/>
        <c:dispUnits>
          <c:builtInUnit val="billions"/>
          <c:dispUnitsLbl>
            <c:layout>
              <c:manualLayout>
                <c:xMode val="edge"/>
                <c:yMode val="edge"/>
                <c:x val="1.0655731671023301E-2"/>
                <c:y val="9.0234297900028779E-2"/>
              </c:manualLayout>
            </c:layout>
          </c:dispUnitsLbl>
        </c:dispUnits>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985277462219751E-2"/>
          <c:y val="1.4454849958506936E-2"/>
          <c:w val="0.53168551160804933"/>
          <c:h val="0.88553612046317431"/>
        </c:manualLayout>
      </c:layout>
      <c:pieChart>
        <c:varyColors val="1"/>
        <c:ser>
          <c:idx val="0"/>
          <c:order val="0"/>
          <c:spPr>
            <a:solidFill>
              <a:srgbClr val="9999FF"/>
            </a:solidFill>
            <a:ln w="12700">
              <a:solidFill>
                <a:schemeClr val="bg1">
                  <a:lumMod val="65000"/>
                </a:schemeClr>
              </a:solidFill>
              <a:prstDash val="solid"/>
            </a:ln>
          </c:spPr>
          <c:dPt>
            <c:idx val="0"/>
            <c:bubble3D val="0"/>
            <c:explosion val="10"/>
            <c:extLst>
              <c:ext xmlns:c16="http://schemas.microsoft.com/office/drawing/2014/chart" uri="{C3380CC4-5D6E-409C-BE32-E72D297353CC}">
                <c16:uniqueId val="{00000001-524A-4E8F-9213-F66C938815E3}"/>
              </c:ext>
            </c:extLst>
          </c:dPt>
          <c:dPt>
            <c:idx val="1"/>
            <c:bubble3D val="0"/>
            <c:explosion val="10"/>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3-524A-4E8F-9213-F66C938815E3}"/>
              </c:ext>
            </c:extLst>
          </c:dPt>
          <c:dPt>
            <c:idx val="2"/>
            <c:bubble3D val="0"/>
            <c:explosion val="10"/>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5-524A-4E8F-9213-F66C938815E3}"/>
              </c:ext>
            </c:extLst>
          </c:dPt>
          <c:dLbls>
            <c:dLbl>
              <c:idx val="0"/>
              <c:layout>
                <c:manualLayout>
                  <c:x val="0.14720869188633787"/>
                  <c:y val="-8.2178120615100603E-2"/>
                </c:manualLayout>
              </c:layout>
              <c:numFmt formatCode="0%" sourceLinked="0"/>
              <c:spPr>
                <a:noFill/>
                <a:ln w="25400">
                  <a:noFill/>
                </a:ln>
              </c:spPr>
              <c:txPr>
                <a:bodyPr/>
                <a:lstStyle/>
                <a:p>
                  <a:pPr>
                    <a:defRPr sz="1100" b="1" i="0" u="none" strike="noStrike" baseline="0">
                      <a:solidFill>
                        <a:schemeClr val="bg1"/>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24A-4E8F-9213-F66C938815E3}"/>
                </c:ext>
              </c:extLst>
            </c:dLbl>
            <c:dLbl>
              <c:idx val="1"/>
              <c:layout>
                <c:manualLayout>
                  <c:x val="-0.22014944719425619"/>
                  <c:y val="0.14087037968660196"/>
                </c:manualLayout>
              </c:layout>
              <c:spPr>
                <a:noFill/>
                <a:ln w="25400">
                  <a:noFill/>
                </a:ln>
                <a:effectLst/>
              </c:spPr>
              <c:txPr>
                <a:bodyPr wrap="square" lIns="38100" tIns="19050" rIns="38100" bIns="19050" anchor="ctr">
                  <a:spAutoFit/>
                </a:bodyPr>
                <a:lstStyle/>
                <a:p>
                  <a:pPr>
                    <a:defRPr sz="1100" b="1" i="0" u="none" strike="noStrike" baseline="0">
                      <a:solidFill>
                        <a:schemeClr val="bg1"/>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24A-4E8F-9213-F66C938815E3}"/>
                </c:ext>
              </c:extLst>
            </c:dLbl>
            <c:dLbl>
              <c:idx val="2"/>
              <c:layout>
                <c:manualLayout>
                  <c:x val="-4.2098473881378093E-2"/>
                  <c:y val="-2.900931193179945E-3"/>
                </c:manualLayout>
              </c:layout>
              <c:numFmt formatCode="0%" sourceLinked="0"/>
              <c:spPr>
                <a:noFill/>
                <a:ln w="25400">
                  <a:noFill/>
                </a:ln>
              </c:spPr>
              <c:txPr>
                <a:bodyPr/>
                <a:lstStyle/>
                <a:p>
                  <a:pPr>
                    <a:defRPr sz="1100" b="1" i="0" u="none" strike="noStrike" baseline="0">
                      <a:solidFill>
                        <a:schemeClr val="bg1">
                          <a:lumMod val="50000"/>
                        </a:schemeClr>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30648657963507142"/>
                      <c:h val="0.21411029271599682"/>
                    </c:manualLayout>
                  </c15:layout>
                </c:ext>
                <c:ext xmlns:c16="http://schemas.microsoft.com/office/drawing/2014/chart" uri="{C3380CC4-5D6E-409C-BE32-E72D297353CC}">
                  <c16:uniqueId val="{00000005-524A-4E8F-9213-F66C938815E3}"/>
                </c:ext>
              </c:extLst>
            </c:dLbl>
            <c:numFmt formatCode="0%" sourceLinked="0"/>
            <c:spPr>
              <a:noFill/>
              <a:ln w="25400">
                <a:noFill/>
              </a:ln>
            </c:spPr>
            <c:txPr>
              <a:bodyPr/>
              <a:lstStyle/>
              <a:p>
                <a:pPr>
                  <a:defRPr sz="11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'1.3'!$D$5:$F$5</c:f>
              <c:strCache>
                <c:ptCount val="3"/>
                <c:pt idx="0">
                  <c:v>Single 
Returns</c:v>
                </c:pt>
                <c:pt idx="1">
                  <c:v>Married 
Filing Joint </c:v>
                </c:pt>
                <c:pt idx="2">
                  <c:v>Married 
Filing Separately </c:v>
                </c:pt>
              </c:strCache>
            </c:strRef>
          </c:cat>
          <c:val>
            <c:numRef>
              <c:f>'1.3'!$D$31:$F$31</c:f>
              <c:numCache>
                <c:formatCode>#,##0</c:formatCode>
                <c:ptCount val="3"/>
                <c:pt idx="0">
                  <c:v>2477756</c:v>
                </c:pt>
                <c:pt idx="1">
                  <c:v>1510685</c:v>
                </c:pt>
                <c:pt idx="2">
                  <c:v>176499</c:v>
                </c:pt>
              </c:numCache>
            </c:numRef>
          </c:val>
          <c:extLst>
            <c:ext xmlns:c16="http://schemas.microsoft.com/office/drawing/2014/chart" uri="{C3380CC4-5D6E-409C-BE32-E72D297353CC}">
              <c16:uniqueId val="{00000006-524A-4E8F-9213-F66C938815E3}"/>
            </c:ext>
          </c:extLst>
        </c:ser>
        <c:dLbls>
          <c:showLegendKey val="0"/>
          <c:showVal val="0"/>
          <c:showCatName val="1"/>
          <c:showSerName val="0"/>
          <c:showPercent val="1"/>
          <c:showBubbleSize val="0"/>
          <c:showLeaderLines val="0"/>
        </c:dLbls>
        <c:firstSliceAng val="150"/>
      </c:pieChart>
    </c:plotArea>
    <c:plotVisOnly val="1"/>
    <c:dispBlanksAs val="zero"/>
    <c:showDLblsOverMax val="0"/>
  </c:chart>
  <c:spPr>
    <a:solidFill>
      <a:srgbClr val="FFFFFF"/>
    </a:solid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001402380956115E-2"/>
          <c:y val="4.903390371637701E-2"/>
          <c:w val="0.67610331649654765"/>
          <c:h val="0.84744970293076305"/>
        </c:manualLayout>
      </c:layout>
      <c:pieChart>
        <c:varyColors val="1"/>
        <c:ser>
          <c:idx val="0"/>
          <c:order val="0"/>
          <c:spPr>
            <a:solidFill>
              <a:srgbClr val="9999FF"/>
            </a:solidFill>
            <a:ln w="12700">
              <a:solidFill>
                <a:schemeClr val="bg1">
                  <a:lumMod val="65000"/>
                </a:schemeClr>
              </a:solidFill>
              <a:prstDash val="solid"/>
            </a:ln>
          </c:spPr>
          <c:explosion val="10"/>
          <c:dPt>
            <c:idx val="1"/>
            <c:bubble3D val="0"/>
            <c:spPr>
              <a:solidFill>
                <a:srgbClr val="993366"/>
              </a:solidFill>
              <a:ln w="12700">
                <a:solidFill>
                  <a:schemeClr val="bg1">
                    <a:lumMod val="65000"/>
                  </a:schemeClr>
                </a:solidFill>
                <a:prstDash val="solid"/>
              </a:ln>
            </c:spPr>
            <c:extLst>
              <c:ext xmlns:c16="http://schemas.microsoft.com/office/drawing/2014/chart" uri="{C3380CC4-5D6E-409C-BE32-E72D297353CC}">
                <c16:uniqueId val="{00000001-CE55-47D9-B13A-2583F3984488}"/>
              </c:ext>
            </c:extLst>
          </c:dPt>
          <c:dPt>
            <c:idx val="2"/>
            <c:bubble3D val="0"/>
            <c:spPr>
              <a:solidFill>
                <a:srgbClr val="FFFFCC"/>
              </a:solidFill>
              <a:ln w="12700">
                <a:solidFill>
                  <a:schemeClr val="bg1">
                    <a:lumMod val="65000"/>
                  </a:schemeClr>
                </a:solidFill>
                <a:prstDash val="solid"/>
              </a:ln>
            </c:spPr>
            <c:extLst>
              <c:ext xmlns:c16="http://schemas.microsoft.com/office/drawing/2014/chart" uri="{C3380CC4-5D6E-409C-BE32-E72D297353CC}">
                <c16:uniqueId val="{00000003-CE55-47D9-B13A-2583F3984488}"/>
              </c:ext>
            </c:extLst>
          </c:dPt>
          <c:dPt>
            <c:idx val="3"/>
            <c:bubble3D val="0"/>
            <c:spPr>
              <a:solidFill>
                <a:srgbClr val="CCFFFF"/>
              </a:solidFill>
              <a:ln w="12700">
                <a:solidFill>
                  <a:schemeClr val="bg1">
                    <a:lumMod val="65000"/>
                  </a:schemeClr>
                </a:solidFill>
                <a:prstDash val="solid"/>
              </a:ln>
            </c:spPr>
            <c:extLst>
              <c:ext xmlns:c16="http://schemas.microsoft.com/office/drawing/2014/chart" uri="{C3380CC4-5D6E-409C-BE32-E72D297353CC}">
                <c16:uniqueId val="{00000005-CE55-47D9-B13A-2583F3984488}"/>
              </c:ext>
            </c:extLst>
          </c:dPt>
          <c:dLbls>
            <c:dLbl>
              <c:idx val="0"/>
              <c:layout>
                <c:manualLayout>
                  <c:x val="0.12720782591299817"/>
                  <c:y val="-0.14733814226357808"/>
                </c:manualLayout>
              </c:layout>
              <c:numFmt formatCode="0.0%" sourceLinked="0"/>
              <c:spPr>
                <a:noFill/>
                <a:ln w="25400">
                  <a:noFill/>
                </a:ln>
              </c:spPr>
              <c:txPr>
                <a:bodyPr/>
                <a:lstStyle/>
                <a:p>
                  <a:pPr>
                    <a:defRPr sz="1050" b="1" i="0" u="none" strike="noStrike" baseline="0">
                      <a:solidFill>
                        <a:schemeClr val="bg1"/>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E55-47D9-B13A-2583F3984488}"/>
                </c:ext>
              </c:extLst>
            </c:dLbl>
            <c:dLbl>
              <c:idx val="1"/>
              <c:layout>
                <c:manualLayout>
                  <c:x val="-0.17872516402368641"/>
                  <c:y val="0.18596486498856732"/>
                </c:manualLayout>
              </c:layout>
              <c:numFmt formatCode="0.0%" sourceLinked="0"/>
              <c:spPr>
                <a:noFill/>
                <a:ln w="25400">
                  <a:noFill/>
                </a:ln>
                <a:effectLst/>
              </c:spPr>
              <c:txPr>
                <a:bodyPr wrap="square" lIns="38100" tIns="19050" rIns="38100" bIns="19050" anchor="ctr">
                  <a:spAutoFit/>
                </a:bodyPr>
                <a:lstStyle/>
                <a:p>
                  <a:pPr>
                    <a:defRPr sz="1050" b="1" i="0" u="none" strike="noStrike" baseline="0">
                      <a:solidFill>
                        <a:schemeClr val="bg1"/>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E55-47D9-B13A-2583F3984488}"/>
                </c:ext>
              </c:extLst>
            </c:dLbl>
            <c:dLbl>
              <c:idx val="2"/>
              <c:layout>
                <c:manualLayout>
                  <c:x val="-0.16014608060285354"/>
                  <c:y val="-6.943998679130679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E55-47D9-B13A-2583F3984488}"/>
                </c:ext>
              </c:extLst>
            </c:dLbl>
            <c:dLbl>
              <c:idx val="3"/>
              <c:layout>
                <c:manualLayout>
                  <c:x val="-6.6195741466366267E-2"/>
                  <c:y val="1.01261031463028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E55-47D9-B13A-2583F3984488}"/>
                </c:ext>
              </c:extLst>
            </c:dLbl>
            <c:numFmt formatCode="0.0%" sourceLinked="0"/>
            <c:spPr>
              <a:noFill/>
              <a:ln w="25400">
                <a:noFill/>
              </a:ln>
            </c:spPr>
            <c:txPr>
              <a:bodyPr/>
              <a:lstStyle/>
              <a:p>
                <a:pPr>
                  <a:defRPr sz="1050" b="1" i="0" u="none" strike="noStrike" baseline="0">
                    <a:solidFill>
                      <a:schemeClr val="bg1">
                        <a:lumMod val="50000"/>
                      </a:schemeClr>
                    </a:solidFill>
                    <a:latin typeface="Arial"/>
                    <a:ea typeface="Arial"/>
                    <a:cs typeface="Arial"/>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'1.4'!$E$5:$H$5</c:f>
              <c:strCache>
                <c:ptCount val="4"/>
                <c:pt idx="0">
                  <c:v>Personal</c:v>
                </c:pt>
                <c:pt idx="1">
                  <c:v>Dependent</c:v>
                </c:pt>
                <c:pt idx="2">
                  <c:v>Age</c:v>
                </c:pt>
                <c:pt idx="3">
                  <c:v>Blindness</c:v>
                </c:pt>
              </c:strCache>
            </c:strRef>
          </c:cat>
          <c:val>
            <c:numRef>
              <c:f>'1.4'!$E$31:$H$31</c:f>
              <c:numCache>
                <c:formatCode>#,##0</c:formatCode>
                <c:ptCount val="4"/>
                <c:pt idx="0">
                  <c:v>5686037</c:v>
                </c:pt>
                <c:pt idx="1">
                  <c:v>2203983</c:v>
                </c:pt>
                <c:pt idx="2">
                  <c:v>1104975</c:v>
                </c:pt>
                <c:pt idx="3">
                  <c:v>8641</c:v>
                </c:pt>
              </c:numCache>
            </c:numRef>
          </c:val>
          <c:extLst>
            <c:ext xmlns:c16="http://schemas.microsoft.com/office/drawing/2014/chart" uri="{C3380CC4-5D6E-409C-BE32-E72D297353CC}">
              <c16:uniqueId val="{00000007-CE55-47D9-B13A-2583F3984488}"/>
            </c:ext>
          </c:extLst>
        </c:ser>
        <c:dLbls>
          <c:showLegendKey val="0"/>
          <c:showVal val="0"/>
          <c:showCatName val="1"/>
          <c:showSerName val="0"/>
          <c:showPercent val="1"/>
          <c:showBubbleSize val="0"/>
          <c:showLeaderLines val="0"/>
        </c:dLbls>
        <c:firstSliceAng val="133"/>
      </c:pieChart>
    </c:plotArea>
    <c:plotVisOnly val="1"/>
    <c:dispBlanksAs val="zero"/>
    <c:showDLblsOverMax val="0"/>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Refund Match Totals</a:t>
            </a:r>
          </a:p>
        </c:rich>
      </c:tx>
      <c:layout>
        <c:manualLayout>
          <c:xMode val="edge"/>
          <c:yMode val="edge"/>
          <c:x val="0.37048657703960636"/>
          <c:y val="4.1485746924121531E-3"/>
        </c:manualLayout>
      </c:layout>
      <c:overlay val="0"/>
      <c:spPr>
        <a:noFill/>
        <a:ln w="25400">
          <a:noFill/>
        </a:ln>
      </c:spPr>
    </c:title>
    <c:autoTitleDeleted val="0"/>
    <c:plotArea>
      <c:layout>
        <c:manualLayout>
          <c:layoutTarget val="inner"/>
          <c:xMode val="edge"/>
          <c:yMode val="edge"/>
          <c:x val="0.10323210201618688"/>
          <c:y val="9.4760952808360097E-2"/>
          <c:w val="0.87008042804938779"/>
          <c:h val="0.76004204137695242"/>
        </c:manualLayout>
      </c:layout>
      <c:barChart>
        <c:barDir val="col"/>
        <c:grouping val="clustered"/>
        <c:varyColors val="0"/>
        <c:ser>
          <c:idx val="1"/>
          <c:order val="0"/>
          <c:tx>
            <c:strRef>
              <c:f>'1.8-1.9'!$C$28</c:f>
              <c:strCache>
                <c:ptCount val="1"/>
                <c:pt idx="0">
                  <c:v>Total</c:v>
                </c:pt>
              </c:strCache>
            </c:strRef>
          </c:tx>
          <c:spPr>
            <a:solidFill>
              <a:srgbClr val="993366"/>
            </a:solidFill>
            <a:ln w="12700">
              <a:noFill/>
              <a:prstDash val="solid"/>
            </a:ln>
          </c:spPr>
          <c:invertIfNegative val="0"/>
          <c:dLbls>
            <c:numFmt formatCode="&quot;$&quot;#,##0.0" sourceLinked="0"/>
            <c:spPr>
              <a:solidFill>
                <a:schemeClr val="bg1"/>
              </a:solidFill>
              <a:ln>
                <a:noFill/>
              </a:ln>
              <a:effectLst/>
            </c:spPr>
            <c:txPr>
              <a:bodyPr wrap="square" lIns="38100" tIns="19050" rIns="38100" bIns="19050" anchor="ctr">
                <a:spAutoFit/>
              </a:bodyPr>
              <a:lstStyle/>
              <a:p>
                <a:pPr>
                  <a:defRPr>
                    <a:solidFill>
                      <a:schemeClr val="tx1">
                        <a:lumMod val="75000"/>
                        <a:lumOff val="2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'1.8-1.9'!$B$30:$B$40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'1.8-1.9'!$C$30:$C$40</c:f>
              <c:numCache>
                <c:formatCode>#,##0</c:formatCode>
                <c:ptCount val="11"/>
                <c:pt idx="0">
                  <c:v>18104923.309999999</c:v>
                </c:pt>
                <c:pt idx="1">
                  <c:v>17368776.620000001</c:v>
                </c:pt>
                <c:pt idx="2">
                  <c:v>18211926.469999999</c:v>
                </c:pt>
                <c:pt idx="3">
                  <c:v>19469019.920000002</c:v>
                </c:pt>
                <c:pt idx="4">
                  <c:v>19206043.66</c:v>
                </c:pt>
                <c:pt idx="5">
                  <c:v>16359793.289999999</c:v>
                </c:pt>
                <c:pt idx="6">
                  <c:v>17431562.34</c:v>
                </c:pt>
                <c:pt idx="7">
                  <c:v>16204019.57</c:v>
                </c:pt>
                <c:pt idx="8">
                  <c:v>17428289.379999999</c:v>
                </c:pt>
                <c:pt idx="9">
                  <c:v>18570711.949999999</c:v>
                </c:pt>
                <c:pt idx="10">
                  <c:v>19281706.66</c:v>
                </c:pt>
              </c:numCache>
            </c:numRef>
          </c:val>
          <c:extLst>
            <c:ext xmlns:c16="http://schemas.microsoft.com/office/drawing/2014/chart" uri="{C3380CC4-5D6E-409C-BE32-E72D297353CC}">
              <c16:uniqueId val="{00000000-9B35-46B5-9661-4A35C994072E}"/>
            </c:ext>
          </c:extLst>
        </c:ser>
        <c:dLbls>
          <c:showLegendKey val="0"/>
          <c:showVal val="0"/>
          <c:showCatName val="0"/>
          <c:showSerName val="0"/>
          <c:showPercent val="0"/>
          <c:showBubbleSize val="0"/>
        </c:dLbls>
        <c:gapWidth val="75"/>
        <c:axId val="80388096"/>
        <c:axId val="80390016"/>
      </c:barChart>
      <c:catAx>
        <c:axId val="80388096"/>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n-US"/>
                  <a:t>Tax Year</a:t>
                </a:r>
              </a:p>
            </c:rich>
          </c:tx>
          <c:layout>
            <c:manualLayout>
              <c:xMode val="edge"/>
              <c:yMode val="edge"/>
              <c:x val="0.4833272147251691"/>
              <c:y val="0.92529107436699942"/>
            </c:manualLayout>
          </c:layout>
          <c:overlay val="0"/>
          <c:spPr>
            <a:noFill/>
            <a:ln w="25400">
              <a:noFill/>
            </a:ln>
          </c:spPr>
        </c:title>
        <c:numFmt formatCode="General" sourceLinked="1"/>
        <c:majorTickMark val="out"/>
        <c:minorTickMark val="none"/>
        <c:tickLblPos val="low"/>
        <c:spPr>
          <a:ln w="3175">
            <a:solidFill>
              <a:schemeClr val="bg1">
                <a:lumMod val="50000"/>
              </a:schemeClr>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90016"/>
        <c:crosses val="autoZero"/>
        <c:auto val="1"/>
        <c:lblAlgn val="ctr"/>
        <c:lblOffset val="100"/>
        <c:noMultiLvlLbl val="0"/>
      </c:catAx>
      <c:valAx>
        <c:axId val="80390016"/>
        <c:scaling>
          <c:orientation val="minMax"/>
        </c:scaling>
        <c:delete val="0"/>
        <c:axPos val="l"/>
        <c:majorGridlines>
          <c:spPr>
            <a:ln w="3175">
              <a:solidFill>
                <a:schemeClr val="bg1">
                  <a:lumMod val="50000"/>
                </a:schemeClr>
              </a:solidFill>
              <a:prstDash val="dash"/>
            </a:ln>
          </c:spPr>
        </c:majorGridlines>
        <c:numFmt formatCode="&quot;$&quot;#,##0" sourceLinked="0"/>
        <c:majorTickMark val="out"/>
        <c:minorTickMark val="none"/>
        <c:tickLblPos val="nextTo"/>
        <c:spPr>
          <a:ln w="3175">
            <a:solidFill>
              <a:schemeClr val="bg1">
                <a:lumMod val="50000"/>
              </a:schemeClr>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80388096"/>
        <c:crosses val="autoZero"/>
        <c:crossBetween val="between"/>
        <c:dispUnits>
          <c:builtInUnit val="millions"/>
          <c:dispUnitsLbl>
            <c:layout>
              <c:manualLayout>
                <c:xMode val="edge"/>
                <c:yMode val="edge"/>
                <c:x val="7.4052037707505215E-3"/>
                <c:y val="0.19345327947996141"/>
              </c:manualLayout>
            </c:layout>
          </c:dispUnitsLbl>
        </c:dispUnits>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15</xdr:col>
      <xdr:colOff>400403</xdr:colOff>
      <xdr:row>24</xdr:row>
      <xdr:rowOff>14111</xdr:rowOff>
    </xdr:from>
    <xdr:to>
      <xdr:col>22</xdr:col>
      <xdr:colOff>49741</xdr:colOff>
      <xdr:row>44</xdr:row>
      <xdr:rowOff>114443</xdr:rowOff>
    </xdr:to>
    <xdr:graphicFrame macro="">
      <xdr:nvGraphicFramePr>
        <xdr:cNvPr id="2432" name="Chart 2">
          <a:extLst>
            <a:ext uri="{FF2B5EF4-FFF2-40B4-BE49-F238E27FC236}">
              <a16:creationId xmlns:a16="http://schemas.microsoft.com/office/drawing/2014/main" id="{00000000-0008-0000-0200-000080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314854</xdr:colOff>
      <xdr:row>0</xdr:row>
      <xdr:rowOff>84667</xdr:rowOff>
    </xdr:from>
    <xdr:to>
      <xdr:col>22</xdr:col>
      <xdr:colOff>23812</xdr:colOff>
      <xdr:row>21</xdr:row>
      <xdr:rowOff>81492</xdr:rowOff>
    </xdr:to>
    <xdr:graphicFrame macro="">
      <xdr:nvGraphicFramePr>
        <xdr:cNvPr id="2431" name="Chart 1">
          <a:extLst>
            <a:ext uri="{FF2B5EF4-FFF2-40B4-BE49-F238E27FC236}">
              <a16:creationId xmlns:a16="http://schemas.microsoft.com/office/drawing/2014/main" id="{00000000-0008-0000-0200-00007F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278130</xdr:colOff>
      <xdr:row>33</xdr:row>
      <xdr:rowOff>52917</xdr:rowOff>
    </xdr:from>
    <xdr:to>
      <xdr:col>13</xdr:col>
      <xdr:colOff>582083</xdr:colOff>
      <xdr:row>55</xdr:row>
      <xdr:rowOff>10583</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215899</xdr:colOff>
      <xdr:row>29</xdr:row>
      <xdr:rowOff>63500</xdr:rowOff>
    </xdr:from>
    <xdr:to>
      <xdr:col>6</xdr:col>
      <xdr:colOff>146049</xdr:colOff>
      <xdr:row>46</xdr:row>
      <xdr:rowOff>57150</xdr:rowOff>
    </xdr:to>
    <xdr:graphicFrame macro="">
      <xdr:nvGraphicFramePr>
        <xdr:cNvPr id="139439" name="Chart 1">
          <a:extLst>
            <a:ext uri="{FF2B5EF4-FFF2-40B4-BE49-F238E27FC236}">
              <a16:creationId xmlns:a16="http://schemas.microsoft.com/office/drawing/2014/main" id="{00000000-0008-0000-1800-0000AF20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53340</xdr:colOff>
      <xdr:row>192</xdr:row>
      <xdr:rowOff>83820</xdr:rowOff>
    </xdr:from>
    <xdr:to>
      <xdr:col>18</xdr:col>
      <xdr:colOff>266700</xdr:colOff>
      <xdr:row>192</xdr:row>
      <xdr:rowOff>83820</xdr:rowOff>
    </xdr:to>
    <xdr:sp macro="" textlink="">
      <xdr:nvSpPr>
        <xdr:cNvPr id="2" name="Line 1">
          <a:extLst>
            <a:ext uri="{FF2B5EF4-FFF2-40B4-BE49-F238E27FC236}">
              <a16:creationId xmlns:a16="http://schemas.microsoft.com/office/drawing/2014/main" id="{00000000-0008-0000-1F00-000002000000}"/>
            </a:ext>
          </a:extLst>
        </xdr:cNvPr>
        <xdr:cNvSpPr>
          <a:spLocks noChangeShapeType="1"/>
        </xdr:cNvSpPr>
      </xdr:nvSpPr>
      <xdr:spPr bwMode="auto">
        <a:xfrm flipH="1">
          <a:off x="16693515" y="28515945"/>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3" name="Line 2">
          <a:extLst>
            <a:ext uri="{FF2B5EF4-FFF2-40B4-BE49-F238E27FC236}">
              <a16:creationId xmlns:a16="http://schemas.microsoft.com/office/drawing/2014/main" id="{00000000-0008-0000-1F00-000003000000}"/>
            </a:ext>
          </a:extLst>
        </xdr:cNvPr>
        <xdr:cNvSpPr>
          <a:spLocks noChangeShapeType="1"/>
        </xdr:cNvSpPr>
      </xdr:nvSpPr>
      <xdr:spPr bwMode="auto">
        <a:xfrm flipH="1">
          <a:off x="16693515" y="28984575"/>
          <a:ext cx="220980" cy="0"/>
        </a:xfrm>
        <a:prstGeom prst="line">
          <a:avLst/>
        </a:prstGeom>
        <a:noFill/>
        <a:ln w="9525">
          <a:solidFill>
            <a:srgbClr val="000000"/>
          </a:solidFill>
          <a:round/>
          <a:headEnd/>
          <a:tailEnd type="triangle" w="med" len="med"/>
        </a:ln>
      </xdr:spPr>
    </xdr:sp>
    <xdr:clientData/>
  </xdr:twoCellAnchor>
  <xdr:twoCellAnchor>
    <xdr:from>
      <xdr:col>18</xdr:col>
      <xdr:colOff>53340</xdr:colOff>
      <xdr:row>192</xdr:row>
      <xdr:rowOff>83820</xdr:rowOff>
    </xdr:from>
    <xdr:to>
      <xdr:col>18</xdr:col>
      <xdr:colOff>266700</xdr:colOff>
      <xdr:row>192</xdr:row>
      <xdr:rowOff>83820</xdr:rowOff>
    </xdr:to>
    <xdr:sp macro="" textlink="">
      <xdr:nvSpPr>
        <xdr:cNvPr id="4" name="Line 3">
          <a:extLst>
            <a:ext uri="{FF2B5EF4-FFF2-40B4-BE49-F238E27FC236}">
              <a16:creationId xmlns:a16="http://schemas.microsoft.com/office/drawing/2014/main" id="{00000000-0008-0000-1F00-000004000000}"/>
            </a:ext>
          </a:extLst>
        </xdr:cNvPr>
        <xdr:cNvSpPr>
          <a:spLocks noChangeShapeType="1"/>
        </xdr:cNvSpPr>
      </xdr:nvSpPr>
      <xdr:spPr bwMode="auto">
        <a:xfrm flipH="1">
          <a:off x="16693515" y="28515945"/>
          <a:ext cx="213360" cy="0"/>
        </a:xfrm>
        <a:prstGeom prst="line">
          <a:avLst/>
        </a:prstGeom>
        <a:noFill/>
        <a:ln w="9525">
          <a:solidFill>
            <a:srgbClr val="000000"/>
          </a:solidFill>
          <a:round/>
          <a:headEnd/>
          <a:tailEnd type="triangle" w="med" len="med"/>
        </a:ln>
      </xdr:spPr>
    </xdr:sp>
    <xdr:clientData/>
  </xdr:twoCellAnchor>
  <xdr:twoCellAnchor>
    <xdr:from>
      <xdr:col>18</xdr:col>
      <xdr:colOff>53340</xdr:colOff>
      <xdr:row>195</xdr:row>
      <xdr:rowOff>76200</xdr:rowOff>
    </xdr:from>
    <xdr:to>
      <xdr:col>18</xdr:col>
      <xdr:colOff>274320</xdr:colOff>
      <xdr:row>195</xdr:row>
      <xdr:rowOff>76200</xdr:rowOff>
    </xdr:to>
    <xdr:sp macro="" textlink="">
      <xdr:nvSpPr>
        <xdr:cNvPr id="5" name="Line 4">
          <a:extLst>
            <a:ext uri="{FF2B5EF4-FFF2-40B4-BE49-F238E27FC236}">
              <a16:creationId xmlns:a16="http://schemas.microsoft.com/office/drawing/2014/main" id="{00000000-0008-0000-1F00-000005000000}"/>
            </a:ext>
          </a:extLst>
        </xdr:cNvPr>
        <xdr:cNvSpPr>
          <a:spLocks noChangeShapeType="1"/>
        </xdr:cNvSpPr>
      </xdr:nvSpPr>
      <xdr:spPr bwMode="auto">
        <a:xfrm flipH="1">
          <a:off x="16693515" y="28984575"/>
          <a:ext cx="220980" cy="0"/>
        </a:xfrm>
        <a:prstGeom prst="line">
          <a:avLst/>
        </a:prstGeom>
        <a:noFill/>
        <a:ln w="9525">
          <a:solidFill>
            <a:srgbClr val="000000"/>
          </a:solidFill>
          <a:round/>
          <a:headEnd/>
          <a:tailEnd type="triangle" w="med" len="med"/>
        </a:ln>
      </xdr:spPr>
    </xdr:sp>
    <xdr:clientData/>
  </xdr:twoCellAnchor>
  <xdr:twoCellAnchor>
    <xdr:from>
      <xdr:col>8</xdr:col>
      <xdr:colOff>0</xdr:colOff>
      <xdr:row>0</xdr:row>
      <xdr:rowOff>0</xdr:rowOff>
    </xdr:from>
    <xdr:to>
      <xdr:col>11</xdr:col>
      <xdr:colOff>800100</xdr:colOff>
      <xdr:row>1</xdr:row>
      <xdr:rowOff>123825</xdr:rowOff>
    </xdr:to>
    <xdr:sp macro="" textlink="">
      <xdr:nvSpPr>
        <xdr:cNvPr id="6" name="TextBox 5">
          <a:extLst>
            <a:ext uri="{FF2B5EF4-FFF2-40B4-BE49-F238E27FC236}">
              <a16:creationId xmlns:a16="http://schemas.microsoft.com/office/drawing/2014/main" id="{00000000-0008-0000-1F00-000006000000}"/>
            </a:ext>
          </a:extLst>
        </xdr:cNvPr>
        <xdr:cNvSpPr txBox="1"/>
      </xdr:nvSpPr>
      <xdr:spPr>
        <a:xfrm>
          <a:off x="8220075" y="0"/>
          <a:ext cx="2819400" cy="3143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C00000"/>
              </a:solidFill>
              <a:latin typeface="Arial Narrow" panose="020B0606020202030204" pitchFamily="34" charset="0"/>
            </a:rPr>
            <a:t>Report Property Tax Surveys on M drive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73025</xdr:colOff>
      <xdr:row>3</xdr:row>
      <xdr:rowOff>53976</xdr:rowOff>
    </xdr:from>
    <xdr:to>
      <xdr:col>5</xdr:col>
      <xdr:colOff>1431924</xdr:colOff>
      <xdr:row>23</xdr:row>
      <xdr:rowOff>9525</xdr:rowOff>
    </xdr:to>
    <xdr:graphicFrame macro="">
      <xdr:nvGraphicFramePr>
        <xdr:cNvPr id="3" name="Chart 2">
          <a:extLst>
            <a:ext uri="{FF2B5EF4-FFF2-40B4-BE49-F238E27FC236}">
              <a16:creationId xmlns:a16="http://schemas.microsoft.com/office/drawing/2014/main" id="{00000000-0008-0000-2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129332</xdr:colOff>
      <xdr:row>21</xdr:row>
      <xdr:rowOff>65038</xdr:rowOff>
    </xdr:from>
    <xdr:to>
      <xdr:col>19</xdr:col>
      <xdr:colOff>176956</xdr:colOff>
      <xdr:row>42</xdr:row>
      <xdr:rowOff>67830</xdr:rowOff>
    </xdr:to>
    <xdr:graphicFrame macro="">
      <xdr:nvGraphicFramePr>
        <xdr:cNvPr id="1709134" name="Chart 1">
          <a:extLst>
            <a:ext uri="{FF2B5EF4-FFF2-40B4-BE49-F238E27FC236}">
              <a16:creationId xmlns:a16="http://schemas.microsoft.com/office/drawing/2014/main" id="{00000000-0008-0000-0300-00004E14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130968</xdr:colOff>
      <xdr:row>1</xdr:row>
      <xdr:rowOff>169334</xdr:rowOff>
    </xdr:from>
    <xdr:to>
      <xdr:col>19</xdr:col>
      <xdr:colOff>185578</xdr:colOff>
      <xdr:row>19</xdr:row>
      <xdr:rowOff>119060</xdr:rowOff>
    </xdr:to>
    <xdr:graphicFrame macro="">
      <xdr:nvGraphicFramePr>
        <xdr:cNvPr id="1709135" name="Chart 2">
          <a:extLst>
            <a:ext uri="{FF2B5EF4-FFF2-40B4-BE49-F238E27FC236}">
              <a16:creationId xmlns:a16="http://schemas.microsoft.com/office/drawing/2014/main" id="{00000000-0008-0000-0300-00004F14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29</xdr:col>
      <xdr:colOff>89959</xdr:colOff>
      <xdr:row>2</xdr:row>
      <xdr:rowOff>71439</xdr:rowOff>
    </xdr:from>
    <xdr:to>
      <xdr:col>38</xdr:col>
      <xdr:colOff>381294</xdr:colOff>
      <xdr:row>20</xdr:row>
      <xdr:rowOff>20282</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73027</xdr:colOff>
      <xdr:row>1</xdr:row>
      <xdr:rowOff>55034</xdr:rowOff>
    </xdr:from>
    <xdr:to>
      <xdr:col>4</xdr:col>
      <xdr:colOff>5782734</xdr:colOff>
      <xdr:row>25</xdr:row>
      <xdr:rowOff>59267</xdr:rowOff>
    </xdr:to>
    <xdr:graphicFrame macro="">
      <xdr:nvGraphicFramePr>
        <xdr:cNvPr id="3" name="Chart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7411</xdr:colOff>
      <xdr:row>5</xdr:row>
      <xdr:rowOff>49739</xdr:rowOff>
    </xdr:from>
    <xdr:to>
      <xdr:col>9</xdr:col>
      <xdr:colOff>331258</xdr:colOff>
      <xdr:row>21</xdr:row>
      <xdr:rowOff>144992</xdr:rowOff>
    </xdr:to>
    <xdr:graphicFrame macro="">
      <xdr:nvGraphicFramePr>
        <xdr:cNvPr id="3" name="Chart 1">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126154</xdr:colOff>
      <xdr:row>4</xdr:row>
      <xdr:rowOff>246593</xdr:rowOff>
    </xdr:from>
    <xdr:to>
      <xdr:col>11</xdr:col>
      <xdr:colOff>551391</xdr:colOff>
      <xdr:row>25</xdr:row>
      <xdr:rowOff>45509</xdr:rowOff>
    </xdr:to>
    <xdr:graphicFrame macro="">
      <xdr:nvGraphicFramePr>
        <xdr:cNvPr id="3" name="Chart 1">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368300</xdr:colOff>
      <xdr:row>24</xdr:row>
      <xdr:rowOff>25400</xdr:rowOff>
    </xdr:from>
    <xdr:to>
      <xdr:col>10</xdr:col>
      <xdr:colOff>158750</xdr:colOff>
      <xdr:row>41</xdr:row>
      <xdr:rowOff>122767</xdr:rowOff>
    </xdr:to>
    <xdr:graphicFrame macro="">
      <xdr:nvGraphicFramePr>
        <xdr:cNvPr id="3" name="Chart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130175</xdr:colOff>
      <xdr:row>2</xdr:row>
      <xdr:rowOff>73025</xdr:rowOff>
    </xdr:from>
    <xdr:to>
      <xdr:col>11</xdr:col>
      <xdr:colOff>641350</xdr:colOff>
      <xdr:row>21</xdr:row>
      <xdr:rowOff>476250</xdr:rowOff>
    </xdr:to>
    <xdr:graphicFrame macro="">
      <xdr:nvGraphicFramePr>
        <xdr:cNvPr id="135343" name="Chart 1">
          <a:extLst>
            <a:ext uri="{FF2B5EF4-FFF2-40B4-BE49-F238E27FC236}">
              <a16:creationId xmlns:a16="http://schemas.microsoft.com/office/drawing/2014/main" id="{00000000-0008-0000-0E00-0000AF10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38240</xdr:colOff>
      <xdr:row>38</xdr:row>
      <xdr:rowOff>102304</xdr:rowOff>
    </xdr:from>
    <xdr:to>
      <xdr:col>12</xdr:col>
      <xdr:colOff>448028</xdr:colOff>
      <xdr:row>64</xdr:row>
      <xdr:rowOff>137582</xdr:rowOff>
    </xdr:to>
    <xdr:graphicFrame macro="">
      <xdr:nvGraphicFramePr>
        <xdr:cNvPr id="9404" name="Chart 1">
          <a:extLst>
            <a:ext uri="{FF2B5EF4-FFF2-40B4-BE49-F238E27FC236}">
              <a16:creationId xmlns:a16="http://schemas.microsoft.com/office/drawing/2014/main" id="{00000000-0008-0000-1100-0000BC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659130</xdr:colOff>
      <xdr:row>36</xdr:row>
      <xdr:rowOff>9525</xdr:rowOff>
    </xdr:from>
    <xdr:to>
      <xdr:col>10</xdr:col>
      <xdr:colOff>781050</xdr:colOff>
      <xdr:row>57</xdr:row>
      <xdr:rowOff>190499</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344631</xdr:colOff>
      <xdr:row>16</xdr:row>
      <xdr:rowOff>63500</xdr:rowOff>
    </xdr:from>
    <xdr:to>
      <xdr:col>13</xdr:col>
      <xdr:colOff>192232</xdr:colOff>
      <xdr:row>24</xdr:row>
      <xdr:rowOff>127000</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7840806" y="3206750"/>
          <a:ext cx="4514851" cy="12065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C00000"/>
              </a:solidFill>
              <a:latin typeface="Arial Narrow" panose="020B0606020202030204" pitchFamily="34" charset="0"/>
            </a:rPr>
            <a:t>Cells in blue have been re-checked... grayed cells converted to formulas</a:t>
          </a:r>
        </a:p>
        <a:p>
          <a:r>
            <a:rPr lang="en-US" sz="1200">
              <a:solidFill>
                <a:srgbClr val="C00000"/>
              </a:solidFill>
              <a:latin typeface="Arial Narrow" panose="020B0606020202030204" pitchFamily="34" charset="0"/>
            </a:rPr>
            <a:t>Cells with red comment maker</a:t>
          </a:r>
          <a:r>
            <a:rPr lang="en-US" sz="1200" baseline="0">
              <a:solidFill>
                <a:srgbClr val="C00000"/>
              </a:solidFill>
              <a:latin typeface="Arial Narrow" panose="020B0606020202030204" pitchFamily="34" charset="0"/>
            </a:rPr>
            <a:t> have been adjusted per latest available data (vs original data noted in comment)</a:t>
          </a:r>
        </a:p>
        <a:p>
          <a:endParaRPr lang="en-US" sz="1200" baseline="0">
            <a:solidFill>
              <a:srgbClr val="C00000"/>
            </a:solidFill>
            <a:latin typeface="Arial Narrow" panose="020B0606020202030204" pitchFamily="34" charset="0"/>
          </a:endParaRPr>
        </a:p>
        <a:p>
          <a:r>
            <a:rPr lang="en-US" sz="1200" baseline="0">
              <a:solidFill>
                <a:srgbClr val="C00000"/>
              </a:solidFill>
              <a:latin typeface="Arial Narrow" panose="020B0606020202030204" pitchFamily="34" charset="0"/>
            </a:rPr>
            <a:t>...The most significant changes are in the HMO fund, which are made to capture "missing" collections that should go that HMO fund</a:t>
          </a:r>
          <a:endParaRPr lang="en-US" sz="1200">
            <a:solidFill>
              <a:srgbClr val="C00000"/>
            </a:solidFill>
            <a:latin typeface="Arial Narrow" panose="020B060602020203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36.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37.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8.xml.rels><?xml version="1.0" encoding="UTF-8" standalone="yes"?>
<Relationships xmlns="http://schemas.openxmlformats.org/package/2006/relationships"><Relationship Id="rId3" Type="http://schemas.openxmlformats.org/officeDocument/2006/relationships/hyperlink" Target="http://www.coopercenter.org/" TargetMode="External"/><Relationship Id="rId2" Type="http://schemas.openxmlformats.org/officeDocument/2006/relationships/hyperlink" Target="http://www.tax.virginia.gov/" TargetMode="External"/><Relationship Id="rId1" Type="http://schemas.openxmlformats.org/officeDocument/2006/relationships/printerSettings" Target="../printerSettings/printerSettings63.bin"/><Relationship Id="rId4" Type="http://schemas.openxmlformats.org/officeDocument/2006/relationships/printerSettings" Target="../printerSettings/printerSettings6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4"/>
  <dimension ref="A1:H20"/>
  <sheetViews>
    <sheetView tabSelected="1" zoomScaleNormal="100" workbookViewId="0"/>
  </sheetViews>
  <sheetFormatPr defaultRowHeight="12.5"/>
  <sheetData>
    <row r="1" spans="1:8" ht="15.5">
      <c r="A1" s="1"/>
      <c r="B1" s="56"/>
      <c r="C1" s="56"/>
      <c r="D1" s="56"/>
      <c r="E1" s="56"/>
      <c r="F1" s="56"/>
      <c r="G1" s="56"/>
      <c r="H1" s="56"/>
    </row>
    <row r="2" spans="1:8" ht="15.5">
      <c r="A2" s="56"/>
      <c r="B2" s="56"/>
      <c r="C2" s="56"/>
      <c r="D2" s="56"/>
      <c r="E2" s="56"/>
      <c r="F2" s="56"/>
      <c r="G2" s="56"/>
      <c r="H2" s="56"/>
    </row>
    <row r="3" spans="1:8" ht="15.5">
      <c r="A3" s="56"/>
      <c r="B3" s="56"/>
      <c r="C3" s="56"/>
      <c r="D3" s="56"/>
      <c r="E3" s="56"/>
      <c r="F3" s="56"/>
      <c r="G3" s="56"/>
      <c r="H3" s="56"/>
    </row>
    <row r="4" spans="1:8" ht="15.5">
      <c r="A4" s="56"/>
      <c r="B4" s="56"/>
      <c r="C4" s="56"/>
      <c r="D4" s="56"/>
      <c r="E4" s="56"/>
      <c r="F4" s="56"/>
      <c r="G4" s="56"/>
      <c r="H4" s="56"/>
    </row>
    <row r="5" spans="1:8" ht="20">
      <c r="A5" s="1593" t="s">
        <v>873</v>
      </c>
      <c r="B5" s="1593"/>
      <c r="C5" s="1593"/>
      <c r="D5" s="1593"/>
      <c r="E5" s="1593"/>
      <c r="F5" s="1593"/>
      <c r="G5" s="1593"/>
      <c r="H5" s="1593"/>
    </row>
    <row r="6" spans="1:8" ht="20">
      <c r="A6" s="57"/>
      <c r="B6" s="58"/>
      <c r="C6" s="58"/>
      <c r="D6" s="58"/>
      <c r="E6" s="58"/>
      <c r="F6" s="58"/>
      <c r="G6" s="58"/>
      <c r="H6" s="58"/>
    </row>
    <row r="7" spans="1:8" ht="20">
      <c r="A7" s="1593" t="s">
        <v>241</v>
      </c>
      <c r="B7" s="1593"/>
      <c r="C7" s="1593"/>
      <c r="D7" s="1593"/>
      <c r="E7" s="1593"/>
      <c r="F7" s="1593"/>
      <c r="G7" s="1593"/>
      <c r="H7" s="1593"/>
    </row>
    <row r="8" spans="1:8" ht="20">
      <c r="A8" s="57"/>
      <c r="B8" s="58"/>
      <c r="C8" s="58"/>
      <c r="D8" s="58"/>
      <c r="E8" s="58"/>
      <c r="F8" s="58"/>
      <c r="G8" s="58"/>
      <c r="H8" s="58"/>
    </row>
    <row r="9" spans="1:8" ht="20">
      <c r="A9" s="1593" t="s">
        <v>1283</v>
      </c>
      <c r="B9" s="1593"/>
      <c r="C9" s="1593"/>
      <c r="D9" s="1593"/>
      <c r="E9" s="1593"/>
      <c r="F9" s="1593"/>
      <c r="G9" s="1593"/>
      <c r="H9" s="1593"/>
    </row>
    <row r="10" spans="1:8" ht="15.5">
      <c r="A10" s="3"/>
      <c r="B10" s="56"/>
      <c r="C10" s="56"/>
      <c r="D10" s="56"/>
      <c r="E10" s="56"/>
      <c r="F10" s="56"/>
      <c r="G10" s="56"/>
      <c r="H10" s="56"/>
    </row>
    <row r="11" spans="1:8" ht="15.5">
      <c r="A11" s="3"/>
      <c r="B11" s="56"/>
      <c r="C11" s="56"/>
      <c r="D11" s="56"/>
      <c r="E11" s="56"/>
      <c r="F11" s="56"/>
      <c r="G11" s="56"/>
      <c r="H11" s="56"/>
    </row>
    <row r="12" spans="1:8" ht="17.5">
      <c r="A12" s="1592" t="s">
        <v>242</v>
      </c>
      <c r="B12" s="1592"/>
      <c r="C12" s="1592"/>
      <c r="D12" s="1592"/>
      <c r="E12" s="1592"/>
      <c r="F12" s="1592"/>
      <c r="G12" s="1592"/>
      <c r="H12" s="1592"/>
    </row>
    <row r="13" spans="1:8" ht="17.5">
      <c r="A13" s="1592" t="s">
        <v>243</v>
      </c>
      <c r="B13" s="1592"/>
      <c r="C13" s="1592"/>
      <c r="D13" s="1592"/>
      <c r="E13" s="1592"/>
      <c r="F13" s="1592"/>
      <c r="G13" s="1592"/>
      <c r="H13" s="1592"/>
    </row>
    <row r="14" spans="1:8" ht="17.5">
      <c r="A14" s="59"/>
      <c r="B14" s="59"/>
      <c r="C14" s="59"/>
      <c r="D14" s="59"/>
      <c r="E14" s="59"/>
      <c r="F14" s="59"/>
      <c r="G14" s="59"/>
      <c r="H14" s="59"/>
    </row>
    <row r="15" spans="1:8" ht="17.5">
      <c r="A15" s="59"/>
      <c r="B15" s="59"/>
      <c r="C15" s="59"/>
      <c r="D15" s="59"/>
      <c r="E15" s="59"/>
      <c r="F15" s="59"/>
      <c r="G15" s="59"/>
      <c r="H15" s="59"/>
    </row>
    <row r="16" spans="1:8" ht="17.5">
      <c r="A16" s="1592" t="s">
        <v>1208</v>
      </c>
      <c r="B16" s="1592"/>
      <c r="C16" s="1592"/>
      <c r="D16" s="1592"/>
      <c r="E16" s="1592"/>
      <c r="F16" s="1592"/>
      <c r="G16" s="1592"/>
      <c r="H16" s="1592"/>
    </row>
    <row r="17" spans="1:8" ht="17.5">
      <c r="A17" s="59"/>
      <c r="B17" s="59"/>
      <c r="C17" s="59"/>
      <c r="D17" s="59"/>
      <c r="E17" s="59"/>
      <c r="F17" s="59"/>
      <c r="G17" s="59"/>
      <c r="H17" s="59"/>
    </row>
    <row r="18" spans="1:8" ht="17.5">
      <c r="A18" s="1592" t="s">
        <v>1209</v>
      </c>
      <c r="B18" s="1592"/>
      <c r="C18" s="1592"/>
      <c r="D18" s="1592"/>
      <c r="E18" s="1592"/>
      <c r="F18" s="1592"/>
      <c r="G18" s="1592"/>
      <c r="H18" s="1592"/>
    </row>
    <row r="19" spans="1:8" ht="17.5">
      <c r="A19" s="59"/>
      <c r="B19" s="59"/>
      <c r="C19" s="59"/>
      <c r="D19" s="59"/>
      <c r="E19" s="59"/>
      <c r="F19" s="59"/>
      <c r="G19" s="59"/>
      <c r="H19" s="59"/>
    </row>
    <row r="20" spans="1:8" ht="17.5">
      <c r="A20" s="1592" t="s">
        <v>244</v>
      </c>
      <c r="B20" s="1592"/>
      <c r="C20" s="1592"/>
      <c r="D20" s="1592"/>
      <c r="E20" s="1592"/>
      <c r="F20" s="1592"/>
      <c r="G20" s="1592"/>
      <c r="H20" s="1592"/>
    </row>
  </sheetData>
  <customSheetViews>
    <customSheetView guid="{E6BBE5A7-0B25-4EE8-BA45-5EA5DBAF3AD4}" showPageBreaks="1" printArea="1">
      <pageMargins left="0.75" right="0.75" top="1" bottom="1" header="0.5" footer="0.5"/>
      <printOptions horizontalCentered="1"/>
      <pageSetup orientation="landscape" r:id="rId1"/>
      <headerFooter alignWithMargins="0"/>
    </customSheetView>
  </customSheetViews>
  <mergeCells count="8">
    <mergeCell ref="A13:H13"/>
    <mergeCell ref="A16:H16"/>
    <mergeCell ref="A18:H18"/>
    <mergeCell ref="A20:H20"/>
    <mergeCell ref="A5:H5"/>
    <mergeCell ref="A7:H7"/>
    <mergeCell ref="A9:H9"/>
    <mergeCell ref="A12:H12"/>
  </mergeCells>
  <phoneticPr fontId="15" type="noConversion"/>
  <printOptions horizontalCentered="1"/>
  <pageMargins left="0.75" right="0.75" top="1" bottom="1" header="0.5" footer="0.5"/>
  <pageSetup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O181"/>
  <sheetViews>
    <sheetView showOutlineSymbols="0" zoomScale="90" zoomScaleNormal="90" zoomScaleSheetLayoutView="80" workbookViewId="0"/>
  </sheetViews>
  <sheetFormatPr defaultColWidth="10.7265625" defaultRowHeight="15.5"/>
  <cols>
    <col min="1" max="1" width="15" style="195" customWidth="1"/>
    <col min="2" max="2" width="6.6328125" style="1056" hidden="1" customWidth="1"/>
    <col min="3" max="3" width="12.7265625" style="195" bestFit="1" customWidth="1"/>
    <col min="4" max="4" width="15.81640625" style="195" customWidth="1"/>
    <col min="5" max="5" width="2.7265625" style="195" customWidth="1"/>
    <col min="6" max="7" width="12" style="195" bestFit="1" customWidth="1"/>
    <col min="8" max="8" width="17.54296875" style="195" customWidth="1"/>
    <col min="9" max="9" width="12.7265625" style="195" bestFit="1" customWidth="1"/>
    <col min="10" max="10" width="2.54296875" style="195" customWidth="1"/>
    <col min="11" max="11" width="12" style="300" bestFit="1" customWidth="1"/>
    <col min="12" max="12" width="14.7265625" style="300" customWidth="1"/>
    <col min="13" max="13" width="16.6328125" style="300" customWidth="1"/>
    <col min="14" max="15" width="2.7265625" style="195" customWidth="1"/>
    <col min="16" max="16384" width="10.7265625" style="195"/>
  </cols>
  <sheetData>
    <row r="1" spans="1:15" ht="17.149999999999999" customHeight="1">
      <c r="A1" s="187" t="s">
        <v>599</v>
      </c>
      <c r="B1" s="1071"/>
      <c r="C1" s="159"/>
      <c r="D1" s="185"/>
      <c r="E1" s="185"/>
      <c r="F1" s="159"/>
      <c r="G1" s="159"/>
      <c r="H1" s="185"/>
      <c r="I1" s="159"/>
      <c r="J1" s="159"/>
      <c r="K1" s="224"/>
      <c r="L1" s="224"/>
      <c r="M1" s="226"/>
      <c r="O1" s="855" t="s">
        <v>984</v>
      </c>
    </row>
    <row r="2" spans="1:15" ht="15" customHeight="1">
      <c r="A2" s="190" t="s">
        <v>773</v>
      </c>
      <c r="B2" s="1071"/>
      <c r="C2" s="159"/>
      <c r="D2" s="185"/>
      <c r="E2" s="185"/>
      <c r="F2" s="159"/>
      <c r="G2" s="159"/>
      <c r="H2" s="185"/>
      <c r="I2" s="159"/>
      <c r="J2" s="159"/>
      <c r="K2" s="224"/>
      <c r="L2" s="224"/>
      <c r="M2" s="226"/>
    </row>
    <row r="3" spans="1:15" ht="15" customHeight="1">
      <c r="A3" s="1079" t="s">
        <v>1325</v>
      </c>
      <c r="B3" s="1072"/>
      <c r="C3" s="159"/>
      <c r="D3" s="185"/>
      <c r="E3" s="185"/>
      <c r="F3" s="159"/>
      <c r="G3" s="159"/>
      <c r="H3" s="185"/>
      <c r="I3" s="159"/>
      <c r="J3" s="159"/>
      <c r="K3" s="224"/>
      <c r="L3" s="224"/>
      <c r="M3" s="226"/>
    </row>
    <row r="4" spans="1:15" ht="3" customHeight="1">
      <c r="A4" s="199"/>
      <c r="B4" s="1071"/>
      <c r="C4" s="159"/>
      <c r="D4" s="185"/>
      <c r="E4" s="185"/>
      <c r="F4" s="159"/>
      <c r="G4" s="159"/>
      <c r="H4" s="185"/>
      <c r="I4" s="159"/>
      <c r="J4" s="159"/>
      <c r="K4" s="224"/>
      <c r="L4" s="224"/>
      <c r="M4" s="226"/>
    </row>
    <row r="5" spans="1:15" ht="3" customHeight="1" thickBot="1">
      <c r="A5" s="199"/>
      <c r="C5" s="159"/>
      <c r="D5" s="185"/>
      <c r="E5" s="185"/>
      <c r="F5" s="159"/>
      <c r="G5" s="159"/>
      <c r="H5" s="185"/>
      <c r="I5" s="159"/>
      <c r="J5" s="159"/>
      <c r="K5" s="224"/>
      <c r="L5" s="224"/>
      <c r="M5" s="226"/>
    </row>
    <row r="6" spans="1:15" ht="13.15" customHeight="1">
      <c r="A6" s="844"/>
      <c r="B6" s="1073"/>
      <c r="C6" s="1057" t="s">
        <v>312</v>
      </c>
      <c r="D6" s="1057"/>
      <c r="E6" s="253"/>
      <c r="F6" s="853" t="s">
        <v>313</v>
      </c>
      <c r="G6" s="1058"/>
      <c r="H6" s="1058"/>
      <c r="I6" s="1058"/>
      <c r="J6" s="254"/>
      <c r="K6" s="1059" t="s">
        <v>600</v>
      </c>
      <c r="L6" s="1059"/>
      <c r="M6" s="1060"/>
    </row>
    <row r="7" spans="1:15" ht="25" customHeight="1">
      <c r="A7" s="1069" t="s">
        <v>21</v>
      </c>
      <c r="B7" s="1070" t="s">
        <v>938</v>
      </c>
      <c r="C7" s="1063" t="s">
        <v>601</v>
      </c>
      <c r="D7" s="1062" t="s">
        <v>19</v>
      </c>
      <c r="E7" s="1062"/>
      <c r="F7" s="1064" t="s">
        <v>311</v>
      </c>
      <c r="G7" s="1063" t="s">
        <v>310</v>
      </c>
      <c r="H7" s="1062" t="s">
        <v>19</v>
      </c>
      <c r="I7" s="1065" t="s">
        <v>1176</v>
      </c>
      <c r="J7" s="1066"/>
      <c r="K7" s="1067" t="s">
        <v>602</v>
      </c>
      <c r="L7" s="1068" t="s">
        <v>1177</v>
      </c>
      <c r="M7" s="1061" t="s">
        <v>1178</v>
      </c>
    </row>
    <row r="8" spans="1:15" ht="24" customHeight="1">
      <c r="A8" s="164" t="s">
        <v>317</v>
      </c>
      <c r="B8" s="1074" t="s">
        <v>1042</v>
      </c>
      <c r="C8" s="159">
        <v>45142</v>
      </c>
      <c r="D8" s="164">
        <v>40805700.740000002</v>
      </c>
      <c r="E8" s="164"/>
      <c r="F8" s="268">
        <v>18125</v>
      </c>
      <c r="G8" s="159">
        <v>2084</v>
      </c>
      <c r="H8" s="164">
        <v>271729115.73000002</v>
      </c>
      <c r="I8" s="159">
        <v>20209</v>
      </c>
      <c r="J8" s="269"/>
      <c r="K8" s="224">
        <v>11921</v>
      </c>
      <c r="L8" s="224">
        <v>7401</v>
      </c>
      <c r="M8" s="224">
        <v>887</v>
      </c>
    </row>
    <row r="9" spans="1:15" ht="13.15" customHeight="1">
      <c r="A9" s="185" t="s">
        <v>321</v>
      </c>
      <c r="B9" s="1056" t="s">
        <v>1043</v>
      </c>
      <c r="C9" s="159">
        <v>119613</v>
      </c>
      <c r="D9" s="159">
        <v>107146415.44</v>
      </c>
      <c r="E9" s="159"/>
      <c r="F9" s="268">
        <v>43921</v>
      </c>
      <c r="G9" s="159">
        <v>8402</v>
      </c>
      <c r="H9" s="159">
        <v>713222868.24000001</v>
      </c>
      <c r="I9" s="159">
        <v>52323</v>
      </c>
      <c r="J9" s="269"/>
      <c r="K9" s="224">
        <v>29170</v>
      </c>
      <c r="L9" s="224">
        <v>21447</v>
      </c>
      <c r="M9" s="224">
        <v>1706</v>
      </c>
    </row>
    <row r="10" spans="1:15" ht="13.15" customHeight="1">
      <c r="A10" s="185" t="s">
        <v>325</v>
      </c>
      <c r="B10" s="1056" t="s">
        <v>1044</v>
      </c>
      <c r="C10" s="159">
        <v>16441</v>
      </c>
      <c r="D10" s="159">
        <v>14884587.27</v>
      </c>
      <c r="E10" s="159"/>
      <c r="F10" s="268">
        <v>6855</v>
      </c>
      <c r="G10" s="159">
        <v>354</v>
      </c>
      <c r="H10" s="159">
        <v>68563186.790000007</v>
      </c>
      <c r="I10" s="159">
        <v>7209</v>
      </c>
      <c r="J10" s="269"/>
      <c r="K10" s="224">
        <v>3953</v>
      </c>
      <c r="L10" s="224">
        <v>3057</v>
      </c>
      <c r="M10" s="224">
        <v>199</v>
      </c>
    </row>
    <row r="11" spans="1:15" ht="13.15" customHeight="1">
      <c r="A11" s="185" t="s">
        <v>329</v>
      </c>
      <c r="B11" s="1056" t="s">
        <v>1045</v>
      </c>
      <c r="C11" s="159">
        <v>14052</v>
      </c>
      <c r="D11" s="159">
        <v>12768504.789999999</v>
      </c>
      <c r="E11" s="159"/>
      <c r="F11" s="268">
        <v>5768</v>
      </c>
      <c r="G11" s="159">
        <v>444</v>
      </c>
      <c r="H11" s="159">
        <v>63196677.409999996</v>
      </c>
      <c r="I11" s="159">
        <v>6212</v>
      </c>
      <c r="J11" s="269"/>
      <c r="K11" s="224">
        <v>3472</v>
      </c>
      <c r="L11" s="224">
        <v>2549</v>
      </c>
      <c r="M11" s="224">
        <v>191</v>
      </c>
    </row>
    <row r="12" spans="1:15" ht="13.15" customHeight="1">
      <c r="A12" s="185" t="s">
        <v>333</v>
      </c>
      <c r="B12" s="1056" t="s">
        <v>1046</v>
      </c>
      <c r="C12" s="159">
        <v>31032</v>
      </c>
      <c r="D12" s="159">
        <v>28123056.510000002</v>
      </c>
      <c r="E12" s="159"/>
      <c r="F12" s="268">
        <v>13018</v>
      </c>
      <c r="G12" s="159">
        <v>665</v>
      </c>
      <c r="H12" s="159">
        <v>98732881.400000006</v>
      </c>
      <c r="I12" s="159">
        <v>13683</v>
      </c>
      <c r="J12" s="269"/>
      <c r="K12" s="224">
        <v>7790</v>
      </c>
      <c r="L12" s="224">
        <v>5571</v>
      </c>
      <c r="M12" s="224">
        <v>322</v>
      </c>
    </row>
    <row r="13" spans="1:15" ht="24" customHeight="1">
      <c r="A13" s="185" t="s">
        <v>337</v>
      </c>
      <c r="B13" s="1056" t="s">
        <v>1047</v>
      </c>
      <c r="C13" s="159">
        <v>16885</v>
      </c>
      <c r="D13" s="159">
        <v>15311744.880000001</v>
      </c>
      <c r="E13" s="159"/>
      <c r="F13" s="268">
        <v>6767</v>
      </c>
      <c r="G13" s="159">
        <v>406</v>
      </c>
      <c r="H13" s="159">
        <v>54370242.520000003</v>
      </c>
      <c r="I13" s="159">
        <v>7173</v>
      </c>
      <c r="J13" s="269"/>
      <c r="K13" s="224">
        <v>3864</v>
      </c>
      <c r="L13" s="224">
        <v>3093</v>
      </c>
      <c r="M13" s="224">
        <v>216</v>
      </c>
    </row>
    <row r="14" spans="1:15" ht="13.15" customHeight="1">
      <c r="A14" s="185" t="s">
        <v>341</v>
      </c>
      <c r="B14" s="1056" t="s">
        <v>1048</v>
      </c>
      <c r="C14" s="159">
        <v>239613</v>
      </c>
      <c r="D14" s="159">
        <v>213738697.55000001</v>
      </c>
      <c r="E14" s="159"/>
      <c r="F14" s="268">
        <v>103542</v>
      </c>
      <c r="G14" s="159">
        <v>28871</v>
      </c>
      <c r="H14" s="159">
        <v>1553163178.51</v>
      </c>
      <c r="I14" s="159">
        <v>132413</v>
      </c>
      <c r="J14" s="269"/>
      <c r="K14" s="224">
        <v>91265</v>
      </c>
      <c r="L14" s="224">
        <v>35978</v>
      </c>
      <c r="M14" s="224">
        <v>5170</v>
      </c>
    </row>
    <row r="15" spans="1:15" ht="13.15" customHeight="1">
      <c r="A15" s="185" t="s">
        <v>345</v>
      </c>
      <c r="B15" s="1056" t="s">
        <v>1049</v>
      </c>
      <c r="C15" s="159">
        <v>83221</v>
      </c>
      <c r="D15" s="159">
        <v>75362560.049999997</v>
      </c>
      <c r="E15" s="159"/>
      <c r="F15" s="268">
        <v>33869</v>
      </c>
      <c r="G15" s="159">
        <v>2434</v>
      </c>
      <c r="H15" s="159">
        <v>308834504.94999999</v>
      </c>
      <c r="I15" s="159">
        <v>36303</v>
      </c>
      <c r="J15" s="269"/>
      <c r="K15" s="224">
        <v>19465</v>
      </c>
      <c r="L15" s="224">
        <v>15924</v>
      </c>
      <c r="M15" s="224">
        <v>914</v>
      </c>
    </row>
    <row r="16" spans="1:15" ht="13.15" customHeight="1">
      <c r="A16" s="185" t="s">
        <v>349</v>
      </c>
      <c r="B16" s="1056" t="s">
        <v>1050</v>
      </c>
      <c r="C16" s="159">
        <v>4956</v>
      </c>
      <c r="D16" s="159">
        <v>4462937.24</v>
      </c>
      <c r="E16" s="159"/>
      <c r="F16" s="268">
        <v>2125</v>
      </c>
      <c r="G16" s="159">
        <v>120</v>
      </c>
      <c r="H16" s="159">
        <v>49979713.259999998</v>
      </c>
      <c r="I16" s="159">
        <v>2245</v>
      </c>
      <c r="J16" s="269"/>
      <c r="K16" s="224">
        <v>1251</v>
      </c>
      <c r="L16" s="224">
        <v>927</v>
      </c>
      <c r="M16" s="224">
        <v>67</v>
      </c>
    </row>
    <row r="17" spans="1:13" ht="13.15" customHeight="1">
      <c r="A17" s="185" t="s">
        <v>353</v>
      </c>
      <c r="B17" s="1056" t="s">
        <v>1051</v>
      </c>
      <c r="C17" s="159">
        <v>87075</v>
      </c>
      <c r="D17" s="159">
        <v>78525179.590000004</v>
      </c>
      <c r="E17" s="159"/>
      <c r="F17" s="268">
        <v>33366</v>
      </c>
      <c r="G17" s="159">
        <v>3268</v>
      </c>
      <c r="H17" s="159">
        <v>337462373.56999999</v>
      </c>
      <c r="I17" s="159">
        <v>36634</v>
      </c>
      <c r="J17" s="269"/>
      <c r="K17" s="224">
        <v>18229</v>
      </c>
      <c r="L17" s="224">
        <v>17420</v>
      </c>
      <c r="M17" s="224">
        <v>985</v>
      </c>
    </row>
    <row r="18" spans="1:13" ht="24" customHeight="1">
      <c r="A18" s="185" t="s">
        <v>357</v>
      </c>
      <c r="B18" s="1056" t="s">
        <v>1052</v>
      </c>
      <c r="C18" s="159">
        <v>5680</v>
      </c>
      <c r="D18" s="159">
        <v>5134644</v>
      </c>
      <c r="E18" s="159"/>
      <c r="F18" s="268">
        <v>2371</v>
      </c>
      <c r="G18" s="159">
        <v>83</v>
      </c>
      <c r="H18" s="159">
        <v>17811500.460000001</v>
      </c>
      <c r="I18" s="159">
        <v>2454</v>
      </c>
      <c r="J18" s="269"/>
      <c r="K18" s="224">
        <v>1187</v>
      </c>
      <c r="L18" s="224">
        <v>1170</v>
      </c>
      <c r="M18" s="224">
        <v>97</v>
      </c>
    </row>
    <row r="19" spans="1:13" ht="13.15" customHeight="1">
      <c r="A19" s="185" t="s">
        <v>361</v>
      </c>
      <c r="B19" s="1056" t="s">
        <v>1053</v>
      </c>
      <c r="C19" s="159">
        <v>36923</v>
      </c>
      <c r="D19" s="159">
        <v>33336255.989999998</v>
      </c>
      <c r="E19" s="159"/>
      <c r="F19" s="268">
        <v>14089</v>
      </c>
      <c r="G19" s="159">
        <v>1392</v>
      </c>
      <c r="H19" s="159">
        <v>134710125.41</v>
      </c>
      <c r="I19" s="159">
        <v>15481</v>
      </c>
      <c r="J19" s="269"/>
      <c r="K19" s="224">
        <v>7532</v>
      </c>
      <c r="L19" s="224">
        <v>7562</v>
      </c>
      <c r="M19" s="224">
        <v>387</v>
      </c>
    </row>
    <row r="20" spans="1:13" ht="13.15" customHeight="1">
      <c r="A20" s="185" t="s">
        <v>365</v>
      </c>
      <c r="B20" s="1056" t="s">
        <v>1054</v>
      </c>
      <c r="C20" s="159">
        <v>13779</v>
      </c>
      <c r="D20" s="159">
        <v>12493175.92</v>
      </c>
      <c r="E20" s="159"/>
      <c r="F20" s="268">
        <v>5998</v>
      </c>
      <c r="G20" s="159">
        <v>427</v>
      </c>
      <c r="H20" s="159">
        <v>46085011.710000001</v>
      </c>
      <c r="I20" s="159">
        <v>6425</v>
      </c>
      <c r="J20" s="269"/>
      <c r="K20" s="224">
        <v>4290</v>
      </c>
      <c r="L20" s="224">
        <v>1888</v>
      </c>
      <c r="M20" s="224">
        <v>247</v>
      </c>
    </row>
    <row r="21" spans="1:13" ht="13.15" customHeight="1">
      <c r="A21" s="185" t="s">
        <v>369</v>
      </c>
      <c r="B21" s="1056" t="s">
        <v>1055</v>
      </c>
      <c r="C21" s="159">
        <v>14956</v>
      </c>
      <c r="D21" s="159">
        <v>13625146.960000001</v>
      </c>
      <c r="E21" s="159"/>
      <c r="F21" s="268">
        <v>6277</v>
      </c>
      <c r="G21" s="159">
        <v>132</v>
      </c>
      <c r="H21" s="159">
        <v>47599325.030000001</v>
      </c>
      <c r="I21" s="159">
        <v>6409</v>
      </c>
      <c r="J21" s="269"/>
      <c r="K21" s="224">
        <v>3255</v>
      </c>
      <c r="L21" s="224">
        <v>2989</v>
      </c>
      <c r="M21" s="224">
        <v>165</v>
      </c>
    </row>
    <row r="22" spans="1:13" ht="13.15" customHeight="1">
      <c r="A22" s="185" t="s">
        <v>373</v>
      </c>
      <c r="B22" s="1056" t="s">
        <v>1056</v>
      </c>
      <c r="C22" s="159">
        <v>14035</v>
      </c>
      <c r="D22" s="159">
        <v>12752663.029999999</v>
      </c>
      <c r="E22" s="159"/>
      <c r="F22" s="268">
        <v>5968</v>
      </c>
      <c r="G22" s="159">
        <v>298</v>
      </c>
      <c r="H22" s="159">
        <v>46864340.170000002</v>
      </c>
      <c r="I22" s="159">
        <v>6266</v>
      </c>
      <c r="J22" s="269"/>
      <c r="K22" s="224">
        <v>3850</v>
      </c>
      <c r="L22" s="224">
        <v>2174</v>
      </c>
      <c r="M22" s="224">
        <v>242</v>
      </c>
    </row>
    <row r="23" spans="1:13" ht="24" customHeight="1">
      <c r="A23" s="185" t="s">
        <v>377</v>
      </c>
      <c r="B23" s="1056" t="s">
        <v>1057</v>
      </c>
      <c r="C23" s="159">
        <v>54569</v>
      </c>
      <c r="D23" s="159">
        <v>49545918.960000001</v>
      </c>
      <c r="E23" s="159"/>
      <c r="F23" s="268">
        <v>23327</v>
      </c>
      <c r="G23" s="159">
        <v>1110</v>
      </c>
      <c r="H23" s="224">
        <v>182615991.72999999</v>
      </c>
      <c r="I23" s="159">
        <v>24437</v>
      </c>
      <c r="J23" s="269"/>
      <c r="K23" s="224">
        <v>13971</v>
      </c>
      <c r="L23" s="224">
        <v>9777</v>
      </c>
      <c r="M23" s="224">
        <v>689</v>
      </c>
    </row>
    <row r="24" spans="1:13" ht="13.15" customHeight="1">
      <c r="A24" s="185" t="s">
        <v>379</v>
      </c>
      <c r="B24" s="1056" t="s">
        <v>1058</v>
      </c>
      <c r="C24" s="159">
        <v>30966</v>
      </c>
      <c r="D24" s="159">
        <v>28190746.91</v>
      </c>
      <c r="E24" s="159"/>
      <c r="F24" s="268">
        <v>12845</v>
      </c>
      <c r="G24" s="159">
        <v>1422</v>
      </c>
      <c r="H24" s="159">
        <v>113920698.81</v>
      </c>
      <c r="I24" s="159">
        <v>14267</v>
      </c>
      <c r="J24" s="269"/>
      <c r="K24" s="224">
        <v>8655</v>
      </c>
      <c r="L24" s="224">
        <v>5124</v>
      </c>
      <c r="M24" s="224">
        <v>488</v>
      </c>
    </row>
    <row r="25" spans="1:13" ht="13.15" customHeight="1">
      <c r="A25" s="185" t="s">
        <v>382</v>
      </c>
      <c r="B25" s="1056" t="s">
        <v>1059</v>
      </c>
      <c r="C25" s="159">
        <v>28049</v>
      </c>
      <c r="D25" s="159">
        <v>25333027.149999999</v>
      </c>
      <c r="E25" s="159"/>
      <c r="F25" s="268">
        <v>12013</v>
      </c>
      <c r="G25" s="159">
        <v>360</v>
      </c>
      <c r="H25" s="159">
        <v>95524284.049999997</v>
      </c>
      <c r="I25" s="159">
        <v>12373</v>
      </c>
      <c r="J25" s="269"/>
      <c r="K25" s="224">
        <v>6500</v>
      </c>
      <c r="L25" s="224">
        <v>5469</v>
      </c>
      <c r="M25" s="224">
        <v>404</v>
      </c>
    </row>
    <row r="26" spans="1:13" ht="13.15" customHeight="1">
      <c r="A26" s="185" t="s">
        <v>385</v>
      </c>
      <c r="B26" s="1056" t="s">
        <v>1060</v>
      </c>
      <c r="C26" s="159">
        <v>7097</v>
      </c>
      <c r="D26" s="159">
        <v>6419587.8600000003</v>
      </c>
      <c r="E26" s="159"/>
      <c r="F26" s="268">
        <v>3087</v>
      </c>
      <c r="G26" s="159">
        <v>298</v>
      </c>
      <c r="H26" s="159">
        <v>27642072.940000001</v>
      </c>
      <c r="I26" s="159">
        <v>3385</v>
      </c>
      <c r="J26" s="269"/>
      <c r="K26" s="224">
        <v>2055</v>
      </c>
      <c r="L26" s="224">
        <v>1192</v>
      </c>
      <c r="M26" s="224">
        <v>138</v>
      </c>
    </row>
    <row r="27" spans="1:13" ht="13.15" customHeight="1">
      <c r="A27" s="185" t="s">
        <v>388</v>
      </c>
      <c r="B27" s="1056" t="s">
        <v>1061</v>
      </c>
      <c r="C27" s="159">
        <v>11621</v>
      </c>
      <c r="D27" s="159">
        <v>10534459.15</v>
      </c>
      <c r="E27" s="159"/>
      <c r="F27" s="268">
        <v>4804</v>
      </c>
      <c r="G27" s="159">
        <v>228</v>
      </c>
      <c r="H27" s="159">
        <v>56848699.259999998</v>
      </c>
      <c r="I27" s="159">
        <v>5032</v>
      </c>
      <c r="J27" s="269"/>
      <c r="K27" s="224">
        <v>2918</v>
      </c>
      <c r="L27" s="224">
        <v>1955</v>
      </c>
      <c r="M27" s="224">
        <v>159</v>
      </c>
    </row>
    <row r="28" spans="1:13" ht="24" customHeight="1">
      <c r="A28" s="185" t="s">
        <v>390</v>
      </c>
      <c r="B28" s="1056" t="s">
        <v>1062</v>
      </c>
      <c r="C28" s="159">
        <v>389053</v>
      </c>
      <c r="D28" s="159">
        <v>352519473.16000003</v>
      </c>
      <c r="E28" s="159"/>
      <c r="F28" s="268">
        <v>149154</v>
      </c>
      <c r="G28" s="159">
        <v>22521</v>
      </c>
      <c r="H28" s="159">
        <v>1579971395.49</v>
      </c>
      <c r="I28" s="159">
        <v>171675</v>
      </c>
      <c r="J28" s="269"/>
      <c r="K28" s="224">
        <v>99602</v>
      </c>
      <c r="L28" s="224">
        <v>66413</v>
      </c>
      <c r="M28" s="224">
        <v>5660</v>
      </c>
    </row>
    <row r="29" spans="1:13" ht="13.15" customHeight="1">
      <c r="A29" s="185" t="s">
        <v>393</v>
      </c>
      <c r="B29" s="1056" t="s">
        <v>1063</v>
      </c>
      <c r="C29" s="159">
        <v>17364</v>
      </c>
      <c r="D29" s="159">
        <v>15653678.119999999</v>
      </c>
      <c r="E29" s="159"/>
      <c r="F29" s="268">
        <v>6507</v>
      </c>
      <c r="G29" s="159">
        <v>1186</v>
      </c>
      <c r="H29" s="159">
        <v>74411410.290000007</v>
      </c>
      <c r="I29" s="159">
        <v>7693</v>
      </c>
      <c r="J29" s="269"/>
      <c r="K29" s="224">
        <v>4241</v>
      </c>
      <c r="L29" s="224">
        <v>3231</v>
      </c>
      <c r="M29" s="224">
        <v>221</v>
      </c>
    </row>
    <row r="30" spans="1:13" ht="13.15" customHeight="1">
      <c r="A30" s="185" t="s">
        <v>395</v>
      </c>
      <c r="B30" s="1056" t="s">
        <v>1064</v>
      </c>
      <c r="C30" s="159">
        <v>5128</v>
      </c>
      <c r="D30" s="159">
        <v>4646554.28</v>
      </c>
      <c r="E30" s="159"/>
      <c r="F30" s="268">
        <v>2138</v>
      </c>
      <c r="G30" s="159">
        <v>102</v>
      </c>
      <c r="H30" s="159">
        <v>17308478.32</v>
      </c>
      <c r="I30" s="159">
        <v>2240</v>
      </c>
      <c r="J30" s="269"/>
      <c r="K30" s="224">
        <v>1111</v>
      </c>
      <c r="L30" s="224">
        <v>1069</v>
      </c>
      <c r="M30" s="224">
        <v>60</v>
      </c>
    </row>
    <row r="31" spans="1:13" ht="13.15" customHeight="1">
      <c r="A31" s="185" t="s">
        <v>398</v>
      </c>
      <c r="B31" s="1056" t="s">
        <v>1065</v>
      </c>
      <c r="C31" s="159">
        <v>54846</v>
      </c>
      <c r="D31" s="159">
        <v>49838686.079999998</v>
      </c>
      <c r="E31" s="159"/>
      <c r="F31" s="268">
        <v>21058</v>
      </c>
      <c r="G31" s="159">
        <v>2865</v>
      </c>
      <c r="H31" s="159">
        <v>207843073.55000001</v>
      </c>
      <c r="I31" s="159">
        <v>23923</v>
      </c>
      <c r="J31" s="269"/>
      <c r="K31" s="224">
        <v>13619</v>
      </c>
      <c r="L31" s="224">
        <v>9596</v>
      </c>
      <c r="M31" s="224">
        <v>708</v>
      </c>
    </row>
    <row r="32" spans="1:13" ht="13.15" customHeight="1">
      <c r="A32" s="185" t="s">
        <v>401</v>
      </c>
      <c r="B32" s="1056" t="s">
        <v>1066</v>
      </c>
      <c r="C32" s="159">
        <v>9461</v>
      </c>
      <c r="D32" s="159">
        <v>8590120.3800000008</v>
      </c>
      <c r="E32" s="159"/>
      <c r="F32" s="268">
        <v>3969</v>
      </c>
      <c r="G32" s="159">
        <v>265</v>
      </c>
      <c r="H32" s="159">
        <v>32284461.84</v>
      </c>
      <c r="I32" s="159">
        <v>4234</v>
      </c>
      <c r="J32" s="269"/>
      <c r="K32" s="224">
        <v>2475</v>
      </c>
      <c r="L32" s="224">
        <v>1585</v>
      </c>
      <c r="M32" s="224">
        <v>174</v>
      </c>
    </row>
    <row r="33" spans="1:13" ht="24" customHeight="1">
      <c r="A33" s="185" t="s">
        <v>404</v>
      </c>
      <c r="B33" s="1056" t="s">
        <v>1067</v>
      </c>
      <c r="C33" s="159">
        <v>10959</v>
      </c>
      <c r="D33" s="159">
        <v>9974375</v>
      </c>
      <c r="E33" s="159"/>
      <c r="F33" s="268">
        <v>4611</v>
      </c>
      <c r="G33" s="159">
        <v>51</v>
      </c>
      <c r="H33" s="159">
        <v>34423349.390000001</v>
      </c>
      <c r="I33" s="159">
        <v>4662</v>
      </c>
      <c r="J33" s="269"/>
      <c r="K33" s="224">
        <v>2403</v>
      </c>
      <c r="L33" s="224">
        <v>2142</v>
      </c>
      <c r="M33" s="224">
        <v>117</v>
      </c>
    </row>
    <row r="34" spans="1:13" ht="13.15" customHeight="1">
      <c r="A34" s="185" t="s">
        <v>407</v>
      </c>
      <c r="B34" s="1056" t="s">
        <v>1068</v>
      </c>
      <c r="C34" s="159">
        <v>27034</v>
      </c>
      <c r="D34" s="159">
        <v>24606126.73</v>
      </c>
      <c r="E34" s="159"/>
      <c r="F34" s="268">
        <v>11402</v>
      </c>
      <c r="G34" s="159">
        <v>1057</v>
      </c>
      <c r="H34" s="159">
        <v>96229240.700000003</v>
      </c>
      <c r="I34" s="159">
        <v>12459</v>
      </c>
      <c r="J34" s="269"/>
      <c r="K34" s="224">
        <v>7707</v>
      </c>
      <c r="L34" s="224">
        <v>4321</v>
      </c>
      <c r="M34" s="224">
        <v>431</v>
      </c>
    </row>
    <row r="35" spans="1:13" ht="13.15" customHeight="1">
      <c r="A35" s="185" t="s">
        <v>410</v>
      </c>
      <c r="B35" s="1056" t="s">
        <v>1069</v>
      </c>
      <c r="C35" s="159">
        <v>11263</v>
      </c>
      <c r="D35" s="159">
        <v>10187158.51</v>
      </c>
      <c r="E35" s="159"/>
      <c r="F35" s="268">
        <v>4735</v>
      </c>
      <c r="G35" s="159">
        <v>459</v>
      </c>
      <c r="H35" s="224">
        <v>41288174.090000004</v>
      </c>
      <c r="I35" s="159">
        <v>5194</v>
      </c>
      <c r="J35" s="269"/>
      <c r="K35" s="224">
        <v>3275</v>
      </c>
      <c r="L35" s="224">
        <v>1740</v>
      </c>
      <c r="M35" s="224">
        <v>179</v>
      </c>
    </row>
    <row r="36" spans="1:13" ht="13.15" customHeight="1">
      <c r="A36" s="185" t="s">
        <v>413</v>
      </c>
      <c r="B36" s="1056" t="s">
        <v>1070</v>
      </c>
      <c r="C36" s="159">
        <v>1219131</v>
      </c>
      <c r="D36" s="159">
        <v>1102373326.71</v>
      </c>
      <c r="E36" s="159"/>
      <c r="F36" s="268">
        <v>420033</v>
      </c>
      <c r="G36" s="159">
        <v>134121</v>
      </c>
      <c r="H36" s="159">
        <v>8634732667.2399998</v>
      </c>
      <c r="I36" s="159">
        <v>554154</v>
      </c>
      <c r="J36" s="269"/>
      <c r="K36" s="224">
        <v>313295</v>
      </c>
      <c r="L36" s="224">
        <v>219728</v>
      </c>
      <c r="M36" s="224">
        <v>21131</v>
      </c>
    </row>
    <row r="37" spans="1:13" ht="13.15" customHeight="1">
      <c r="A37" s="185" t="s">
        <v>416</v>
      </c>
      <c r="B37" s="1056" t="s">
        <v>1071</v>
      </c>
      <c r="C37" s="159">
        <v>80782</v>
      </c>
      <c r="D37" s="159">
        <v>73219441.379999995</v>
      </c>
      <c r="E37" s="159"/>
      <c r="F37" s="268">
        <v>27899</v>
      </c>
      <c r="G37" s="159">
        <v>7243</v>
      </c>
      <c r="H37" s="159">
        <v>449565834.86000001</v>
      </c>
      <c r="I37" s="159">
        <v>35142</v>
      </c>
      <c r="J37" s="269"/>
      <c r="K37" s="224">
        <v>18876</v>
      </c>
      <c r="L37" s="224">
        <v>15180</v>
      </c>
      <c r="M37" s="224">
        <v>1086</v>
      </c>
    </row>
    <row r="38" spans="1:13" ht="24" customHeight="1">
      <c r="A38" s="185" t="s">
        <v>419</v>
      </c>
      <c r="B38" s="1056" t="s">
        <v>1072</v>
      </c>
      <c r="C38" s="159">
        <v>15639</v>
      </c>
      <c r="D38" s="164">
        <v>14139103.390000001</v>
      </c>
      <c r="E38" s="164"/>
      <c r="F38" s="268">
        <v>6476</v>
      </c>
      <c r="G38" s="159">
        <v>294</v>
      </c>
      <c r="H38" s="164">
        <v>55197929.289999999</v>
      </c>
      <c r="I38" s="159">
        <v>6770</v>
      </c>
      <c r="J38" s="269"/>
      <c r="K38" s="224">
        <v>3457</v>
      </c>
      <c r="L38" s="224">
        <v>3144</v>
      </c>
      <c r="M38" s="224">
        <v>169</v>
      </c>
    </row>
    <row r="39" spans="1:13" ht="13.15" customHeight="1">
      <c r="A39" s="185" t="s">
        <v>421</v>
      </c>
      <c r="B39" s="1056" t="s">
        <v>1073</v>
      </c>
      <c r="C39" s="159">
        <v>28849</v>
      </c>
      <c r="D39" s="159">
        <v>26009930.629999999</v>
      </c>
      <c r="E39" s="159"/>
      <c r="F39" s="268">
        <v>11369</v>
      </c>
      <c r="G39" s="159">
        <v>1062</v>
      </c>
      <c r="H39" s="159">
        <v>99366317.409999996</v>
      </c>
      <c r="I39" s="159">
        <v>12431</v>
      </c>
      <c r="J39" s="269"/>
      <c r="K39" s="224">
        <v>6554</v>
      </c>
      <c r="L39" s="224">
        <v>5460</v>
      </c>
      <c r="M39" s="224">
        <v>417</v>
      </c>
    </row>
    <row r="40" spans="1:13" ht="13.15" customHeight="1">
      <c r="A40" s="185" t="s">
        <v>424</v>
      </c>
      <c r="B40" s="1056" t="s">
        <v>1074</v>
      </c>
      <c r="C40" s="159">
        <v>55838</v>
      </c>
      <c r="D40" s="159">
        <v>50332097.579999998</v>
      </c>
      <c r="E40" s="159"/>
      <c r="F40" s="268">
        <v>22291</v>
      </c>
      <c r="G40" s="159">
        <v>1632</v>
      </c>
      <c r="H40" s="159">
        <v>197265004.37</v>
      </c>
      <c r="I40" s="159">
        <v>23923</v>
      </c>
      <c r="J40" s="269"/>
      <c r="K40" s="224">
        <v>12595</v>
      </c>
      <c r="L40" s="224">
        <v>10663</v>
      </c>
      <c r="M40" s="224">
        <v>665</v>
      </c>
    </row>
    <row r="41" spans="1:13" ht="13.15" customHeight="1">
      <c r="A41" s="185" t="s">
        <v>426</v>
      </c>
      <c r="B41" s="1056" t="s">
        <v>1075</v>
      </c>
      <c r="C41" s="159">
        <v>104046</v>
      </c>
      <c r="D41" s="159">
        <v>94012302.840000004</v>
      </c>
      <c r="E41" s="159"/>
      <c r="F41" s="268">
        <v>40653</v>
      </c>
      <c r="G41" s="159">
        <v>5159</v>
      </c>
      <c r="H41" s="159">
        <v>404155388.10000002</v>
      </c>
      <c r="I41" s="159">
        <v>45812</v>
      </c>
      <c r="J41" s="269"/>
      <c r="K41" s="224">
        <v>25356</v>
      </c>
      <c r="L41" s="224">
        <v>19048</v>
      </c>
      <c r="M41" s="224">
        <v>1408</v>
      </c>
    </row>
    <row r="42" spans="1:13" ht="13.15" customHeight="1">
      <c r="A42" s="185" t="s">
        <v>429</v>
      </c>
      <c r="B42" s="1056" t="s">
        <v>1076</v>
      </c>
      <c r="C42" s="159">
        <v>16752</v>
      </c>
      <c r="D42" s="159">
        <v>15176224.880000001</v>
      </c>
      <c r="E42" s="159"/>
      <c r="F42" s="268">
        <v>7247</v>
      </c>
      <c r="G42" s="159">
        <v>223</v>
      </c>
      <c r="H42" s="159">
        <v>51683595.630000003</v>
      </c>
      <c r="I42" s="159">
        <v>7470</v>
      </c>
      <c r="J42" s="269"/>
      <c r="K42" s="224">
        <v>4135</v>
      </c>
      <c r="L42" s="224">
        <v>3121</v>
      </c>
      <c r="M42" s="224">
        <v>214</v>
      </c>
    </row>
    <row r="43" spans="1:13" ht="17.149999999999999" customHeight="1">
      <c r="A43" s="187" t="s">
        <v>603</v>
      </c>
      <c r="B43" s="1071"/>
      <c r="C43" s="159"/>
      <c r="D43" s="159"/>
      <c r="E43" s="159"/>
      <c r="F43" s="159"/>
      <c r="G43" s="159"/>
      <c r="H43" s="159"/>
      <c r="I43" s="159"/>
      <c r="J43" s="159"/>
      <c r="K43" s="224"/>
      <c r="L43" s="224"/>
      <c r="M43" s="224"/>
    </row>
    <row r="44" spans="1:13" ht="15" customHeight="1">
      <c r="A44" s="190" t="str">
        <f>A2</f>
        <v>Exemptions, Standard and Itemized Deductions, and Number of Returns by Filing Status/Locality</v>
      </c>
      <c r="B44" s="1071"/>
      <c r="C44" s="159"/>
      <c r="D44" s="159"/>
      <c r="E44" s="159"/>
      <c r="F44" s="159"/>
      <c r="G44" s="159"/>
      <c r="H44" s="159"/>
      <c r="I44" s="159"/>
      <c r="J44" s="159"/>
      <c r="K44" s="224"/>
      <c r="L44" s="224"/>
      <c r="M44" s="224"/>
    </row>
    <row r="45" spans="1:13" ht="15" customHeight="1">
      <c r="A45" s="1079" t="str">
        <f>A$3</f>
        <v>Taxable Year 2021</v>
      </c>
      <c r="B45" s="1072"/>
      <c r="C45" s="159"/>
      <c r="D45" s="159"/>
      <c r="E45" s="159"/>
      <c r="F45" s="159"/>
      <c r="G45" s="159"/>
      <c r="H45" s="159"/>
      <c r="I45" s="159"/>
      <c r="J45" s="159"/>
      <c r="K45" s="224"/>
      <c r="L45" s="224"/>
      <c r="M45" s="224"/>
    </row>
    <row r="46" spans="1:13" ht="3" customHeight="1">
      <c r="C46" s="270"/>
      <c r="D46" s="270"/>
      <c r="E46" s="270"/>
      <c r="F46" s="270"/>
      <c r="G46" s="270"/>
      <c r="H46" s="270"/>
      <c r="I46" s="270"/>
      <c r="J46" s="270"/>
      <c r="K46" s="271"/>
      <c r="L46" s="271"/>
      <c r="M46" s="271"/>
    </row>
    <row r="47" spans="1:13" ht="3" customHeight="1" thickBot="1">
      <c r="A47" s="199"/>
      <c r="C47" s="159"/>
      <c r="D47" s="185"/>
      <c r="E47" s="185"/>
      <c r="F47" s="159"/>
      <c r="G47" s="159"/>
      <c r="H47" s="185"/>
      <c r="I47" s="159"/>
      <c r="J47" s="159"/>
      <c r="K47" s="224"/>
      <c r="L47" s="224"/>
      <c r="M47" s="226"/>
    </row>
    <row r="48" spans="1:13" ht="13.15" customHeight="1">
      <c r="A48" s="844"/>
      <c r="B48" s="1073"/>
      <c r="C48" s="1057" t="s">
        <v>312</v>
      </c>
      <c r="D48" s="1057"/>
      <c r="E48" s="253"/>
      <c r="F48" s="853" t="s">
        <v>313</v>
      </c>
      <c r="G48" s="1058"/>
      <c r="H48" s="1058"/>
      <c r="I48" s="1058"/>
      <c r="J48" s="254"/>
      <c r="K48" s="1059" t="s">
        <v>600</v>
      </c>
      <c r="L48" s="1059"/>
      <c r="M48" s="1060"/>
    </row>
    <row r="49" spans="1:13" ht="25" customHeight="1">
      <c r="A49" s="1069" t="s">
        <v>21</v>
      </c>
      <c r="B49" s="1070" t="s">
        <v>938</v>
      </c>
      <c r="C49" s="1063" t="s">
        <v>601</v>
      </c>
      <c r="D49" s="1062" t="s">
        <v>19</v>
      </c>
      <c r="E49" s="1062"/>
      <c r="F49" s="1064" t="s">
        <v>311</v>
      </c>
      <c r="G49" s="1063" t="s">
        <v>310</v>
      </c>
      <c r="H49" s="1062" t="s">
        <v>19</v>
      </c>
      <c r="I49" s="1065" t="s">
        <v>1176</v>
      </c>
      <c r="J49" s="1066"/>
      <c r="K49" s="1067" t="s">
        <v>602</v>
      </c>
      <c r="L49" s="1068" t="s">
        <v>1177</v>
      </c>
      <c r="M49" s="1061" t="s">
        <v>1178</v>
      </c>
    </row>
    <row r="50" spans="1:13" ht="24" customHeight="1">
      <c r="A50" s="185" t="s">
        <v>432</v>
      </c>
      <c r="B50" s="1056" t="s">
        <v>1077</v>
      </c>
      <c r="C50" s="159">
        <v>40200</v>
      </c>
      <c r="D50" s="159">
        <v>36309573.950000003</v>
      </c>
      <c r="E50" s="159"/>
      <c r="F50" s="268">
        <v>16409</v>
      </c>
      <c r="G50" s="159">
        <v>1493</v>
      </c>
      <c r="H50" s="159">
        <v>145691111.88999999</v>
      </c>
      <c r="I50" s="159">
        <v>17902</v>
      </c>
      <c r="J50" s="269"/>
      <c r="K50" s="224">
        <v>9696</v>
      </c>
      <c r="L50" s="224">
        <v>7622</v>
      </c>
      <c r="M50" s="224">
        <v>584</v>
      </c>
    </row>
    <row r="51" spans="1:13" ht="13.15" customHeight="1">
      <c r="A51" s="185" t="s">
        <v>434</v>
      </c>
      <c r="B51" s="1056" t="s">
        <v>1078</v>
      </c>
      <c r="C51" s="159">
        <v>29784</v>
      </c>
      <c r="D51" s="159">
        <v>26762063.359999999</v>
      </c>
      <c r="E51" s="159"/>
      <c r="F51" s="268">
        <v>10136</v>
      </c>
      <c r="G51" s="159">
        <v>2336</v>
      </c>
      <c r="H51" s="159">
        <v>164149168.24000001</v>
      </c>
      <c r="I51" s="159">
        <v>12472</v>
      </c>
      <c r="J51" s="269"/>
      <c r="K51" s="224">
        <v>5887</v>
      </c>
      <c r="L51" s="224">
        <v>6166</v>
      </c>
      <c r="M51" s="224">
        <v>419</v>
      </c>
    </row>
    <row r="52" spans="1:13" ht="13.15" customHeight="1">
      <c r="A52" s="185" t="s">
        <v>436</v>
      </c>
      <c r="B52" s="1056" t="s">
        <v>1079</v>
      </c>
      <c r="C52" s="159">
        <v>14739</v>
      </c>
      <c r="D52" s="159">
        <v>13314442.91</v>
      </c>
      <c r="E52" s="159"/>
      <c r="F52" s="268">
        <v>6262</v>
      </c>
      <c r="G52" s="159">
        <v>203</v>
      </c>
      <c r="H52" s="159">
        <v>47544662.060000002</v>
      </c>
      <c r="I52" s="159">
        <v>6465</v>
      </c>
      <c r="J52" s="269"/>
      <c r="K52" s="224">
        <v>3301</v>
      </c>
      <c r="L52" s="224">
        <v>2885</v>
      </c>
      <c r="M52" s="224">
        <v>279</v>
      </c>
    </row>
    <row r="53" spans="1:13" ht="13.15" customHeight="1">
      <c r="A53" s="185" t="s">
        <v>439</v>
      </c>
      <c r="B53" s="1056" t="s">
        <v>1080</v>
      </c>
      <c r="C53" s="159">
        <v>20725</v>
      </c>
      <c r="D53" s="159">
        <v>18785359.859999999</v>
      </c>
      <c r="E53" s="159"/>
      <c r="F53" s="268">
        <v>8270</v>
      </c>
      <c r="G53" s="159">
        <v>717</v>
      </c>
      <c r="H53" s="159">
        <v>71847348.930000007</v>
      </c>
      <c r="I53" s="159">
        <v>8987</v>
      </c>
      <c r="J53" s="269"/>
      <c r="K53" s="224">
        <v>4885</v>
      </c>
      <c r="L53" s="224">
        <v>3852</v>
      </c>
      <c r="M53" s="224">
        <v>250</v>
      </c>
    </row>
    <row r="54" spans="1:13" ht="13.15" customHeight="1">
      <c r="A54" s="185" t="s">
        <v>442</v>
      </c>
      <c r="B54" s="1056" t="s">
        <v>1081</v>
      </c>
      <c r="C54" s="159">
        <v>10852</v>
      </c>
      <c r="D54" s="159">
        <v>9879531.1099999994</v>
      </c>
      <c r="E54" s="159"/>
      <c r="F54" s="268">
        <v>4671</v>
      </c>
      <c r="G54" s="159">
        <v>449</v>
      </c>
      <c r="H54" s="159">
        <v>51113298.259999998</v>
      </c>
      <c r="I54" s="159">
        <v>5120</v>
      </c>
      <c r="J54" s="269"/>
      <c r="K54" s="224">
        <v>3583</v>
      </c>
      <c r="L54" s="224">
        <v>1312</v>
      </c>
      <c r="M54" s="224">
        <v>225</v>
      </c>
    </row>
    <row r="55" spans="1:13" ht="24" customHeight="1">
      <c r="A55" s="185" t="s">
        <v>318</v>
      </c>
      <c r="B55" s="1056" t="s">
        <v>1082</v>
      </c>
      <c r="C55" s="159">
        <v>32955</v>
      </c>
      <c r="D55" s="159">
        <v>29902048.93</v>
      </c>
      <c r="E55" s="159"/>
      <c r="F55" s="268">
        <v>14258</v>
      </c>
      <c r="G55" s="159">
        <v>634</v>
      </c>
      <c r="H55" s="159">
        <v>102402045.81</v>
      </c>
      <c r="I55" s="159">
        <v>14892</v>
      </c>
      <c r="J55" s="269"/>
      <c r="K55" s="224">
        <v>9276</v>
      </c>
      <c r="L55" s="224">
        <v>5051</v>
      </c>
      <c r="M55" s="224">
        <v>565</v>
      </c>
    </row>
    <row r="56" spans="1:13" ht="13.15" customHeight="1">
      <c r="A56" s="185" t="s">
        <v>322</v>
      </c>
      <c r="B56" s="1056" t="s">
        <v>1083</v>
      </c>
      <c r="C56" s="159">
        <v>123665</v>
      </c>
      <c r="D56" s="159">
        <v>112102658.06999999</v>
      </c>
      <c r="E56" s="159"/>
      <c r="F56" s="268">
        <v>46139</v>
      </c>
      <c r="G56" s="159">
        <v>7045</v>
      </c>
      <c r="H56" s="224">
        <v>495596061.73000002</v>
      </c>
      <c r="I56" s="159">
        <v>53184</v>
      </c>
      <c r="J56" s="269"/>
      <c r="K56" s="224">
        <v>27829</v>
      </c>
      <c r="L56" s="224">
        <v>23846</v>
      </c>
      <c r="M56" s="224">
        <v>1509</v>
      </c>
    </row>
    <row r="57" spans="1:13" ht="13.15" customHeight="1">
      <c r="A57" s="185" t="s">
        <v>326</v>
      </c>
      <c r="B57" s="1056" t="s">
        <v>1084</v>
      </c>
      <c r="C57" s="159">
        <v>343580</v>
      </c>
      <c r="D57" s="159">
        <v>311546353.95999998</v>
      </c>
      <c r="E57" s="159"/>
      <c r="F57" s="268">
        <v>140592</v>
      </c>
      <c r="G57" s="159">
        <v>20694</v>
      </c>
      <c r="H57" s="159">
        <v>1433418783.4400001</v>
      </c>
      <c r="I57" s="159">
        <v>161286</v>
      </c>
      <c r="J57" s="269"/>
      <c r="K57" s="224">
        <v>102871</v>
      </c>
      <c r="L57" s="224">
        <v>53208</v>
      </c>
      <c r="M57" s="224">
        <v>5207</v>
      </c>
    </row>
    <row r="58" spans="1:13" ht="13.15" customHeight="1">
      <c r="A58" s="185" t="s">
        <v>330</v>
      </c>
      <c r="B58" s="1056" t="s">
        <v>1085</v>
      </c>
      <c r="C58" s="159">
        <v>49040</v>
      </c>
      <c r="D58" s="159">
        <v>44540411.890000001</v>
      </c>
      <c r="E58" s="159"/>
      <c r="F58" s="268">
        <v>21530</v>
      </c>
      <c r="G58" s="159">
        <v>815</v>
      </c>
      <c r="H58" s="159">
        <v>160931479.88</v>
      </c>
      <c r="I58" s="159">
        <v>22345</v>
      </c>
      <c r="J58" s="269"/>
      <c r="K58" s="224">
        <v>13665</v>
      </c>
      <c r="L58" s="224">
        <v>7935</v>
      </c>
      <c r="M58" s="224">
        <v>745</v>
      </c>
    </row>
    <row r="59" spans="1:13" ht="13.15" customHeight="1">
      <c r="A59" s="185" t="s">
        <v>334</v>
      </c>
      <c r="B59" s="1056" t="s">
        <v>1086</v>
      </c>
      <c r="C59" s="159">
        <v>2695</v>
      </c>
      <c r="D59" s="159">
        <v>2391286</v>
      </c>
      <c r="E59" s="159"/>
      <c r="F59" s="268">
        <v>995</v>
      </c>
      <c r="G59" s="159">
        <v>68</v>
      </c>
      <c r="H59" s="159">
        <v>9177487.7300000004</v>
      </c>
      <c r="I59" s="159">
        <v>1063</v>
      </c>
      <c r="J59" s="269"/>
      <c r="K59" s="224">
        <v>473</v>
      </c>
      <c r="L59" s="224">
        <v>558</v>
      </c>
      <c r="M59" s="278">
        <v>32</v>
      </c>
    </row>
    <row r="60" spans="1:13" ht="24" customHeight="1">
      <c r="A60" s="185" t="s">
        <v>338</v>
      </c>
      <c r="B60" s="1056" t="s">
        <v>1087</v>
      </c>
      <c r="C60" s="159">
        <v>41434</v>
      </c>
      <c r="D60" s="159">
        <v>37454315.509999998</v>
      </c>
      <c r="E60" s="159"/>
      <c r="F60" s="268">
        <v>15541</v>
      </c>
      <c r="G60" s="159">
        <v>2464</v>
      </c>
      <c r="H60" s="159">
        <v>162894863.56999999</v>
      </c>
      <c r="I60" s="159">
        <v>18005</v>
      </c>
      <c r="J60" s="269"/>
      <c r="K60" s="224">
        <v>9525</v>
      </c>
      <c r="L60" s="224">
        <v>7793</v>
      </c>
      <c r="M60" s="224">
        <v>687</v>
      </c>
    </row>
    <row r="61" spans="1:13" ht="13.15" customHeight="1">
      <c r="A61" s="185" t="s">
        <v>342</v>
      </c>
      <c r="B61" s="1056" t="s">
        <v>1088</v>
      </c>
      <c r="C61" s="159">
        <v>92342</v>
      </c>
      <c r="D61" s="159">
        <v>82274932.620000005</v>
      </c>
      <c r="E61" s="159"/>
      <c r="F61" s="268">
        <v>32135</v>
      </c>
      <c r="G61" s="159">
        <v>6093</v>
      </c>
      <c r="H61" s="159">
        <v>443967718.44</v>
      </c>
      <c r="I61" s="159">
        <v>38228</v>
      </c>
      <c r="J61" s="269"/>
      <c r="K61" s="224">
        <v>19542</v>
      </c>
      <c r="L61" s="224">
        <v>17446</v>
      </c>
      <c r="M61" s="224">
        <v>1240</v>
      </c>
    </row>
    <row r="62" spans="1:13" ht="13.15" customHeight="1">
      <c r="A62" s="185" t="s">
        <v>346</v>
      </c>
      <c r="B62" s="1056" t="s">
        <v>1089</v>
      </c>
      <c r="C62" s="159">
        <v>7211</v>
      </c>
      <c r="D62" s="159">
        <v>6525406.8600000003</v>
      </c>
      <c r="E62" s="159"/>
      <c r="F62" s="268">
        <v>3082</v>
      </c>
      <c r="G62" s="159">
        <v>221</v>
      </c>
      <c r="H62" s="159">
        <v>25197011.949999999</v>
      </c>
      <c r="I62" s="159">
        <v>3303</v>
      </c>
      <c r="J62" s="269"/>
      <c r="K62" s="224">
        <v>1965</v>
      </c>
      <c r="L62" s="224">
        <v>1212</v>
      </c>
      <c r="M62" s="224">
        <v>126</v>
      </c>
    </row>
    <row r="63" spans="1:13" ht="13.15" customHeight="1">
      <c r="A63" s="185" t="s">
        <v>350</v>
      </c>
      <c r="B63" s="1056" t="s">
        <v>1090</v>
      </c>
      <c r="C63" s="159">
        <v>29079</v>
      </c>
      <c r="D63" s="159">
        <v>26349507</v>
      </c>
      <c r="E63" s="159"/>
      <c r="F63" s="268">
        <v>10779</v>
      </c>
      <c r="G63" s="159">
        <v>1901</v>
      </c>
      <c r="H63" s="159">
        <v>119021335.5</v>
      </c>
      <c r="I63" s="159">
        <v>12680</v>
      </c>
      <c r="J63" s="269"/>
      <c r="K63" s="224">
        <v>6869</v>
      </c>
      <c r="L63" s="224">
        <v>5242</v>
      </c>
      <c r="M63" s="224">
        <v>569</v>
      </c>
    </row>
    <row r="64" spans="1:13" ht="13.15" customHeight="1">
      <c r="A64" s="185" t="s">
        <v>354</v>
      </c>
      <c r="B64" s="1056" t="s">
        <v>1091</v>
      </c>
      <c r="C64" s="159">
        <v>19159</v>
      </c>
      <c r="D64" s="159">
        <v>17447814</v>
      </c>
      <c r="E64" s="159"/>
      <c r="F64" s="268">
        <v>7994</v>
      </c>
      <c r="G64" s="159">
        <v>641</v>
      </c>
      <c r="H64" s="159">
        <v>67214431.049999997</v>
      </c>
      <c r="I64" s="159">
        <v>8635</v>
      </c>
      <c r="J64" s="269"/>
      <c r="K64" s="224">
        <v>4811</v>
      </c>
      <c r="L64" s="224">
        <v>3552</v>
      </c>
      <c r="M64" s="224">
        <v>272</v>
      </c>
    </row>
    <row r="65" spans="1:13" ht="24" customHeight="1">
      <c r="A65" s="185" t="s">
        <v>358</v>
      </c>
      <c r="B65" s="1056" t="s">
        <v>1092</v>
      </c>
      <c r="C65" s="159">
        <v>12970</v>
      </c>
      <c r="D65" s="159">
        <v>11566821.890000001</v>
      </c>
      <c r="E65" s="159"/>
      <c r="F65" s="268">
        <v>4584</v>
      </c>
      <c r="G65" s="159">
        <v>921</v>
      </c>
      <c r="H65" s="159">
        <v>81805231.420000002</v>
      </c>
      <c r="I65" s="159">
        <v>5505</v>
      </c>
      <c r="J65" s="269"/>
      <c r="K65" s="224">
        <v>3131</v>
      </c>
      <c r="L65" s="224">
        <v>2191</v>
      </c>
      <c r="M65" s="224">
        <v>183</v>
      </c>
    </row>
    <row r="66" spans="1:13" ht="13.15" customHeight="1">
      <c r="A66" s="185" t="s">
        <v>362</v>
      </c>
      <c r="B66" s="1056" t="s">
        <v>1093</v>
      </c>
      <c r="C66" s="159">
        <v>18064</v>
      </c>
      <c r="D66" s="159">
        <v>16373184.789999999</v>
      </c>
      <c r="E66" s="159"/>
      <c r="F66" s="268">
        <v>7539</v>
      </c>
      <c r="G66" s="159">
        <v>166</v>
      </c>
      <c r="H66" s="159">
        <v>59091983.229999997</v>
      </c>
      <c r="I66" s="159">
        <v>7705</v>
      </c>
      <c r="J66" s="269"/>
      <c r="K66" s="224">
        <v>4131</v>
      </c>
      <c r="L66" s="224">
        <v>3335</v>
      </c>
      <c r="M66" s="224">
        <v>239</v>
      </c>
    </row>
    <row r="67" spans="1:13" ht="13.15" customHeight="1">
      <c r="A67" s="185" t="s">
        <v>366</v>
      </c>
      <c r="B67" s="1056" t="s">
        <v>1094</v>
      </c>
      <c r="C67" s="159">
        <v>472323</v>
      </c>
      <c r="D67" s="159">
        <v>429908779.98000002</v>
      </c>
      <c r="E67" s="159"/>
      <c r="F67" s="268">
        <v>146724</v>
      </c>
      <c r="G67" s="159">
        <v>53063</v>
      </c>
      <c r="H67" s="159">
        <v>2649079473.4899998</v>
      </c>
      <c r="I67" s="159">
        <v>199787</v>
      </c>
      <c r="J67" s="269"/>
      <c r="K67" s="224">
        <v>100433</v>
      </c>
      <c r="L67" s="224">
        <v>92572</v>
      </c>
      <c r="M67" s="224">
        <v>6782</v>
      </c>
    </row>
    <row r="68" spans="1:13" ht="13.15" customHeight="1">
      <c r="A68" s="185" t="s">
        <v>370</v>
      </c>
      <c r="B68" s="1056" t="s">
        <v>1095</v>
      </c>
      <c r="C68" s="159">
        <v>40224</v>
      </c>
      <c r="D68" s="159">
        <v>36410263.75</v>
      </c>
      <c r="E68" s="159"/>
      <c r="F68" s="268">
        <v>16015</v>
      </c>
      <c r="G68" s="159">
        <v>1647</v>
      </c>
      <c r="H68" s="159">
        <v>146268241.31</v>
      </c>
      <c r="I68" s="159">
        <v>17662</v>
      </c>
      <c r="J68" s="269"/>
      <c r="K68" s="224">
        <v>9594</v>
      </c>
      <c r="L68" s="224">
        <v>7523</v>
      </c>
      <c r="M68" s="224">
        <v>545</v>
      </c>
    </row>
    <row r="69" spans="1:13" ht="13.15" customHeight="1">
      <c r="A69" s="185" t="s">
        <v>374</v>
      </c>
      <c r="B69" s="1056" t="s">
        <v>1096</v>
      </c>
      <c r="C69" s="159">
        <v>10550</v>
      </c>
      <c r="D69" s="159">
        <v>9557484.3200000003</v>
      </c>
      <c r="E69" s="159"/>
      <c r="F69" s="268">
        <v>4383</v>
      </c>
      <c r="G69" s="159">
        <v>194</v>
      </c>
      <c r="H69" s="159">
        <v>32595794.59</v>
      </c>
      <c r="I69" s="159">
        <v>4577</v>
      </c>
      <c r="J69" s="269"/>
      <c r="K69" s="224">
        <v>2788</v>
      </c>
      <c r="L69" s="224">
        <v>1657</v>
      </c>
      <c r="M69" s="224">
        <v>132</v>
      </c>
    </row>
    <row r="70" spans="1:13" ht="24" customHeight="1">
      <c r="A70" s="185" t="s">
        <v>378</v>
      </c>
      <c r="B70" s="1056" t="s">
        <v>1097</v>
      </c>
      <c r="C70" s="159">
        <v>13985</v>
      </c>
      <c r="D70" s="159">
        <v>12659860.57</v>
      </c>
      <c r="E70" s="159"/>
      <c r="F70" s="268">
        <v>5550</v>
      </c>
      <c r="G70" s="159">
        <v>500</v>
      </c>
      <c r="H70" s="159">
        <v>51356320.25</v>
      </c>
      <c r="I70" s="159">
        <v>6050</v>
      </c>
      <c r="J70" s="269"/>
      <c r="K70" s="224">
        <v>3189</v>
      </c>
      <c r="L70" s="224">
        <v>2671</v>
      </c>
      <c r="M70" s="224">
        <v>190</v>
      </c>
    </row>
    <row r="71" spans="1:13" ht="13.15" customHeight="1">
      <c r="A71" s="185" t="s">
        <v>380</v>
      </c>
      <c r="B71" s="1056" t="s">
        <v>1098</v>
      </c>
      <c r="C71" s="159">
        <v>9717</v>
      </c>
      <c r="D71" s="159">
        <v>8727130</v>
      </c>
      <c r="E71" s="159"/>
      <c r="F71" s="268">
        <v>3764</v>
      </c>
      <c r="G71" s="159">
        <v>377</v>
      </c>
      <c r="H71" s="159">
        <v>40167134.409999996</v>
      </c>
      <c r="I71" s="159">
        <v>4141</v>
      </c>
      <c r="J71" s="269"/>
      <c r="K71" s="224">
        <v>2153</v>
      </c>
      <c r="L71" s="224">
        <v>1883</v>
      </c>
      <c r="M71" s="224">
        <v>105</v>
      </c>
    </row>
    <row r="72" spans="1:13" ht="13.15" customHeight="1">
      <c r="A72" s="185" t="s">
        <v>383</v>
      </c>
      <c r="B72" s="1056" t="s">
        <v>1099</v>
      </c>
      <c r="C72" s="159">
        <v>32257</v>
      </c>
      <c r="D72" s="159">
        <v>29081398.239999998</v>
      </c>
      <c r="E72" s="159"/>
      <c r="F72" s="268">
        <v>13488</v>
      </c>
      <c r="G72" s="159">
        <v>887</v>
      </c>
      <c r="H72" s="159">
        <v>137429854.44</v>
      </c>
      <c r="I72" s="159">
        <v>14375</v>
      </c>
      <c r="J72" s="269"/>
      <c r="K72" s="224">
        <v>8774</v>
      </c>
      <c r="L72" s="224">
        <v>5104</v>
      </c>
      <c r="M72" s="224">
        <v>497</v>
      </c>
    </row>
    <row r="73" spans="1:13" ht="13.15" customHeight="1">
      <c r="A73" s="185" t="s">
        <v>386</v>
      </c>
      <c r="B73" s="1056" t="s">
        <v>1100</v>
      </c>
      <c r="C73" s="159">
        <v>11994</v>
      </c>
      <c r="D73" s="159">
        <v>10762404.34</v>
      </c>
      <c r="E73" s="159"/>
      <c r="F73" s="268">
        <v>4685</v>
      </c>
      <c r="G73" s="159">
        <v>478</v>
      </c>
      <c r="H73" s="224">
        <v>44493717.270000003</v>
      </c>
      <c r="I73" s="159">
        <v>5163</v>
      </c>
      <c r="J73" s="269"/>
      <c r="K73" s="224">
        <v>2802</v>
      </c>
      <c r="L73" s="224">
        <v>2193</v>
      </c>
      <c r="M73" s="224">
        <v>168</v>
      </c>
    </row>
    <row r="74" spans="1:13" ht="13.15" customHeight="1">
      <c r="A74" s="185" t="s">
        <v>389</v>
      </c>
      <c r="B74" s="1056" t="s">
        <v>1101</v>
      </c>
      <c r="C74" s="159">
        <v>79926</v>
      </c>
      <c r="D74" s="159">
        <v>72007426.400000006</v>
      </c>
      <c r="E74" s="159"/>
      <c r="F74" s="268">
        <v>35408</v>
      </c>
      <c r="G74" s="159">
        <v>3094</v>
      </c>
      <c r="H74" s="159">
        <v>326405907.10000002</v>
      </c>
      <c r="I74" s="159">
        <v>38502</v>
      </c>
      <c r="J74" s="269"/>
      <c r="K74" s="224">
        <v>23129</v>
      </c>
      <c r="L74" s="224">
        <v>14151</v>
      </c>
      <c r="M74" s="224">
        <v>1222</v>
      </c>
    </row>
    <row r="75" spans="1:13" ht="24" customHeight="1">
      <c r="A75" s="185" t="s">
        <v>391</v>
      </c>
      <c r="B75" s="1056" t="s">
        <v>1102</v>
      </c>
      <c r="C75" s="159">
        <v>17047</v>
      </c>
      <c r="D75" s="164">
        <v>15297342.369999999</v>
      </c>
      <c r="E75" s="164"/>
      <c r="F75" s="268">
        <v>6702</v>
      </c>
      <c r="G75" s="159">
        <v>643</v>
      </c>
      <c r="H75" s="164">
        <v>65818300.060000002</v>
      </c>
      <c r="I75" s="159">
        <v>7345</v>
      </c>
      <c r="J75" s="269"/>
      <c r="K75" s="224">
        <v>3979</v>
      </c>
      <c r="L75" s="224">
        <v>3150</v>
      </c>
      <c r="M75" s="224">
        <v>216</v>
      </c>
    </row>
    <row r="76" spans="1:13" ht="13.15" customHeight="1">
      <c r="A76" s="185" t="s">
        <v>394</v>
      </c>
      <c r="B76" s="1056" t="s">
        <v>1103</v>
      </c>
      <c r="C76" s="159">
        <v>27409</v>
      </c>
      <c r="D76" s="159">
        <v>24776264.079999998</v>
      </c>
      <c r="E76" s="159"/>
      <c r="F76" s="268">
        <v>10175</v>
      </c>
      <c r="G76" s="159">
        <v>1495</v>
      </c>
      <c r="H76" s="159">
        <v>132151396.2</v>
      </c>
      <c r="I76" s="159">
        <v>11670</v>
      </c>
      <c r="J76" s="269"/>
      <c r="K76" s="224">
        <v>5632</v>
      </c>
      <c r="L76" s="224">
        <v>5628</v>
      </c>
      <c r="M76" s="224">
        <v>410</v>
      </c>
    </row>
    <row r="77" spans="1:13" ht="13.15" customHeight="1">
      <c r="A77" s="185" t="s">
        <v>396</v>
      </c>
      <c r="B77" s="1056" t="s">
        <v>1104</v>
      </c>
      <c r="C77" s="159">
        <v>12595</v>
      </c>
      <c r="D77" s="159">
        <v>11280089.43</v>
      </c>
      <c r="E77" s="159"/>
      <c r="F77" s="268">
        <v>5162</v>
      </c>
      <c r="G77" s="159">
        <v>506</v>
      </c>
      <c r="H77" s="159">
        <v>48241828.640000001</v>
      </c>
      <c r="I77" s="159">
        <v>5668</v>
      </c>
      <c r="J77" s="269"/>
      <c r="K77" s="224">
        <v>3523</v>
      </c>
      <c r="L77" s="224">
        <v>1959</v>
      </c>
      <c r="M77" s="224">
        <v>186</v>
      </c>
    </row>
    <row r="78" spans="1:13" ht="13.15" customHeight="1">
      <c r="A78" s="185" t="s">
        <v>399</v>
      </c>
      <c r="B78" s="1056" t="s">
        <v>1105</v>
      </c>
      <c r="C78" s="159">
        <v>14237</v>
      </c>
      <c r="D78" s="159">
        <v>12673456.130000001</v>
      </c>
      <c r="E78" s="159"/>
      <c r="F78" s="268">
        <v>5225</v>
      </c>
      <c r="G78" s="159">
        <v>719</v>
      </c>
      <c r="H78" s="159">
        <v>55009195.189999998</v>
      </c>
      <c r="I78" s="159">
        <v>5944</v>
      </c>
      <c r="J78" s="269"/>
      <c r="K78" s="224">
        <v>3209</v>
      </c>
      <c r="L78" s="224">
        <v>2530</v>
      </c>
      <c r="M78" s="224">
        <v>205</v>
      </c>
    </row>
    <row r="79" spans="1:13" ht="13.15" customHeight="1">
      <c r="A79" s="185" t="s">
        <v>402</v>
      </c>
      <c r="B79" s="1056" t="s">
        <v>1106</v>
      </c>
      <c r="C79" s="159">
        <v>13139</v>
      </c>
      <c r="D79" s="159">
        <v>11938652</v>
      </c>
      <c r="E79" s="159"/>
      <c r="F79" s="268">
        <v>5603</v>
      </c>
      <c r="G79" s="159">
        <v>302</v>
      </c>
      <c r="H79" s="159">
        <v>47004901.289999999</v>
      </c>
      <c r="I79" s="159">
        <v>5905</v>
      </c>
      <c r="J79" s="269"/>
      <c r="K79" s="224">
        <v>3739</v>
      </c>
      <c r="L79" s="224">
        <v>1983</v>
      </c>
      <c r="M79" s="224">
        <v>183</v>
      </c>
    </row>
    <row r="80" spans="1:13" ht="24" customHeight="1">
      <c r="A80" s="185" t="s">
        <v>405</v>
      </c>
      <c r="B80" s="1056" t="s">
        <v>1107</v>
      </c>
      <c r="C80" s="159">
        <v>41266</v>
      </c>
      <c r="D80" s="159">
        <v>37299406.530000001</v>
      </c>
      <c r="E80" s="159"/>
      <c r="F80" s="268">
        <v>16323</v>
      </c>
      <c r="G80" s="159">
        <v>1893</v>
      </c>
      <c r="H80" s="159">
        <v>169233024.13</v>
      </c>
      <c r="I80" s="159">
        <v>18216</v>
      </c>
      <c r="J80" s="269"/>
      <c r="K80" s="224">
        <v>10274</v>
      </c>
      <c r="L80" s="224">
        <v>7347</v>
      </c>
      <c r="M80" s="224">
        <v>595</v>
      </c>
    </row>
    <row r="81" spans="1:13" ht="13.15" customHeight="1">
      <c r="A81" s="185" t="s">
        <v>408</v>
      </c>
      <c r="B81" s="1056" t="s">
        <v>1108</v>
      </c>
      <c r="C81" s="159">
        <v>23669</v>
      </c>
      <c r="D81" s="159">
        <v>21495749.59</v>
      </c>
      <c r="E81" s="159"/>
      <c r="F81" s="268">
        <v>10189</v>
      </c>
      <c r="G81" s="159">
        <v>491</v>
      </c>
      <c r="H81" s="159">
        <v>76834712.579999998</v>
      </c>
      <c r="I81" s="159">
        <v>10680</v>
      </c>
      <c r="J81" s="269"/>
      <c r="K81" s="224">
        <v>6167</v>
      </c>
      <c r="L81" s="224">
        <v>4262</v>
      </c>
      <c r="M81" s="224">
        <v>251</v>
      </c>
    </row>
    <row r="82" spans="1:13" ht="13.15" customHeight="1">
      <c r="A82" s="185" t="s">
        <v>411</v>
      </c>
      <c r="B82" s="1056" t="s">
        <v>1109</v>
      </c>
      <c r="C82" s="159">
        <v>16239</v>
      </c>
      <c r="D82" s="159">
        <v>14657805.23</v>
      </c>
      <c r="E82" s="159"/>
      <c r="F82" s="268">
        <v>6894</v>
      </c>
      <c r="G82" s="159">
        <v>229</v>
      </c>
      <c r="H82" s="159">
        <v>51099570.219999999</v>
      </c>
      <c r="I82" s="159">
        <v>7123</v>
      </c>
      <c r="J82" s="269"/>
      <c r="K82" s="224">
        <v>3819</v>
      </c>
      <c r="L82" s="224">
        <v>3074</v>
      </c>
      <c r="M82" s="224">
        <v>230</v>
      </c>
    </row>
    <row r="83" spans="1:13" ht="13.15" customHeight="1">
      <c r="A83" s="185" t="s">
        <v>414</v>
      </c>
      <c r="B83" s="1056" t="s">
        <v>1110</v>
      </c>
      <c r="C83" s="159">
        <v>59984</v>
      </c>
      <c r="D83" s="159">
        <v>54423852.960000001</v>
      </c>
      <c r="E83" s="159"/>
      <c r="F83" s="268">
        <v>25247</v>
      </c>
      <c r="G83" s="159">
        <v>1372</v>
      </c>
      <c r="H83" s="159">
        <v>221541054.66999999</v>
      </c>
      <c r="I83" s="159">
        <v>26619</v>
      </c>
      <c r="J83" s="269"/>
      <c r="K83" s="224">
        <v>15244</v>
      </c>
      <c r="L83" s="224">
        <v>10529</v>
      </c>
      <c r="M83" s="224">
        <v>846</v>
      </c>
    </row>
    <row r="84" spans="1:13" ht="13.15" customHeight="1">
      <c r="A84" s="185" t="s">
        <v>417</v>
      </c>
      <c r="B84" s="1056" t="s">
        <v>1111</v>
      </c>
      <c r="C84" s="159">
        <v>34486</v>
      </c>
      <c r="D84" s="159">
        <v>31217371.899999999</v>
      </c>
      <c r="E84" s="159"/>
      <c r="F84" s="268">
        <v>12443</v>
      </c>
      <c r="G84" s="159">
        <v>1945</v>
      </c>
      <c r="H84" s="159">
        <v>137585970.97</v>
      </c>
      <c r="I84" s="159">
        <v>14388</v>
      </c>
      <c r="J84" s="269"/>
      <c r="K84" s="224">
        <v>6856</v>
      </c>
      <c r="L84" s="224">
        <v>7127</v>
      </c>
      <c r="M84" s="224">
        <v>405</v>
      </c>
    </row>
    <row r="85" spans="1:13" ht="17.149999999999999" customHeight="1">
      <c r="A85" s="187" t="s">
        <v>603</v>
      </c>
      <c r="B85" s="1071"/>
      <c r="C85" s="159"/>
      <c r="D85" s="159"/>
      <c r="E85" s="159"/>
      <c r="F85" s="159"/>
      <c r="G85" s="159"/>
      <c r="H85" s="159"/>
      <c r="I85" s="159"/>
      <c r="J85" s="159"/>
      <c r="K85" s="224"/>
      <c r="L85" s="224"/>
      <c r="M85" s="224"/>
    </row>
    <row r="86" spans="1:13" ht="15" customHeight="1">
      <c r="A86" s="190" t="str">
        <f>A44</f>
        <v>Exemptions, Standard and Itemized Deductions, and Number of Returns by Filing Status/Locality</v>
      </c>
      <c r="B86" s="1071"/>
      <c r="C86" s="159"/>
      <c r="D86" s="159"/>
      <c r="E86" s="159"/>
      <c r="F86" s="159"/>
      <c r="G86" s="159"/>
      <c r="H86" s="159"/>
      <c r="I86" s="159"/>
      <c r="J86" s="159"/>
      <c r="K86" s="224"/>
      <c r="L86" s="224"/>
      <c r="M86" s="224"/>
    </row>
    <row r="87" spans="1:13" ht="15" customHeight="1">
      <c r="A87" s="1079" t="str">
        <f>A$3</f>
        <v>Taxable Year 2021</v>
      </c>
      <c r="B87" s="1072"/>
      <c r="C87" s="159"/>
      <c r="D87" s="159"/>
      <c r="E87" s="159"/>
      <c r="F87" s="159"/>
      <c r="G87" s="159"/>
      <c r="H87" s="159"/>
      <c r="I87" s="159"/>
      <c r="J87" s="159"/>
      <c r="K87" s="271"/>
      <c r="L87" s="271"/>
      <c r="M87" s="271"/>
    </row>
    <row r="88" spans="1:13" ht="3" customHeight="1">
      <c r="A88" s="199"/>
      <c r="B88" s="1071"/>
      <c r="C88" s="270"/>
      <c r="D88" s="270"/>
      <c r="E88" s="270"/>
      <c r="F88" s="270"/>
      <c r="G88" s="270"/>
      <c r="H88" s="270"/>
      <c r="I88" s="270"/>
      <c r="J88" s="270"/>
      <c r="K88" s="271"/>
      <c r="L88" s="271"/>
      <c r="M88" s="271"/>
    </row>
    <row r="89" spans="1:13" ht="3" customHeight="1" thickBot="1">
      <c r="A89" s="199"/>
      <c r="C89" s="159"/>
      <c r="D89" s="185"/>
      <c r="E89" s="185"/>
      <c r="F89" s="159"/>
      <c r="G89" s="159"/>
      <c r="H89" s="185"/>
      <c r="I89" s="159"/>
      <c r="J89" s="159"/>
      <c r="K89" s="224"/>
      <c r="L89" s="224"/>
      <c r="M89" s="226"/>
    </row>
    <row r="90" spans="1:13" ht="13.15" customHeight="1">
      <c r="A90" s="844"/>
      <c r="B90" s="1073"/>
      <c r="C90" s="1057" t="s">
        <v>312</v>
      </c>
      <c r="D90" s="1057"/>
      <c r="E90" s="253"/>
      <c r="F90" s="853" t="s">
        <v>313</v>
      </c>
      <c r="G90" s="1058"/>
      <c r="H90" s="1058"/>
      <c r="I90" s="1058"/>
      <c r="J90" s="254"/>
      <c r="K90" s="1059" t="s">
        <v>600</v>
      </c>
      <c r="L90" s="1059"/>
      <c r="M90" s="1060"/>
    </row>
    <row r="91" spans="1:13" ht="25" customHeight="1">
      <c r="A91" s="1069" t="s">
        <v>21</v>
      </c>
      <c r="B91" s="1070" t="s">
        <v>938</v>
      </c>
      <c r="C91" s="1063" t="s">
        <v>601</v>
      </c>
      <c r="D91" s="1062" t="s">
        <v>19</v>
      </c>
      <c r="E91" s="1062"/>
      <c r="F91" s="1064" t="s">
        <v>311</v>
      </c>
      <c r="G91" s="1063" t="s">
        <v>310</v>
      </c>
      <c r="H91" s="1062" t="s">
        <v>19</v>
      </c>
      <c r="I91" s="1065" t="s">
        <v>1176</v>
      </c>
      <c r="J91" s="1066"/>
      <c r="K91" s="1067" t="s">
        <v>602</v>
      </c>
      <c r="L91" s="1068" t="s">
        <v>1177</v>
      </c>
      <c r="M91" s="1061" t="s">
        <v>1178</v>
      </c>
    </row>
    <row r="92" spans="1:13" ht="24" customHeight="1">
      <c r="A92" s="185" t="s">
        <v>420</v>
      </c>
      <c r="B92" s="1056" t="s">
        <v>1112</v>
      </c>
      <c r="C92" s="159">
        <v>17331</v>
      </c>
      <c r="D92" s="159">
        <v>15684586.9</v>
      </c>
      <c r="E92" s="159"/>
      <c r="F92" s="268">
        <v>7421</v>
      </c>
      <c r="G92" s="159">
        <v>527</v>
      </c>
      <c r="H92" s="159">
        <v>61501876.670000002</v>
      </c>
      <c r="I92" s="159">
        <v>7948</v>
      </c>
      <c r="J92" s="269"/>
      <c r="K92" s="224">
        <v>5021</v>
      </c>
      <c r="L92" s="224">
        <v>2620</v>
      </c>
      <c r="M92" s="224">
        <v>307</v>
      </c>
    </row>
    <row r="93" spans="1:13" ht="13.15" customHeight="1">
      <c r="A93" s="185" t="s">
        <v>422</v>
      </c>
      <c r="B93" s="1056" t="s">
        <v>1113</v>
      </c>
      <c r="C93" s="159">
        <v>33575</v>
      </c>
      <c r="D93" s="159">
        <v>30397856.68</v>
      </c>
      <c r="E93" s="159"/>
      <c r="F93" s="268">
        <v>13450</v>
      </c>
      <c r="G93" s="159">
        <v>1458</v>
      </c>
      <c r="H93" s="159">
        <v>162678851.99000001</v>
      </c>
      <c r="I93" s="159">
        <v>14908</v>
      </c>
      <c r="J93" s="269"/>
      <c r="K93" s="224">
        <v>8683</v>
      </c>
      <c r="L93" s="224">
        <v>5585</v>
      </c>
      <c r="M93" s="224">
        <v>640</v>
      </c>
    </row>
    <row r="94" spans="1:13" ht="13.15" customHeight="1">
      <c r="A94" s="185" t="s">
        <v>425</v>
      </c>
      <c r="B94" s="1056" t="s">
        <v>1114</v>
      </c>
      <c r="C94" s="159">
        <v>495441</v>
      </c>
      <c r="D94" s="159">
        <v>451557816.05000001</v>
      </c>
      <c r="E94" s="159"/>
      <c r="F94" s="268">
        <v>176526</v>
      </c>
      <c r="G94" s="159">
        <v>46935</v>
      </c>
      <c r="H94" s="159">
        <v>2383256282.2800002</v>
      </c>
      <c r="I94" s="159">
        <v>223461</v>
      </c>
      <c r="J94" s="269"/>
      <c r="K94" s="224">
        <v>131645</v>
      </c>
      <c r="L94" s="224">
        <v>83403</v>
      </c>
      <c r="M94" s="224">
        <v>8413</v>
      </c>
    </row>
    <row r="95" spans="1:13" ht="13.15" customHeight="1">
      <c r="A95" s="185" t="s">
        <v>427</v>
      </c>
      <c r="B95" s="1056" t="s">
        <v>1115</v>
      </c>
      <c r="C95" s="159">
        <v>30827</v>
      </c>
      <c r="D95" s="159">
        <v>27920332.010000002</v>
      </c>
      <c r="E95" s="159"/>
      <c r="F95" s="268">
        <v>13507</v>
      </c>
      <c r="G95" s="159">
        <v>533</v>
      </c>
      <c r="H95" s="159">
        <v>99368698.010000005</v>
      </c>
      <c r="I95" s="159">
        <v>14040</v>
      </c>
      <c r="J95" s="269"/>
      <c r="K95" s="224">
        <v>7981</v>
      </c>
      <c r="L95" s="224">
        <v>5708</v>
      </c>
      <c r="M95" s="224">
        <v>351</v>
      </c>
    </row>
    <row r="96" spans="1:13" ht="13.15" customHeight="1">
      <c r="A96" s="185" t="s">
        <v>430</v>
      </c>
      <c r="B96" s="1056" t="s">
        <v>1116</v>
      </c>
      <c r="C96" s="159">
        <v>8349</v>
      </c>
      <c r="D96" s="159">
        <v>7488907.8099999996</v>
      </c>
      <c r="E96" s="159"/>
      <c r="F96" s="268">
        <v>3059</v>
      </c>
      <c r="G96" s="159">
        <v>625</v>
      </c>
      <c r="H96" s="159">
        <v>84267741.780000001</v>
      </c>
      <c r="I96" s="159">
        <v>3684</v>
      </c>
      <c r="J96" s="269"/>
      <c r="K96" s="224">
        <v>1996</v>
      </c>
      <c r="L96" s="224">
        <v>1556</v>
      </c>
      <c r="M96" s="224">
        <v>132</v>
      </c>
    </row>
    <row r="97" spans="1:13" ht="24" customHeight="1">
      <c r="A97" s="185" t="s">
        <v>360</v>
      </c>
      <c r="B97" s="1056" t="s">
        <v>1117</v>
      </c>
      <c r="C97" s="224">
        <v>14722</v>
      </c>
      <c r="D97" s="224">
        <v>13380530.15</v>
      </c>
      <c r="E97" s="224"/>
      <c r="F97" s="279">
        <v>5376</v>
      </c>
      <c r="G97" s="224">
        <v>1092</v>
      </c>
      <c r="H97" s="224">
        <v>112148608.93000001</v>
      </c>
      <c r="I97" s="224">
        <v>6468</v>
      </c>
      <c r="J97" s="280"/>
      <c r="K97" s="224">
        <v>3574</v>
      </c>
      <c r="L97" s="224">
        <v>2564</v>
      </c>
      <c r="M97" s="224">
        <v>330</v>
      </c>
    </row>
    <row r="98" spans="1:13" ht="13.15" customHeight="1">
      <c r="A98" s="185" t="s">
        <v>364</v>
      </c>
      <c r="B98" s="1056" t="s">
        <v>1118</v>
      </c>
      <c r="C98" s="159">
        <v>106219</v>
      </c>
      <c r="D98" s="159">
        <v>95744168.180000007</v>
      </c>
      <c r="E98" s="159"/>
      <c r="F98" s="268">
        <v>42551</v>
      </c>
      <c r="G98" s="159">
        <v>3921</v>
      </c>
      <c r="H98" s="159">
        <v>399499144.74000001</v>
      </c>
      <c r="I98" s="159">
        <v>46472</v>
      </c>
      <c r="J98" s="269"/>
      <c r="K98" s="224">
        <v>25664</v>
      </c>
      <c r="L98" s="224">
        <v>19569</v>
      </c>
      <c r="M98" s="224">
        <v>1239</v>
      </c>
    </row>
    <row r="99" spans="1:13" ht="13.15" customHeight="1">
      <c r="A99" s="185" t="s">
        <v>437</v>
      </c>
      <c r="B99" s="1056" t="s">
        <v>1119</v>
      </c>
      <c r="C99" s="159">
        <v>22624</v>
      </c>
      <c r="D99" s="159">
        <v>20365738.140000001</v>
      </c>
      <c r="E99" s="159"/>
      <c r="F99" s="268">
        <v>9159</v>
      </c>
      <c r="G99" s="159">
        <v>686</v>
      </c>
      <c r="H99" s="159">
        <v>80963069.019999996</v>
      </c>
      <c r="I99" s="159">
        <v>9845</v>
      </c>
      <c r="J99" s="269"/>
      <c r="K99" s="224">
        <v>5339</v>
      </c>
      <c r="L99" s="224">
        <v>4231</v>
      </c>
      <c r="M99" s="224">
        <v>275</v>
      </c>
    </row>
    <row r="100" spans="1:13" ht="13.15" customHeight="1">
      <c r="A100" s="185" t="s">
        <v>440</v>
      </c>
      <c r="B100" s="1056" t="s">
        <v>1120</v>
      </c>
      <c r="C100" s="159">
        <v>90602</v>
      </c>
      <c r="D100" s="159">
        <v>82121701.670000002</v>
      </c>
      <c r="E100" s="159"/>
      <c r="F100" s="268">
        <v>36101</v>
      </c>
      <c r="G100" s="159">
        <v>2946</v>
      </c>
      <c r="H100" s="159">
        <v>330839023.75999999</v>
      </c>
      <c r="I100" s="159">
        <v>39047</v>
      </c>
      <c r="J100" s="269"/>
      <c r="K100" s="224">
        <v>21112</v>
      </c>
      <c r="L100" s="224">
        <v>16993</v>
      </c>
      <c r="M100" s="224">
        <v>942</v>
      </c>
    </row>
    <row r="101" spans="1:13" ht="13.15" customHeight="1">
      <c r="A101" s="185" t="s">
        <v>443</v>
      </c>
      <c r="B101" s="1056" t="s">
        <v>1121</v>
      </c>
      <c r="C101" s="159">
        <v>22133</v>
      </c>
      <c r="D101" s="159">
        <v>20126059.98</v>
      </c>
      <c r="E101" s="159"/>
      <c r="F101" s="268">
        <v>9314</v>
      </c>
      <c r="G101" s="159">
        <v>190</v>
      </c>
      <c r="H101" s="159">
        <v>67077891.270000003</v>
      </c>
      <c r="I101" s="159">
        <v>9504</v>
      </c>
      <c r="J101" s="269"/>
      <c r="K101" s="224">
        <v>4747</v>
      </c>
      <c r="L101" s="224">
        <v>4514</v>
      </c>
      <c r="M101" s="224">
        <v>243</v>
      </c>
    </row>
    <row r="102" spans="1:13" ht="24" customHeight="1">
      <c r="A102" s="185" t="s">
        <v>319</v>
      </c>
      <c r="B102" s="1056" t="s">
        <v>1122</v>
      </c>
      <c r="C102" s="159">
        <v>19508</v>
      </c>
      <c r="D102" s="159">
        <v>17621487</v>
      </c>
      <c r="E102" s="159"/>
      <c r="F102" s="268">
        <v>8272</v>
      </c>
      <c r="G102" s="159">
        <v>223</v>
      </c>
      <c r="H102" s="159">
        <v>58612391.079999998</v>
      </c>
      <c r="I102" s="159">
        <v>8495</v>
      </c>
      <c r="J102" s="269"/>
      <c r="K102" s="224">
        <v>4270</v>
      </c>
      <c r="L102" s="224">
        <v>3776</v>
      </c>
      <c r="M102" s="224">
        <v>449</v>
      </c>
    </row>
    <row r="103" spans="1:13" ht="13.15" customHeight="1">
      <c r="A103" s="185" t="s">
        <v>323</v>
      </c>
      <c r="B103" s="1056" t="s">
        <v>1123</v>
      </c>
      <c r="C103" s="159">
        <v>47659</v>
      </c>
      <c r="D103" s="159">
        <v>43133142.210000001</v>
      </c>
      <c r="E103" s="159"/>
      <c r="F103" s="268">
        <v>19879</v>
      </c>
      <c r="G103" s="159">
        <v>1534</v>
      </c>
      <c r="H103" s="224">
        <v>169842519.47999999</v>
      </c>
      <c r="I103" s="159">
        <v>21413</v>
      </c>
      <c r="J103" s="269"/>
      <c r="K103" s="224">
        <v>12542</v>
      </c>
      <c r="L103" s="224">
        <v>8305</v>
      </c>
      <c r="M103" s="224">
        <v>566</v>
      </c>
    </row>
    <row r="104" spans="1:13" ht="13.15" customHeight="1">
      <c r="A104" s="185" t="s">
        <v>327</v>
      </c>
      <c r="B104" s="1056" t="s">
        <v>1124</v>
      </c>
      <c r="C104" s="159">
        <v>26960</v>
      </c>
      <c r="D104" s="159">
        <v>24484475.140000001</v>
      </c>
      <c r="E104" s="159"/>
      <c r="F104" s="268">
        <v>11819</v>
      </c>
      <c r="G104" s="159">
        <v>351</v>
      </c>
      <c r="H104" s="159">
        <v>84736073.439999998</v>
      </c>
      <c r="I104" s="159">
        <v>12170</v>
      </c>
      <c r="J104" s="269"/>
      <c r="K104" s="224">
        <v>6947</v>
      </c>
      <c r="L104" s="224">
        <v>4870</v>
      </c>
      <c r="M104" s="224">
        <v>353</v>
      </c>
    </row>
    <row r="105" spans="1:13" ht="13.15" customHeight="1">
      <c r="A105" s="185" t="s">
        <v>331</v>
      </c>
      <c r="B105" s="1056" t="s">
        <v>1125</v>
      </c>
      <c r="C105" s="159">
        <v>18004</v>
      </c>
      <c r="D105" s="159">
        <v>16329370.050000001</v>
      </c>
      <c r="E105" s="159"/>
      <c r="F105" s="268">
        <v>7312</v>
      </c>
      <c r="G105" s="159">
        <v>644</v>
      </c>
      <c r="H105" s="159">
        <v>63070456.729999997</v>
      </c>
      <c r="I105" s="159">
        <v>7956</v>
      </c>
      <c r="J105" s="269"/>
      <c r="K105" s="224">
        <v>4549</v>
      </c>
      <c r="L105" s="224">
        <v>3102</v>
      </c>
      <c r="M105" s="224">
        <v>305</v>
      </c>
    </row>
    <row r="106" spans="1:13" ht="13.15" customHeight="1">
      <c r="A106" s="185" t="s">
        <v>335</v>
      </c>
      <c r="B106" s="1056" t="s">
        <v>1126</v>
      </c>
      <c r="C106" s="159">
        <v>148438</v>
      </c>
      <c r="D106" s="159">
        <v>134771156</v>
      </c>
      <c r="E106" s="159"/>
      <c r="F106" s="268">
        <v>56419</v>
      </c>
      <c r="G106" s="159">
        <v>9589</v>
      </c>
      <c r="H106" s="159">
        <v>611378949.53999996</v>
      </c>
      <c r="I106" s="159">
        <v>66008</v>
      </c>
      <c r="J106" s="269"/>
      <c r="K106" s="224">
        <v>37894</v>
      </c>
      <c r="L106" s="224">
        <v>25832</v>
      </c>
      <c r="M106" s="224">
        <v>2282</v>
      </c>
    </row>
    <row r="107" spans="1:13" ht="24" customHeight="1">
      <c r="A107" s="185" t="s">
        <v>339</v>
      </c>
      <c r="B107" s="1056" t="s">
        <v>1127</v>
      </c>
      <c r="C107" s="159">
        <v>160449</v>
      </c>
      <c r="D107" s="159">
        <v>145568845.28999999</v>
      </c>
      <c r="E107" s="159"/>
      <c r="F107" s="268">
        <v>56265</v>
      </c>
      <c r="G107" s="159">
        <v>13430</v>
      </c>
      <c r="H107" s="159">
        <v>711674694.82000005</v>
      </c>
      <c r="I107" s="159">
        <v>69695</v>
      </c>
      <c r="J107" s="269"/>
      <c r="K107" s="224">
        <v>38338</v>
      </c>
      <c r="L107" s="224">
        <v>28583</v>
      </c>
      <c r="M107" s="224">
        <v>2774</v>
      </c>
    </row>
    <row r="108" spans="1:13" ht="13.15" customHeight="1">
      <c r="A108" s="185" t="s">
        <v>343</v>
      </c>
      <c r="B108" s="1056" t="s">
        <v>1128</v>
      </c>
      <c r="C108" s="159">
        <v>7121</v>
      </c>
      <c r="D108" s="159">
        <v>6461367</v>
      </c>
      <c r="E108" s="159"/>
      <c r="F108" s="268">
        <v>2983</v>
      </c>
      <c r="G108" s="159">
        <v>287</v>
      </c>
      <c r="H108" s="159">
        <v>25481529.300000001</v>
      </c>
      <c r="I108" s="159">
        <v>3270</v>
      </c>
      <c r="J108" s="269"/>
      <c r="K108" s="224">
        <v>1873</v>
      </c>
      <c r="L108" s="224">
        <v>1249</v>
      </c>
      <c r="M108" s="224">
        <v>148</v>
      </c>
    </row>
    <row r="109" spans="1:13" ht="13.15" customHeight="1">
      <c r="A109" s="185" t="s">
        <v>347</v>
      </c>
      <c r="B109" s="1056" t="s">
        <v>1129</v>
      </c>
      <c r="C109" s="159">
        <v>8189</v>
      </c>
      <c r="D109" s="159">
        <v>7425924.2599999998</v>
      </c>
      <c r="E109" s="159"/>
      <c r="F109" s="268">
        <v>3558</v>
      </c>
      <c r="G109" s="159">
        <v>319</v>
      </c>
      <c r="H109" s="159">
        <v>29414267.75</v>
      </c>
      <c r="I109" s="159">
        <v>3877</v>
      </c>
      <c r="J109" s="269"/>
      <c r="K109" s="224">
        <v>2613</v>
      </c>
      <c r="L109" s="224">
        <v>1129</v>
      </c>
      <c r="M109" s="224">
        <v>135</v>
      </c>
    </row>
    <row r="110" spans="1:13" ht="13.15" customHeight="1">
      <c r="A110" s="185" t="s">
        <v>351</v>
      </c>
      <c r="B110" s="1056" t="s">
        <v>1130</v>
      </c>
      <c r="C110" s="159">
        <v>36322</v>
      </c>
      <c r="D110" s="159">
        <v>32894063.649999999</v>
      </c>
      <c r="E110" s="159"/>
      <c r="F110" s="268">
        <v>15097</v>
      </c>
      <c r="G110" s="159">
        <v>492</v>
      </c>
      <c r="H110" s="159">
        <v>112886819.45999999</v>
      </c>
      <c r="I110" s="159">
        <v>15589</v>
      </c>
      <c r="J110" s="269"/>
      <c r="K110" s="224">
        <v>8151</v>
      </c>
      <c r="L110" s="224">
        <v>7006</v>
      </c>
      <c r="M110" s="224">
        <v>432</v>
      </c>
    </row>
    <row r="111" spans="1:13" ht="13.15" customHeight="1">
      <c r="A111" s="185" t="s">
        <v>355</v>
      </c>
      <c r="B111" s="1056" t="s">
        <v>1131</v>
      </c>
      <c r="C111" s="159">
        <v>41882</v>
      </c>
      <c r="D111" s="159">
        <v>38008947.07</v>
      </c>
      <c r="E111" s="159"/>
      <c r="F111" s="268">
        <v>17348</v>
      </c>
      <c r="G111" s="159">
        <v>1960</v>
      </c>
      <c r="H111" s="159">
        <v>153882832.31999999</v>
      </c>
      <c r="I111" s="159">
        <v>19308</v>
      </c>
      <c r="J111" s="269"/>
      <c r="K111" s="224">
        <v>11506</v>
      </c>
      <c r="L111" s="224">
        <v>7174</v>
      </c>
      <c r="M111" s="224">
        <v>628</v>
      </c>
    </row>
    <row r="112" spans="1:13" ht="24" customHeight="1">
      <c r="A112" s="164" t="s">
        <v>359</v>
      </c>
      <c r="B112" s="1074" t="s">
        <v>1132</v>
      </c>
      <c r="C112" s="159">
        <v>57606</v>
      </c>
      <c r="D112" s="164">
        <v>52040450.369999997</v>
      </c>
      <c r="E112" s="164"/>
      <c r="F112" s="268">
        <v>24214</v>
      </c>
      <c r="G112" s="159">
        <v>1322</v>
      </c>
      <c r="H112" s="164">
        <v>222051365.31999999</v>
      </c>
      <c r="I112" s="159">
        <v>25536</v>
      </c>
      <c r="J112" s="269"/>
      <c r="K112" s="224">
        <v>13267</v>
      </c>
      <c r="L112" s="224">
        <v>11006</v>
      </c>
      <c r="M112" s="224">
        <v>1263</v>
      </c>
    </row>
    <row r="113" spans="1:13" ht="13.15" customHeight="1">
      <c r="A113" s="185" t="s">
        <v>363</v>
      </c>
      <c r="B113" s="1056" t="s">
        <v>1133</v>
      </c>
      <c r="C113" s="159">
        <v>19173</v>
      </c>
      <c r="D113" s="159">
        <v>17241988.73</v>
      </c>
      <c r="E113" s="159"/>
      <c r="F113" s="268">
        <v>7773</v>
      </c>
      <c r="G113" s="159">
        <v>913</v>
      </c>
      <c r="H113" s="159">
        <v>69792586.239999995</v>
      </c>
      <c r="I113" s="159">
        <v>8686</v>
      </c>
      <c r="J113" s="269"/>
      <c r="K113" s="224">
        <v>5304</v>
      </c>
      <c r="L113" s="224">
        <v>3060</v>
      </c>
      <c r="M113" s="224">
        <v>322</v>
      </c>
    </row>
    <row r="114" spans="1:13" ht="13.15" customHeight="1">
      <c r="A114" s="185" t="s">
        <v>367</v>
      </c>
      <c r="B114" s="1056" t="s">
        <v>1134</v>
      </c>
      <c r="C114" s="159">
        <v>30126</v>
      </c>
      <c r="D114" s="159">
        <v>27370455.07</v>
      </c>
      <c r="E114" s="159"/>
      <c r="F114" s="268">
        <v>12817</v>
      </c>
      <c r="G114" s="224">
        <v>307</v>
      </c>
      <c r="H114" s="159">
        <v>91135908.769999996</v>
      </c>
      <c r="I114" s="159">
        <v>13124</v>
      </c>
      <c r="J114" s="269"/>
      <c r="K114" s="224">
        <v>7196</v>
      </c>
      <c r="L114" s="224">
        <v>5519</v>
      </c>
      <c r="M114" s="224">
        <v>409</v>
      </c>
    </row>
    <row r="115" spans="1:13" ht="13.15" customHeight="1">
      <c r="A115" s="185" t="s">
        <v>371</v>
      </c>
      <c r="B115" s="1056" t="s">
        <v>1135</v>
      </c>
      <c r="C115" s="159">
        <v>26914</v>
      </c>
      <c r="D115" s="159">
        <v>24403910.800000001</v>
      </c>
      <c r="E115" s="159"/>
      <c r="F115" s="268">
        <v>11787</v>
      </c>
      <c r="G115" s="159">
        <v>403</v>
      </c>
      <c r="H115" s="159">
        <v>90860284.939999998</v>
      </c>
      <c r="I115" s="159">
        <v>12190</v>
      </c>
      <c r="J115" s="269"/>
      <c r="K115" s="224">
        <v>6861</v>
      </c>
      <c r="L115" s="224">
        <v>4957</v>
      </c>
      <c r="M115" s="224">
        <v>372</v>
      </c>
    </row>
    <row r="116" spans="1:13" ht="13.15" customHeight="1">
      <c r="A116" s="185" t="s">
        <v>375</v>
      </c>
      <c r="B116" s="1056" t="s">
        <v>1136</v>
      </c>
      <c r="C116" s="159">
        <v>71897</v>
      </c>
      <c r="D116" s="159">
        <v>64728281.609999999</v>
      </c>
      <c r="E116" s="159"/>
      <c r="F116" s="268">
        <v>26406</v>
      </c>
      <c r="G116" s="159">
        <v>4015</v>
      </c>
      <c r="H116" s="159">
        <v>303065386.68000001</v>
      </c>
      <c r="I116" s="159">
        <v>30421</v>
      </c>
      <c r="J116" s="269"/>
      <c r="K116" s="224">
        <v>15484</v>
      </c>
      <c r="L116" s="224">
        <v>13865</v>
      </c>
      <c r="M116" s="224">
        <v>1072</v>
      </c>
    </row>
    <row r="117" spans="1:13" ht="10.75" customHeight="1">
      <c r="A117" s="185"/>
      <c r="C117" s="159"/>
      <c r="D117" s="281"/>
      <c r="E117" s="281"/>
      <c r="F117" s="282"/>
      <c r="G117" s="281"/>
      <c r="H117" s="281"/>
      <c r="I117" s="281"/>
      <c r="J117" s="283"/>
      <c r="K117" s="284"/>
      <c r="L117" s="224"/>
      <c r="M117" s="224"/>
    </row>
    <row r="118" spans="1:13" ht="13.15" customHeight="1">
      <c r="A118" s="197" t="s">
        <v>22</v>
      </c>
      <c r="B118" s="1075"/>
      <c r="C118" s="286">
        <f>SUM(C8:C42)+SUM(C50:C84)+SUM(C92:C116)</f>
        <v>6303462</v>
      </c>
      <c r="D118" s="198">
        <f>SUM(D8:D42)+SUM(D50:D84)+SUM(D92:D116)</f>
        <v>5704745622.0100002</v>
      </c>
      <c r="E118" s="287"/>
      <c r="F118" s="288">
        <f t="shared" ref="F118:I118" si="0">SUM(F8:F42)+SUM(F50:F84)+SUM(F92:F116)</f>
        <v>2380986</v>
      </c>
      <c r="G118" s="286">
        <f t="shared" si="0"/>
        <v>442436</v>
      </c>
      <c r="H118" s="198">
        <f t="shared" si="0"/>
        <v>30917470786.780006</v>
      </c>
      <c r="I118" s="286">
        <f t="shared" si="0"/>
        <v>2823422</v>
      </c>
      <c r="J118" s="289"/>
      <c r="K118" s="290">
        <f t="shared" ref="K118:M118" si="1">SUM(K8:K42)+SUM(K50:K84)+SUM(K92:K116)</f>
        <v>1602595</v>
      </c>
      <c r="L118" s="290">
        <f t="shared" si="1"/>
        <v>1123833</v>
      </c>
      <c r="M118" s="290">
        <f t="shared" si="1"/>
        <v>96994</v>
      </c>
    </row>
    <row r="119" spans="1:13" ht="16" customHeight="1">
      <c r="A119" s="187" t="s">
        <v>603</v>
      </c>
      <c r="B119" s="1071"/>
      <c r="C119" s="159"/>
      <c r="D119" s="159"/>
      <c r="E119" s="159"/>
      <c r="F119" s="159"/>
      <c r="G119" s="159"/>
      <c r="H119" s="159"/>
      <c r="I119" s="159"/>
      <c r="J119" s="159"/>
      <c r="K119" s="224"/>
      <c r="L119" s="224"/>
      <c r="M119" s="224"/>
    </row>
    <row r="120" spans="1:13" ht="14" customHeight="1">
      <c r="A120" s="190" t="str">
        <f>A86</f>
        <v>Exemptions, Standard and Itemized Deductions, and Number of Returns by Filing Status/Locality</v>
      </c>
      <c r="B120" s="1071"/>
      <c r="C120" s="159"/>
      <c r="D120" s="159"/>
      <c r="E120" s="159"/>
      <c r="F120" s="159"/>
      <c r="G120" s="159"/>
      <c r="H120" s="159"/>
      <c r="I120" s="159"/>
      <c r="J120" s="159"/>
      <c r="K120" s="224"/>
      <c r="L120" s="224"/>
      <c r="M120" s="224"/>
    </row>
    <row r="121" spans="1:13" ht="13" customHeight="1">
      <c r="A121" s="1079" t="str">
        <f>A$3</f>
        <v>Taxable Year 2021</v>
      </c>
      <c r="B121" s="1072"/>
      <c r="C121" s="159"/>
      <c r="D121" s="159"/>
      <c r="E121" s="159"/>
      <c r="F121" s="159"/>
      <c r="G121" s="159"/>
      <c r="H121" s="159"/>
      <c r="I121" s="159"/>
      <c r="J121" s="159"/>
      <c r="K121" s="224"/>
      <c r="L121" s="224"/>
      <c r="M121" s="224"/>
    </row>
    <row r="122" spans="1:13" ht="3" customHeight="1">
      <c r="C122" s="270"/>
      <c r="D122" s="270"/>
      <c r="E122" s="270"/>
      <c r="F122" s="270"/>
      <c r="G122" s="270"/>
      <c r="H122" s="270"/>
      <c r="I122" s="270"/>
      <c r="J122" s="270"/>
      <c r="K122" s="271"/>
      <c r="L122" s="271"/>
      <c r="M122" s="271"/>
    </row>
    <row r="123" spans="1:13" ht="3" customHeight="1" thickBot="1">
      <c r="A123" s="199"/>
      <c r="C123" s="159"/>
      <c r="D123" s="185"/>
      <c r="E123" s="185"/>
      <c r="F123" s="159"/>
      <c r="G123" s="159"/>
      <c r="H123" s="185"/>
      <c r="I123" s="159"/>
      <c r="J123" s="159"/>
      <c r="K123" s="224"/>
      <c r="L123" s="224"/>
      <c r="M123" s="226"/>
    </row>
    <row r="124" spans="1:13" ht="12" customHeight="1">
      <c r="A124" s="844"/>
      <c r="B124" s="1073"/>
      <c r="C124" s="1057" t="s">
        <v>312</v>
      </c>
      <c r="D124" s="1057"/>
      <c r="E124" s="253"/>
      <c r="F124" s="853" t="s">
        <v>313</v>
      </c>
      <c r="G124" s="1058"/>
      <c r="H124" s="1058"/>
      <c r="I124" s="1058"/>
      <c r="J124" s="254"/>
      <c r="K124" s="1059" t="s">
        <v>600</v>
      </c>
      <c r="L124" s="1059"/>
      <c r="M124" s="1060"/>
    </row>
    <row r="125" spans="1:13" ht="25" customHeight="1">
      <c r="A125" s="1069" t="s">
        <v>23</v>
      </c>
      <c r="B125" s="1070" t="s">
        <v>938</v>
      </c>
      <c r="C125" s="1063" t="s">
        <v>601</v>
      </c>
      <c r="D125" s="1062" t="s">
        <v>19</v>
      </c>
      <c r="E125" s="1062"/>
      <c r="F125" s="1064" t="s">
        <v>311</v>
      </c>
      <c r="G125" s="1063" t="s">
        <v>310</v>
      </c>
      <c r="H125" s="1062" t="s">
        <v>19</v>
      </c>
      <c r="I125" s="1065" t="s">
        <v>1176</v>
      </c>
      <c r="J125" s="1066"/>
      <c r="K125" s="1067" t="s">
        <v>602</v>
      </c>
      <c r="L125" s="1068" t="s">
        <v>1177</v>
      </c>
      <c r="M125" s="1061" t="s">
        <v>1178</v>
      </c>
    </row>
    <row r="126" spans="1:13" ht="19" customHeight="1">
      <c r="A126" s="185" t="s">
        <v>392</v>
      </c>
      <c r="B126" s="1056" t="s">
        <v>1137</v>
      </c>
      <c r="C126" s="159">
        <v>164980</v>
      </c>
      <c r="D126" s="164">
        <v>147812568.69</v>
      </c>
      <c r="E126" s="164"/>
      <c r="F126" s="268">
        <v>67987</v>
      </c>
      <c r="G126" s="159">
        <v>20749</v>
      </c>
      <c r="H126" s="164">
        <v>1153176474.55</v>
      </c>
      <c r="I126" s="159">
        <v>88736</v>
      </c>
      <c r="J126" s="269"/>
      <c r="K126" s="224">
        <v>60297</v>
      </c>
      <c r="L126" s="224">
        <v>24406</v>
      </c>
      <c r="M126" s="224">
        <v>4033</v>
      </c>
    </row>
    <row r="127" spans="1:13" ht="12" customHeight="1">
      <c r="A127" s="185" t="s">
        <v>397</v>
      </c>
      <c r="B127" s="1056" t="s">
        <v>1138</v>
      </c>
      <c r="C127" s="159">
        <v>22087</v>
      </c>
      <c r="D127" s="159">
        <v>20019603.27</v>
      </c>
      <c r="E127" s="159"/>
      <c r="F127" s="268">
        <v>10416</v>
      </c>
      <c r="G127" s="159">
        <v>407</v>
      </c>
      <c r="H127" s="159">
        <v>113478086.45</v>
      </c>
      <c r="I127" s="159">
        <v>10823</v>
      </c>
      <c r="J127" s="269"/>
      <c r="K127" s="224">
        <v>6398</v>
      </c>
      <c r="L127" s="224">
        <v>3223</v>
      </c>
      <c r="M127" s="224">
        <v>1202</v>
      </c>
    </row>
    <row r="128" spans="1:13" ht="12" customHeight="1">
      <c r="A128" s="185" t="s">
        <v>400</v>
      </c>
      <c r="B128" s="1056" t="s">
        <v>1139</v>
      </c>
      <c r="C128" s="159">
        <v>6093</v>
      </c>
      <c r="D128" s="159">
        <v>5482969.2300000004</v>
      </c>
      <c r="E128" s="159"/>
      <c r="F128" s="268">
        <v>2681</v>
      </c>
      <c r="G128" s="159">
        <v>97</v>
      </c>
      <c r="H128" s="159">
        <v>19771858.699999999</v>
      </c>
      <c r="I128" s="159">
        <v>2778</v>
      </c>
      <c r="J128" s="269"/>
      <c r="K128" s="224">
        <v>1649</v>
      </c>
      <c r="L128" s="224">
        <v>1046</v>
      </c>
      <c r="M128" s="224">
        <v>83</v>
      </c>
    </row>
    <row r="129" spans="1:13" ht="12" customHeight="1">
      <c r="A129" s="185" t="s">
        <v>403</v>
      </c>
      <c r="B129" s="1056" t="s">
        <v>1140</v>
      </c>
      <c r="C129" s="159">
        <v>40065</v>
      </c>
      <c r="D129" s="159">
        <v>35947920.100000001</v>
      </c>
      <c r="E129" s="159"/>
      <c r="F129" s="268">
        <v>18711</v>
      </c>
      <c r="G129" s="159">
        <v>2462</v>
      </c>
      <c r="H129" s="224">
        <v>263235042.13999999</v>
      </c>
      <c r="I129" s="159">
        <v>21173</v>
      </c>
      <c r="J129" s="269"/>
      <c r="K129" s="224">
        <v>14467</v>
      </c>
      <c r="L129" s="224">
        <v>5896</v>
      </c>
      <c r="M129" s="224">
        <v>810</v>
      </c>
    </row>
    <row r="130" spans="1:13" ht="12" customHeight="1">
      <c r="A130" s="185" t="s">
        <v>406</v>
      </c>
      <c r="B130" s="1056" t="s">
        <v>1141</v>
      </c>
      <c r="C130" s="159">
        <v>240760</v>
      </c>
      <c r="D130" s="159">
        <v>218131029.94</v>
      </c>
      <c r="E130" s="159"/>
      <c r="F130" s="268">
        <v>94831</v>
      </c>
      <c r="G130" s="159">
        <v>15017</v>
      </c>
      <c r="H130" s="159">
        <v>1061448273.1900001</v>
      </c>
      <c r="I130" s="159">
        <v>109848</v>
      </c>
      <c r="J130" s="269"/>
      <c r="K130" s="224">
        <v>64422</v>
      </c>
      <c r="L130" s="224">
        <v>40156</v>
      </c>
      <c r="M130" s="224">
        <v>5270</v>
      </c>
    </row>
    <row r="131" spans="1:13" ht="19" customHeight="1">
      <c r="A131" s="185" t="s">
        <v>409</v>
      </c>
      <c r="B131" s="1056" t="s">
        <v>1142</v>
      </c>
      <c r="C131" s="159">
        <v>18185</v>
      </c>
      <c r="D131" s="159">
        <v>16470276.75</v>
      </c>
      <c r="E131" s="159"/>
      <c r="F131" s="268">
        <v>7905</v>
      </c>
      <c r="G131" s="159">
        <v>644</v>
      </c>
      <c r="H131" s="159">
        <v>63214859.450000003</v>
      </c>
      <c r="I131" s="159">
        <v>8549</v>
      </c>
      <c r="J131" s="269"/>
      <c r="K131" s="224">
        <v>5726</v>
      </c>
      <c r="L131" s="224">
        <v>2590</v>
      </c>
      <c r="M131" s="224">
        <v>233</v>
      </c>
    </row>
    <row r="132" spans="1:13" ht="12" customHeight="1">
      <c r="A132" s="185" t="s">
        <v>412</v>
      </c>
      <c r="B132" s="1056" t="s">
        <v>1143</v>
      </c>
      <c r="C132" s="159">
        <v>5747</v>
      </c>
      <c r="D132" s="159">
        <v>5221868.43</v>
      </c>
      <c r="E132" s="159"/>
      <c r="F132" s="268">
        <v>2687</v>
      </c>
      <c r="G132" s="159">
        <v>50</v>
      </c>
      <c r="H132" s="159">
        <v>38265867.630000003</v>
      </c>
      <c r="I132" s="159">
        <v>2737</v>
      </c>
      <c r="J132" s="269"/>
      <c r="K132" s="224">
        <v>1815</v>
      </c>
      <c r="L132" s="224">
        <v>849</v>
      </c>
      <c r="M132" s="224">
        <v>73</v>
      </c>
    </row>
    <row r="133" spans="1:13" ht="12" customHeight="1">
      <c r="A133" s="185" t="s">
        <v>415</v>
      </c>
      <c r="B133" s="1056" t="s">
        <v>1144</v>
      </c>
      <c r="C133" s="159">
        <v>40881</v>
      </c>
      <c r="D133" s="159">
        <v>37146857.299999997</v>
      </c>
      <c r="E133" s="159"/>
      <c r="F133" s="268">
        <v>18401</v>
      </c>
      <c r="G133" s="159">
        <v>1219</v>
      </c>
      <c r="H133" s="159">
        <v>144101304.63999999</v>
      </c>
      <c r="I133" s="159">
        <v>19620</v>
      </c>
      <c r="J133" s="269"/>
      <c r="K133" s="224">
        <v>13934</v>
      </c>
      <c r="L133" s="224">
        <v>4808</v>
      </c>
      <c r="M133" s="224">
        <v>878</v>
      </c>
    </row>
    <row r="134" spans="1:13" ht="12" customHeight="1">
      <c r="A134" s="185" t="s">
        <v>418</v>
      </c>
      <c r="B134" s="1056" t="s">
        <v>1145</v>
      </c>
      <c r="C134" s="159">
        <v>5115</v>
      </c>
      <c r="D134" s="159">
        <v>4676273</v>
      </c>
      <c r="E134" s="159"/>
      <c r="F134" s="268">
        <v>2362</v>
      </c>
      <c r="G134" s="159">
        <v>152</v>
      </c>
      <c r="H134" s="159">
        <v>37432309.439999998</v>
      </c>
      <c r="I134" s="159">
        <v>2514</v>
      </c>
      <c r="J134" s="269"/>
      <c r="K134" s="224">
        <v>1977</v>
      </c>
      <c r="L134" s="224">
        <v>432</v>
      </c>
      <c r="M134" s="224">
        <v>105</v>
      </c>
    </row>
    <row r="135" spans="1:13" ht="12" customHeight="1">
      <c r="A135" s="185" t="s">
        <v>413</v>
      </c>
      <c r="B135" s="1056" t="s">
        <v>1146</v>
      </c>
      <c r="C135" s="159">
        <v>32851</v>
      </c>
      <c r="D135" s="159">
        <v>29738670.219999999</v>
      </c>
      <c r="E135" s="159"/>
      <c r="F135" s="268">
        <v>12185</v>
      </c>
      <c r="G135" s="159">
        <v>3462</v>
      </c>
      <c r="H135" s="159">
        <v>193400548.75</v>
      </c>
      <c r="I135" s="159">
        <v>15647</v>
      </c>
      <c r="J135" s="269"/>
      <c r="K135" s="224">
        <v>9055</v>
      </c>
      <c r="L135" s="224">
        <v>5918</v>
      </c>
      <c r="M135" s="224">
        <v>674</v>
      </c>
    </row>
    <row r="136" spans="1:13" ht="19" customHeight="1">
      <c r="A136" s="185" t="s">
        <v>423</v>
      </c>
      <c r="B136" s="1056" t="s">
        <v>1147</v>
      </c>
      <c r="C136" s="159">
        <v>18445</v>
      </c>
      <c r="D136" s="159">
        <v>16596044.380000001</v>
      </c>
      <c r="E136" s="159"/>
      <c r="F136" s="268">
        <v>5955</v>
      </c>
      <c r="G136" s="159">
        <v>2309</v>
      </c>
      <c r="H136" s="159">
        <v>137695819.44999999</v>
      </c>
      <c r="I136" s="159">
        <v>8264</v>
      </c>
      <c r="J136" s="269"/>
      <c r="K136" s="224">
        <v>4636</v>
      </c>
      <c r="L136" s="224">
        <v>3268</v>
      </c>
      <c r="M136" s="224">
        <v>360</v>
      </c>
    </row>
    <row r="137" spans="1:13" ht="12" customHeight="1">
      <c r="A137" s="185" t="s">
        <v>24</v>
      </c>
      <c r="B137" s="1056" t="s">
        <v>1148</v>
      </c>
      <c r="C137" s="224">
        <v>7896</v>
      </c>
      <c r="D137" s="224">
        <v>7176729.29</v>
      </c>
      <c r="E137" s="159"/>
      <c r="F137" s="268">
        <v>3351</v>
      </c>
      <c r="G137" s="159">
        <v>279</v>
      </c>
      <c r="H137" s="159">
        <v>27252664.449999999</v>
      </c>
      <c r="I137" s="159">
        <v>3630</v>
      </c>
      <c r="J137" s="269"/>
      <c r="K137" s="224">
        <v>2586</v>
      </c>
      <c r="L137" s="224">
        <v>910</v>
      </c>
      <c r="M137" s="224">
        <v>134</v>
      </c>
    </row>
    <row r="138" spans="1:13" ht="12" customHeight="1">
      <c r="A138" s="185" t="s">
        <v>428</v>
      </c>
      <c r="B138" s="1056" t="s">
        <v>1149</v>
      </c>
      <c r="C138" s="159">
        <v>28069</v>
      </c>
      <c r="D138" s="159">
        <v>25412754.109999999</v>
      </c>
      <c r="E138" s="159"/>
      <c r="F138" s="268">
        <v>12338</v>
      </c>
      <c r="G138" s="159">
        <v>1888</v>
      </c>
      <c r="H138" s="159">
        <v>133163526.69</v>
      </c>
      <c r="I138" s="159">
        <v>14226</v>
      </c>
      <c r="J138" s="269"/>
      <c r="K138" s="224">
        <v>9771</v>
      </c>
      <c r="L138" s="224">
        <v>3919</v>
      </c>
      <c r="M138" s="224">
        <v>536</v>
      </c>
    </row>
    <row r="139" spans="1:13" ht="12" customHeight="1">
      <c r="A139" s="185" t="s">
        <v>431</v>
      </c>
      <c r="B139" s="1056" t="s">
        <v>1150</v>
      </c>
      <c r="C139" s="159">
        <v>7138</v>
      </c>
      <c r="D139" s="159">
        <v>6474167.2000000002</v>
      </c>
      <c r="E139" s="159"/>
      <c r="F139" s="268">
        <v>3164</v>
      </c>
      <c r="G139" s="159">
        <v>141</v>
      </c>
      <c r="H139" s="159">
        <v>25265961.84</v>
      </c>
      <c r="I139" s="159">
        <v>3305</v>
      </c>
      <c r="J139" s="269"/>
      <c r="K139" s="224">
        <v>2112</v>
      </c>
      <c r="L139" s="224">
        <v>1076</v>
      </c>
      <c r="M139" s="224">
        <v>117</v>
      </c>
    </row>
    <row r="140" spans="1:13" ht="12" customHeight="1">
      <c r="A140" s="185" t="s">
        <v>433</v>
      </c>
      <c r="B140" s="1056" t="s">
        <v>1151</v>
      </c>
      <c r="C140" s="159">
        <v>118324</v>
      </c>
      <c r="D140" s="159">
        <v>107080576.86</v>
      </c>
      <c r="E140" s="159"/>
      <c r="F140" s="268">
        <v>52936</v>
      </c>
      <c r="G140" s="159">
        <v>5411</v>
      </c>
      <c r="H140" s="159">
        <v>434695908.30000001</v>
      </c>
      <c r="I140" s="159">
        <v>58347</v>
      </c>
      <c r="J140" s="269"/>
      <c r="K140" s="224">
        <v>40523</v>
      </c>
      <c r="L140" s="224">
        <v>15334</v>
      </c>
      <c r="M140" s="224">
        <v>2490</v>
      </c>
    </row>
    <row r="141" spans="1:13" ht="19" customHeight="1">
      <c r="A141" s="185" t="s">
        <v>435</v>
      </c>
      <c r="B141" s="1056" t="s">
        <v>1152</v>
      </c>
      <c r="C141" s="159">
        <v>37147</v>
      </c>
      <c r="D141" s="159">
        <v>33794381.07</v>
      </c>
      <c r="E141" s="159"/>
      <c r="F141" s="268">
        <v>17508</v>
      </c>
      <c r="G141" s="159">
        <v>1016</v>
      </c>
      <c r="H141" s="159">
        <v>144290286.47</v>
      </c>
      <c r="I141" s="159">
        <v>18524</v>
      </c>
      <c r="J141" s="269"/>
      <c r="K141" s="224">
        <v>12934</v>
      </c>
      <c r="L141" s="224">
        <v>5146</v>
      </c>
      <c r="M141" s="224">
        <v>444</v>
      </c>
    </row>
    <row r="142" spans="1:13" ht="12" customHeight="1">
      <c r="A142" s="185" t="s">
        <v>438</v>
      </c>
      <c r="B142" s="1056" t="s">
        <v>1153</v>
      </c>
      <c r="C142" s="159">
        <v>20180</v>
      </c>
      <c r="D142" s="159">
        <v>18372650.07</v>
      </c>
      <c r="E142" s="159"/>
      <c r="F142" s="268">
        <v>9501</v>
      </c>
      <c r="G142" s="159">
        <v>515</v>
      </c>
      <c r="H142" s="159">
        <v>71019964.659999996</v>
      </c>
      <c r="I142" s="159">
        <v>10016</v>
      </c>
      <c r="J142" s="269"/>
      <c r="K142" s="224">
        <v>7566</v>
      </c>
      <c r="L142" s="224">
        <v>2142</v>
      </c>
      <c r="M142" s="224">
        <v>308</v>
      </c>
    </row>
    <row r="143" spans="1:13" ht="12" customHeight="1">
      <c r="A143" s="185" t="s">
        <v>441</v>
      </c>
      <c r="B143" s="1056" t="s">
        <v>1154</v>
      </c>
      <c r="C143" s="159">
        <v>5818</v>
      </c>
      <c r="D143" s="159">
        <v>5176463.22</v>
      </c>
      <c r="E143" s="159"/>
      <c r="F143" s="268">
        <v>2333</v>
      </c>
      <c r="G143" s="159">
        <v>321</v>
      </c>
      <c r="H143" s="159">
        <v>25686807</v>
      </c>
      <c r="I143" s="159">
        <v>2654</v>
      </c>
      <c r="J143" s="269"/>
      <c r="K143" s="224">
        <v>1654</v>
      </c>
      <c r="L143" s="224">
        <v>936</v>
      </c>
      <c r="M143" s="224">
        <v>64</v>
      </c>
    </row>
    <row r="144" spans="1:13" ht="12" customHeight="1">
      <c r="A144" s="185" t="s">
        <v>444</v>
      </c>
      <c r="B144" s="1056" t="s">
        <v>1155</v>
      </c>
      <c r="C144" s="159">
        <v>68069</v>
      </c>
      <c r="D144" s="159">
        <v>61454471.829999998</v>
      </c>
      <c r="E144" s="164"/>
      <c r="F144" s="268">
        <v>30881</v>
      </c>
      <c r="G144" s="159">
        <v>2244</v>
      </c>
      <c r="H144" s="159">
        <v>252723152.75</v>
      </c>
      <c r="I144" s="159">
        <v>33125</v>
      </c>
      <c r="J144" s="269"/>
      <c r="K144" s="224">
        <v>22151</v>
      </c>
      <c r="L144" s="224">
        <v>10004</v>
      </c>
      <c r="M144" s="224">
        <v>970</v>
      </c>
    </row>
    <row r="145" spans="1:13" ht="12" customHeight="1">
      <c r="A145" s="185" t="s">
        <v>320</v>
      </c>
      <c r="B145" s="1056" t="s">
        <v>1156</v>
      </c>
      <c r="C145" s="159">
        <v>44390</v>
      </c>
      <c r="D145" s="159">
        <v>40573606.219999999</v>
      </c>
      <c r="E145" s="159"/>
      <c r="F145" s="268">
        <v>18251</v>
      </c>
      <c r="G145" s="159">
        <v>3358</v>
      </c>
      <c r="H145" s="159">
        <v>195576980.94</v>
      </c>
      <c r="I145" s="159">
        <v>21609</v>
      </c>
      <c r="J145" s="269"/>
      <c r="K145" s="224">
        <v>14210</v>
      </c>
      <c r="L145" s="224">
        <v>6588</v>
      </c>
      <c r="M145" s="224">
        <v>811</v>
      </c>
    </row>
    <row r="146" spans="1:13" ht="19" customHeight="1">
      <c r="A146" s="185" t="s">
        <v>324</v>
      </c>
      <c r="B146" s="1056" t="s">
        <v>1157</v>
      </c>
      <c r="C146" s="159">
        <v>18013</v>
      </c>
      <c r="D146" s="164">
        <v>16501780.43</v>
      </c>
      <c r="E146" s="159"/>
      <c r="F146" s="268">
        <v>7731</v>
      </c>
      <c r="G146" s="159">
        <v>1272</v>
      </c>
      <c r="H146" s="164">
        <v>73279471.930000007</v>
      </c>
      <c r="I146" s="159">
        <v>9003</v>
      </c>
      <c r="J146" s="269"/>
      <c r="K146" s="224">
        <v>6037</v>
      </c>
      <c r="L146" s="224">
        <v>2617</v>
      </c>
      <c r="M146" s="224">
        <v>349</v>
      </c>
    </row>
    <row r="147" spans="1:13" ht="12" customHeight="1">
      <c r="A147" s="185" t="s">
        <v>328</v>
      </c>
      <c r="B147" s="1056" t="s">
        <v>1158</v>
      </c>
      <c r="C147" s="159">
        <v>13014</v>
      </c>
      <c r="D147" s="159">
        <v>11784685.220000001</v>
      </c>
      <c r="E147" s="159"/>
      <c r="F147" s="268">
        <v>5949</v>
      </c>
      <c r="G147" s="159">
        <v>305</v>
      </c>
      <c r="H147" s="159">
        <v>46436977.039999999</v>
      </c>
      <c r="I147" s="159">
        <v>6254</v>
      </c>
      <c r="J147" s="269"/>
      <c r="K147" s="224">
        <v>4435</v>
      </c>
      <c r="L147" s="224">
        <v>1547</v>
      </c>
      <c r="M147" s="224">
        <v>272</v>
      </c>
    </row>
    <row r="148" spans="1:13" ht="12" customHeight="1">
      <c r="A148" s="185" t="s">
        <v>332</v>
      </c>
      <c r="B148" s="1056" t="s">
        <v>1159</v>
      </c>
      <c r="C148" s="159">
        <v>158319</v>
      </c>
      <c r="D148" s="159">
        <v>143710237.68000001</v>
      </c>
      <c r="E148" s="159"/>
      <c r="F148" s="268">
        <v>71867</v>
      </c>
      <c r="G148" s="159">
        <v>6702</v>
      </c>
      <c r="H148" s="159">
        <v>586821190.88</v>
      </c>
      <c r="I148" s="159">
        <v>78569</v>
      </c>
      <c r="J148" s="269"/>
      <c r="K148" s="224">
        <v>54997</v>
      </c>
      <c r="L148" s="224">
        <v>20431</v>
      </c>
      <c r="M148" s="224">
        <v>3141</v>
      </c>
    </row>
    <row r="149" spans="1:13" ht="12" customHeight="1">
      <c r="A149" s="185" t="s">
        <v>336</v>
      </c>
      <c r="B149" s="1056" t="s">
        <v>1160</v>
      </c>
      <c r="C149" s="159">
        <v>177941</v>
      </c>
      <c r="D149" s="159">
        <v>161186412.44999999</v>
      </c>
      <c r="E149" s="159"/>
      <c r="F149" s="268">
        <v>83121</v>
      </c>
      <c r="G149" s="159">
        <v>8666</v>
      </c>
      <c r="H149" s="159">
        <v>826209456.16999996</v>
      </c>
      <c r="I149" s="159">
        <v>91787</v>
      </c>
      <c r="J149" s="269"/>
      <c r="K149" s="224">
        <v>65146</v>
      </c>
      <c r="L149" s="224">
        <v>22036</v>
      </c>
      <c r="M149" s="224">
        <v>4605</v>
      </c>
    </row>
    <row r="150" spans="1:13" ht="12" customHeight="1">
      <c r="A150" s="185" t="s">
        <v>340</v>
      </c>
      <c r="B150" s="1056" t="s">
        <v>1161</v>
      </c>
      <c r="C150" s="224">
        <v>3644</v>
      </c>
      <c r="D150" s="224">
        <v>3314940</v>
      </c>
      <c r="E150" s="159"/>
      <c r="F150" s="268">
        <v>1603</v>
      </c>
      <c r="G150" s="159">
        <v>48</v>
      </c>
      <c r="H150" s="159">
        <v>11765450.5</v>
      </c>
      <c r="I150" s="159">
        <v>1651</v>
      </c>
      <c r="J150" s="269"/>
      <c r="K150" s="224">
        <v>1002</v>
      </c>
      <c r="L150" s="224">
        <v>603</v>
      </c>
      <c r="M150" s="224">
        <v>46</v>
      </c>
    </row>
    <row r="151" spans="1:13" ht="19" customHeight="1">
      <c r="A151" s="185" t="s">
        <v>344</v>
      </c>
      <c r="B151" s="1056" t="s">
        <v>1162</v>
      </c>
      <c r="C151" s="159">
        <v>26963</v>
      </c>
      <c r="D151" s="159">
        <v>24526643.050000001</v>
      </c>
      <c r="E151" s="159"/>
      <c r="F151" s="268">
        <v>13123</v>
      </c>
      <c r="G151" s="159">
        <v>1062</v>
      </c>
      <c r="H151" s="159">
        <v>96514774.670000002</v>
      </c>
      <c r="I151" s="159">
        <v>14185</v>
      </c>
      <c r="J151" s="269"/>
      <c r="K151" s="224">
        <v>11711</v>
      </c>
      <c r="L151" s="224">
        <v>1989</v>
      </c>
      <c r="M151" s="224">
        <v>485</v>
      </c>
    </row>
    <row r="152" spans="1:13" ht="12" customHeight="1">
      <c r="A152" s="185" t="s">
        <v>348</v>
      </c>
      <c r="B152" s="1056" t="s">
        <v>1163</v>
      </c>
      <c r="C152" s="159">
        <v>13434</v>
      </c>
      <c r="D152" s="159">
        <v>12108498.09</v>
      </c>
      <c r="E152" s="159"/>
      <c r="F152" s="268">
        <v>4736</v>
      </c>
      <c r="G152" s="159">
        <v>854</v>
      </c>
      <c r="H152" s="159">
        <v>56699362.75</v>
      </c>
      <c r="I152" s="159">
        <v>5590</v>
      </c>
      <c r="J152" s="269"/>
      <c r="K152" s="224">
        <v>2753</v>
      </c>
      <c r="L152" s="224">
        <v>2676</v>
      </c>
      <c r="M152" s="224">
        <v>161</v>
      </c>
    </row>
    <row r="153" spans="1:13" ht="12" customHeight="1">
      <c r="A153" s="185" t="s">
        <v>352</v>
      </c>
      <c r="B153" s="1056" t="s">
        <v>1164</v>
      </c>
      <c r="C153" s="159">
        <v>81546</v>
      </c>
      <c r="D153" s="159">
        <v>74113518.900000006</v>
      </c>
      <c r="E153" s="159"/>
      <c r="F153" s="268">
        <v>36528</v>
      </c>
      <c r="G153" s="159">
        <v>3909</v>
      </c>
      <c r="H153" s="159">
        <v>303827666.11000001</v>
      </c>
      <c r="I153" s="159">
        <v>40437</v>
      </c>
      <c r="J153" s="269"/>
      <c r="K153" s="224">
        <v>29297</v>
      </c>
      <c r="L153" s="224">
        <v>9488</v>
      </c>
      <c r="M153" s="224">
        <v>1652</v>
      </c>
    </row>
    <row r="154" spans="1:13" ht="12" customHeight="1">
      <c r="A154" s="185" t="s">
        <v>356</v>
      </c>
      <c r="B154" s="1056" t="s">
        <v>1165</v>
      </c>
      <c r="C154" s="159">
        <v>11412</v>
      </c>
      <c r="D154" s="159">
        <v>10340557.779999999</v>
      </c>
      <c r="E154" s="159"/>
      <c r="F154" s="268">
        <v>5575</v>
      </c>
      <c r="G154" s="159">
        <v>257</v>
      </c>
      <c r="H154" s="159">
        <v>44184286.039999999</v>
      </c>
      <c r="I154" s="159">
        <v>5832</v>
      </c>
      <c r="J154" s="269"/>
      <c r="K154" s="224">
        <v>3930</v>
      </c>
      <c r="L154" s="224">
        <v>1755</v>
      </c>
      <c r="M154" s="224">
        <v>147</v>
      </c>
    </row>
    <row r="155" spans="1:13" ht="12" customHeight="1">
      <c r="A155" s="185" t="s">
        <v>360</v>
      </c>
      <c r="B155" s="1056" t="s">
        <v>1166</v>
      </c>
      <c r="C155" s="159">
        <v>190394</v>
      </c>
      <c r="D155" s="159">
        <v>172439285.02000001</v>
      </c>
      <c r="E155" s="159"/>
      <c r="F155" s="268">
        <v>95217</v>
      </c>
      <c r="G155" s="159">
        <v>12123</v>
      </c>
      <c r="H155" s="159">
        <v>1276799511.1099999</v>
      </c>
      <c r="I155" s="159">
        <v>107340</v>
      </c>
      <c r="J155" s="269"/>
      <c r="K155" s="224">
        <v>82421</v>
      </c>
      <c r="L155" s="224">
        <v>21403</v>
      </c>
      <c r="M155" s="224">
        <v>3516</v>
      </c>
    </row>
    <row r="156" spans="1:13" ht="19" customHeight="1">
      <c r="A156" s="185" t="s">
        <v>25</v>
      </c>
      <c r="B156" s="1056" t="s">
        <v>1167</v>
      </c>
      <c r="C156" s="159">
        <v>89381</v>
      </c>
      <c r="D156" s="159">
        <v>81029759.870000005</v>
      </c>
      <c r="E156" s="159"/>
      <c r="F156" s="268">
        <v>42586</v>
      </c>
      <c r="G156" s="159">
        <v>2648</v>
      </c>
      <c r="H156" s="159">
        <v>346014163.27999997</v>
      </c>
      <c r="I156" s="159">
        <v>45234</v>
      </c>
      <c r="J156" s="269"/>
      <c r="K156" s="224">
        <v>32747</v>
      </c>
      <c r="L156" s="224">
        <v>11220</v>
      </c>
      <c r="M156" s="224">
        <v>1267</v>
      </c>
    </row>
    <row r="157" spans="1:13" ht="12" customHeight="1">
      <c r="A157" s="185" t="s">
        <v>368</v>
      </c>
      <c r="B157" s="1056" t="s">
        <v>1168</v>
      </c>
      <c r="C157" s="159">
        <v>26744</v>
      </c>
      <c r="D157" s="159">
        <v>24164191.719999999</v>
      </c>
      <c r="E157" s="159"/>
      <c r="F157" s="268">
        <v>11279</v>
      </c>
      <c r="G157" s="159">
        <v>926</v>
      </c>
      <c r="H157" s="159">
        <v>97116909.890000001</v>
      </c>
      <c r="I157" s="159">
        <v>12205</v>
      </c>
      <c r="J157" s="269"/>
      <c r="K157" s="224">
        <v>7373</v>
      </c>
      <c r="L157" s="224">
        <v>4498</v>
      </c>
      <c r="M157" s="224">
        <v>334</v>
      </c>
    </row>
    <row r="158" spans="1:13" ht="12" customHeight="1">
      <c r="A158" s="185" t="s">
        <v>372</v>
      </c>
      <c r="B158" s="1056" t="s">
        <v>1169</v>
      </c>
      <c r="C158" s="159">
        <v>25818</v>
      </c>
      <c r="D158" s="159">
        <v>23274731.289999999</v>
      </c>
      <c r="E158" s="159"/>
      <c r="F158" s="268">
        <v>11545</v>
      </c>
      <c r="G158" s="159">
        <v>737</v>
      </c>
      <c r="H158" s="159">
        <v>93653467.730000004</v>
      </c>
      <c r="I158" s="159">
        <v>12282</v>
      </c>
      <c r="J158" s="269"/>
      <c r="K158" s="224">
        <v>7862</v>
      </c>
      <c r="L158" s="224">
        <v>4037</v>
      </c>
      <c r="M158" s="224">
        <v>383</v>
      </c>
    </row>
    <row r="159" spans="1:13" ht="12" customHeight="1">
      <c r="A159" s="185" t="s">
        <v>376</v>
      </c>
      <c r="B159" s="1056" t="s">
        <v>1170</v>
      </c>
      <c r="C159" s="159">
        <v>91255</v>
      </c>
      <c r="D159" s="159">
        <v>82731200.599999994</v>
      </c>
      <c r="E159" s="159"/>
      <c r="F159" s="268">
        <v>35301</v>
      </c>
      <c r="G159" s="159">
        <v>6363</v>
      </c>
      <c r="H159" s="159">
        <v>397189220.20999998</v>
      </c>
      <c r="I159" s="159">
        <v>41664</v>
      </c>
      <c r="J159" s="269"/>
      <c r="K159" s="224">
        <v>24859</v>
      </c>
      <c r="L159" s="224">
        <v>14874</v>
      </c>
      <c r="M159" s="224">
        <v>1931</v>
      </c>
    </row>
    <row r="160" spans="1:13" ht="19" customHeight="1">
      <c r="A160" s="185" t="s">
        <v>26</v>
      </c>
      <c r="B160" s="1056" t="s">
        <v>1171</v>
      </c>
      <c r="C160" s="159">
        <v>433810</v>
      </c>
      <c r="D160" s="159">
        <v>391929479.17000002</v>
      </c>
      <c r="E160" s="159"/>
      <c r="F160" s="268">
        <v>179022</v>
      </c>
      <c r="G160" s="159">
        <v>26360</v>
      </c>
      <c r="H160" s="159">
        <v>2041723028.9200001</v>
      </c>
      <c r="I160" s="159">
        <v>205382</v>
      </c>
      <c r="J160" s="269"/>
      <c r="K160" s="224">
        <v>125213</v>
      </c>
      <c r="L160" s="224">
        <v>70916</v>
      </c>
      <c r="M160" s="224">
        <v>9253</v>
      </c>
    </row>
    <row r="161" spans="1:13" ht="12" customHeight="1">
      <c r="A161" s="185" t="s">
        <v>381</v>
      </c>
      <c r="B161" s="1056" t="s">
        <v>1172</v>
      </c>
      <c r="C161" s="159">
        <v>21921</v>
      </c>
      <c r="D161" s="159">
        <v>19877962.940000001</v>
      </c>
      <c r="E161" s="159"/>
      <c r="F161" s="268">
        <v>10051</v>
      </c>
      <c r="G161" s="159">
        <v>538</v>
      </c>
      <c r="H161" s="159">
        <v>73252136</v>
      </c>
      <c r="I161" s="159">
        <v>10589</v>
      </c>
      <c r="J161" s="269"/>
      <c r="K161" s="224">
        <v>7024</v>
      </c>
      <c r="L161" s="224">
        <v>3282</v>
      </c>
      <c r="M161" s="224">
        <v>283</v>
      </c>
    </row>
    <row r="162" spans="1:13" ht="12" customHeight="1">
      <c r="A162" s="185" t="s">
        <v>384</v>
      </c>
      <c r="B162" s="1056" t="s">
        <v>1173</v>
      </c>
      <c r="C162" s="159">
        <v>13799</v>
      </c>
      <c r="D162" s="159">
        <v>12250491.130000001</v>
      </c>
      <c r="E162" s="159"/>
      <c r="F162" s="268">
        <v>6037</v>
      </c>
      <c r="G162" s="159">
        <v>861</v>
      </c>
      <c r="H162" s="159">
        <v>67254753.829999998</v>
      </c>
      <c r="I162" s="159">
        <v>6898</v>
      </c>
      <c r="J162" s="269"/>
      <c r="K162" s="224">
        <v>4518</v>
      </c>
      <c r="L162" s="224">
        <v>2103</v>
      </c>
      <c r="M162" s="224">
        <v>277</v>
      </c>
    </row>
    <row r="163" spans="1:13" ht="12" customHeight="1">
      <c r="A163" s="185" t="s">
        <v>387</v>
      </c>
      <c r="B163" s="1056" t="s">
        <v>1174</v>
      </c>
      <c r="C163" s="159">
        <v>28004</v>
      </c>
      <c r="D163" s="159">
        <v>25301013.100000001</v>
      </c>
      <c r="E163" s="159"/>
      <c r="F163" s="268">
        <v>12802</v>
      </c>
      <c r="G163" s="159">
        <v>1155</v>
      </c>
      <c r="H163" s="159">
        <v>115316066</v>
      </c>
      <c r="I163" s="159">
        <v>13957</v>
      </c>
      <c r="J163" s="269"/>
      <c r="K163" s="224">
        <v>9653</v>
      </c>
      <c r="L163" s="224">
        <v>3826</v>
      </c>
      <c r="M163" s="224">
        <v>478</v>
      </c>
    </row>
    <row r="164" spans="1:13" ht="6" customHeight="1">
      <c r="A164" s="160"/>
      <c r="B164" s="1076"/>
      <c r="C164" s="291"/>
      <c r="D164" s="291"/>
      <c r="E164" s="292"/>
      <c r="F164" s="293"/>
      <c r="G164" s="291"/>
      <c r="H164" s="291"/>
      <c r="I164" s="291"/>
      <c r="J164" s="292"/>
      <c r="K164" s="294"/>
      <c r="L164" s="294"/>
      <c r="M164" s="284"/>
    </row>
    <row r="165" spans="1:13" ht="12.75" customHeight="1">
      <c r="A165" s="199" t="s">
        <v>27</v>
      </c>
      <c r="B165" s="1071"/>
      <c r="C165" s="273">
        <f>SUM(C126:C163)</f>
        <v>2357652</v>
      </c>
      <c r="D165" s="273">
        <f>SUM(D126:D163)</f>
        <v>2133345269.6200001</v>
      </c>
      <c r="E165" s="295"/>
      <c r="F165" s="273">
        <f t="shared" ref="F165:I165" si="2">SUM(F126:F163)</f>
        <v>1028457</v>
      </c>
      <c r="G165" s="273">
        <f t="shared" si="2"/>
        <v>136527</v>
      </c>
      <c r="H165" s="273">
        <f t="shared" si="2"/>
        <v>11088953590.549997</v>
      </c>
      <c r="I165" s="273">
        <f t="shared" si="2"/>
        <v>1164984</v>
      </c>
      <c r="J165" s="289"/>
      <c r="K165" s="273">
        <f t="shared" ref="K165:M165" si="3">SUM(K126:K163)</f>
        <v>778861</v>
      </c>
      <c r="L165" s="273">
        <f t="shared" si="3"/>
        <v>337948</v>
      </c>
      <c r="M165" s="273">
        <f t="shared" si="3"/>
        <v>48175</v>
      </c>
    </row>
    <row r="166" spans="1:13" ht="12.75" customHeight="1">
      <c r="A166" s="197" t="s">
        <v>22</v>
      </c>
      <c r="B166" s="1075"/>
      <c r="C166" s="286">
        <f>C118</f>
        <v>6303462</v>
      </c>
      <c r="D166" s="296">
        <f>D118</f>
        <v>5704745622.0100002</v>
      </c>
      <c r="E166" s="287"/>
      <c r="F166" s="288">
        <f>F118</f>
        <v>2380986</v>
      </c>
      <c r="G166" s="286">
        <f>G118</f>
        <v>442436</v>
      </c>
      <c r="H166" s="198">
        <f>H118</f>
        <v>30917470786.780006</v>
      </c>
      <c r="I166" s="286">
        <f>I118</f>
        <v>2823422</v>
      </c>
      <c r="J166" s="289"/>
      <c r="K166" s="290">
        <f>K118</f>
        <v>1602595</v>
      </c>
      <c r="L166" s="290">
        <f>L118</f>
        <v>1123833</v>
      </c>
      <c r="M166" s="290">
        <f>M118</f>
        <v>96994</v>
      </c>
    </row>
    <row r="167" spans="1:13" ht="12.75" customHeight="1">
      <c r="A167" s="197" t="s">
        <v>597</v>
      </c>
      <c r="B167" s="1078" t="s">
        <v>1175</v>
      </c>
      <c r="C167" s="541">
        <v>342522</v>
      </c>
      <c r="D167" s="542">
        <v>238264615.68000001</v>
      </c>
      <c r="E167" s="543"/>
      <c r="F167" s="544">
        <v>133665</v>
      </c>
      <c r="G167" s="541">
        <v>42869</v>
      </c>
      <c r="H167" s="545">
        <v>22883806293.580002</v>
      </c>
      <c r="I167" s="541">
        <v>176534</v>
      </c>
      <c r="J167" s="546"/>
      <c r="K167" s="547">
        <v>96300</v>
      </c>
      <c r="L167" s="547">
        <v>48904</v>
      </c>
      <c r="M167" s="547">
        <v>31330</v>
      </c>
    </row>
    <row r="168" spans="1:13" ht="6" customHeight="1">
      <c r="A168" s="199"/>
      <c r="B168" s="1071"/>
      <c r="C168" s="273"/>
      <c r="D168" s="198"/>
      <c r="E168" s="295"/>
      <c r="F168" s="274"/>
      <c r="G168" s="273"/>
      <c r="H168" s="297"/>
      <c r="I168" s="286"/>
      <c r="J168" s="298"/>
      <c r="K168" s="299"/>
      <c r="L168" s="299"/>
      <c r="M168" s="224"/>
    </row>
    <row r="169" spans="1:13" ht="13" customHeight="1">
      <c r="A169" s="197" t="s">
        <v>28</v>
      </c>
      <c r="B169" s="1075"/>
      <c r="C169" s="286">
        <f>SUM(C165:C167)</f>
        <v>9003636</v>
      </c>
      <c r="D169" s="198">
        <f>SUM(D165:D167)</f>
        <v>8076355507.3100004</v>
      </c>
      <c r="E169" s="287"/>
      <c r="F169" s="286">
        <f>SUM(F165:F167)</f>
        <v>3543108</v>
      </c>
      <c r="G169" s="286">
        <f>SUM(G165:G167)</f>
        <v>621832</v>
      </c>
      <c r="H169" s="198">
        <f>SUM(H165:H167)</f>
        <v>64890230670.910004</v>
      </c>
      <c r="I169" s="286">
        <f>SUM(I165:I167)</f>
        <v>4164940</v>
      </c>
      <c r="J169" s="289"/>
      <c r="K169" s="290">
        <f>SUM(K165:K167)</f>
        <v>2477756</v>
      </c>
      <c r="L169" s="290">
        <f>SUM(L165:L167)</f>
        <v>1510685</v>
      </c>
      <c r="M169" s="290">
        <f>SUM(M165:M167)</f>
        <v>176499</v>
      </c>
    </row>
    <row r="170" spans="1:13" ht="6" customHeight="1">
      <c r="A170" s="185"/>
      <c r="C170" s="159"/>
      <c r="D170" s="185"/>
      <c r="E170" s="185"/>
      <c r="F170" s="159"/>
      <c r="G170" s="159"/>
      <c r="H170" s="185"/>
      <c r="I170" s="159"/>
      <c r="J170" s="159"/>
      <c r="K170" s="224"/>
      <c r="L170" s="224"/>
      <c r="M170" s="226"/>
    </row>
    <row r="171" spans="1:13" s="1170" customFormat="1" ht="10" customHeight="1">
      <c r="A171" s="1169" t="s">
        <v>1</v>
      </c>
      <c r="B171" s="1054"/>
      <c r="C171" s="1171"/>
      <c r="D171" s="1171"/>
      <c r="E171" s="1171"/>
      <c r="K171" s="1176"/>
      <c r="L171" s="1176"/>
      <c r="M171" s="1176"/>
    </row>
    <row r="172" spans="1:13" s="1170" customFormat="1" ht="10" customHeight="1">
      <c r="A172" s="1169" t="str">
        <f>'1.5'!A174</f>
        <v>* Returns not assigned to a locality are generally nonresident returns.  In these cases, the taxpayer did not report a locality in which the Virginia portion of income was earned.</v>
      </c>
      <c r="B172" s="1054"/>
      <c r="K172" s="1176"/>
      <c r="L172" s="1176"/>
      <c r="M172" s="1176"/>
    </row>
    <row r="173" spans="1:13" s="705" customFormat="1" ht="12.75" customHeight="1">
      <c r="A173" s="788" t="s">
        <v>959</v>
      </c>
      <c r="B173" s="1077"/>
      <c r="C173" s="706"/>
      <c r="D173" s="706"/>
      <c r="E173" s="706"/>
      <c r="F173" s="707"/>
    </row>
    <row r="175" spans="1:13">
      <c r="C175" s="548"/>
      <c r="D175" s="548"/>
      <c r="E175" s="548"/>
      <c r="F175" s="548"/>
      <c r="G175" s="548"/>
      <c r="H175" s="548"/>
      <c r="I175" s="548"/>
      <c r="J175" s="548"/>
      <c r="K175" s="548"/>
      <c r="L175" s="548"/>
      <c r="M175" s="548"/>
    </row>
    <row r="176" spans="1:13">
      <c r="C176" s="549"/>
      <c r="D176" s="549"/>
      <c r="E176" s="549"/>
      <c r="F176" s="549"/>
      <c r="G176" s="549"/>
      <c r="H176" s="549"/>
      <c r="I176" s="549"/>
      <c r="J176" s="549"/>
      <c r="K176" s="549"/>
      <c r="L176" s="549"/>
      <c r="M176" s="549"/>
    </row>
    <row r="180" spans="2:2" s="1385" customFormat="1" ht="11.5">
      <c r="B180" s="1054"/>
    </row>
    <row r="181" spans="2:2" s="1385" customFormat="1" ht="10" customHeight="1">
      <c r="B181" s="1054"/>
    </row>
  </sheetData>
  <customSheetViews>
    <customSheetView guid="{E6BBE5A7-0B25-4EE8-BA45-5EA5DBAF3AD4}" showPageBreaks="1" outlineSymbols="0" printArea="1">
      <rowBreaks count="4" manualBreakCount="4">
        <brk id="43" max="11" man="1"/>
        <brk id="86" max="11" man="1"/>
        <brk id="129" max="11" man="1"/>
        <brk id="172" max="11" man="1"/>
      </rowBreaks>
      <pageMargins left="0.5" right="0.5" top="0.5" bottom="1" header="0.5" footer="0.5"/>
      <printOptions horizontalCentered="1"/>
      <pageSetup scale="84" firstPageNumber="12" orientation="landscape" useFirstPageNumber="1" r:id="rId1"/>
      <headerFooter alignWithMargins="0"/>
    </customSheetView>
  </customSheetViews>
  <hyperlinks>
    <hyperlink ref="O1" location="TOC!A1" display="Back" xr:uid="{00000000-0004-0000-0900-000000000000}"/>
  </hyperlinks>
  <pageMargins left="0.6" right="0.25" top="0.25" bottom="0.15" header="0.25" footer="0.15"/>
  <pageSetup scale="84" firstPageNumber="12" orientation="landscape" r:id="rId2"/>
  <headerFooter scaleWithDoc="0">
    <oddHeader>&amp;R&amp;P</oddHeader>
  </headerFooter>
  <rowBreaks count="3" manualBreakCount="3">
    <brk id="42" max="11" man="1"/>
    <brk id="84" max="11" man="1"/>
    <brk id="118"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N173"/>
  <sheetViews>
    <sheetView showOutlineSymbols="0" zoomScaleNormal="100" workbookViewId="0">
      <selection activeCell="A3" sqref="A3"/>
    </sheetView>
  </sheetViews>
  <sheetFormatPr defaultColWidth="10.7265625" defaultRowHeight="15.5"/>
  <cols>
    <col min="1" max="1" width="15" style="195" customWidth="1"/>
    <col min="2" max="2" width="12.7265625" style="195" bestFit="1" customWidth="1"/>
    <col min="3" max="3" width="15.81640625" style="195" customWidth="1"/>
    <col min="4" max="4" width="2.7265625" style="195" customWidth="1"/>
    <col min="5" max="6" width="12" style="195" bestFit="1" customWidth="1"/>
    <col min="7" max="7" width="17.54296875" style="195" customWidth="1"/>
    <col min="8" max="8" width="12.7265625" style="195" bestFit="1" customWidth="1"/>
    <col min="9" max="9" width="2.54296875" style="195" customWidth="1"/>
    <col min="10" max="10" width="12" style="300" bestFit="1" customWidth="1"/>
    <col min="11" max="11" width="14.7265625" style="300" customWidth="1"/>
    <col min="12" max="12" width="12.81640625" style="300" customWidth="1"/>
    <col min="13" max="16384" width="10.7265625" style="195"/>
  </cols>
  <sheetData>
    <row r="1" spans="1:12" ht="18">
      <c r="A1" s="187" t="s">
        <v>599</v>
      </c>
      <c r="B1" s="159"/>
      <c r="C1" s="185"/>
      <c r="D1" s="185"/>
      <c r="E1" s="159"/>
      <c r="F1" s="159"/>
      <c r="G1" s="185"/>
      <c r="H1" s="159"/>
      <c r="I1" s="159"/>
      <c r="J1" s="224"/>
      <c r="K1" s="224"/>
      <c r="L1" s="226"/>
    </row>
    <row r="2" spans="1:12">
      <c r="A2" s="190" t="s">
        <v>773</v>
      </c>
      <c r="B2" s="159"/>
      <c r="C2" s="185"/>
      <c r="D2" s="185"/>
      <c r="E2" s="159"/>
      <c r="F2" s="159"/>
      <c r="G2" s="185"/>
      <c r="H2" s="159"/>
      <c r="I2" s="159"/>
      <c r="J2" s="224"/>
      <c r="K2" s="224"/>
      <c r="L2" s="226"/>
    </row>
    <row r="3" spans="1:12">
      <c r="A3" s="191" t="s">
        <v>895</v>
      </c>
      <c r="B3" s="159"/>
      <c r="C3" s="185"/>
      <c r="D3" s="185"/>
      <c r="E3" s="159"/>
      <c r="F3" s="159"/>
      <c r="G3" s="185"/>
      <c r="H3" s="159"/>
      <c r="I3" s="159"/>
      <c r="J3" s="224"/>
      <c r="K3" s="224"/>
      <c r="L3" s="226"/>
    </row>
    <row r="4" spans="1:12" ht="13.15" customHeight="1" thickBot="1">
      <c r="A4" s="199"/>
      <c r="B4" s="159"/>
      <c r="C4" s="185"/>
      <c r="D4" s="185"/>
      <c r="E4" s="159"/>
      <c r="F4" s="159"/>
      <c r="G4" s="185"/>
      <c r="H4" s="159"/>
      <c r="I4" s="159"/>
      <c r="J4" s="224"/>
      <c r="K4" s="224"/>
      <c r="L4" s="226"/>
    </row>
    <row r="5" spans="1:12">
      <c r="A5" s="844"/>
      <c r="B5" s="1597" t="s">
        <v>312</v>
      </c>
      <c r="C5" s="1597"/>
      <c r="D5" s="253"/>
      <c r="E5" s="1595" t="s">
        <v>313</v>
      </c>
      <c r="F5" s="1596"/>
      <c r="G5" s="1596"/>
      <c r="H5" s="1596"/>
      <c r="I5" s="254"/>
      <c r="J5" s="255"/>
      <c r="K5" s="256" t="s">
        <v>600</v>
      </c>
      <c r="L5" s="257"/>
    </row>
    <row r="6" spans="1:12" ht="13.15" customHeight="1">
      <c r="A6" s="258"/>
      <c r="B6" s="259"/>
      <c r="C6" s="260"/>
      <c r="D6" s="260"/>
      <c r="E6" s="261"/>
      <c r="F6" s="259"/>
      <c r="G6" s="260"/>
      <c r="H6" s="262" t="s">
        <v>16</v>
      </c>
      <c r="I6" s="263"/>
      <c r="J6" s="264"/>
      <c r="K6" s="265" t="s">
        <v>761</v>
      </c>
      <c r="L6" s="265" t="s">
        <v>761</v>
      </c>
    </row>
    <row r="7" spans="1:12" ht="13.15" customHeight="1">
      <c r="A7" s="480" t="s">
        <v>21</v>
      </c>
      <c r="B7" s="845" t="s">
        <v>601</v>
      </c>
      <c r="C7" s="480" t="s">
        <v>19</v>
      </c>
      <c r="D7" s="480"/>
      <c r="E7" s="266" t="s">
        <v>311</v>
      </c>
      <c r="F7" s="845" t="s">
        <v>310</v>
      </c>
      <c r="G7" s="480" t="s">
        <v>19</v>
      </c>
      <c r="H7" s="845" t="s">
        <v>308</v>
      </c>
      <c r="I7" s="267"/>
      <c r="J7" s="846" t="s">
        <v>602</v>
      </c>
      <c r="K7" s="846" t="s">
        <v>307</v>
      </c>
      <c r="L7" s="847" t="s">
        <v>760</v>
      </c>
    </row>
    <row r="8" spans="1:12" ht="21" customHeight="1">
      <c r="A8" s="164" t="s">
        <v>317</v>
      </c>
      <c r="B8" s="159">
        <v>41962</v>
      </c>
      <c r="C8" s="164">
        <v>38037527.109999999</v>
      </c>
      <c r="D8" s="164"/>
      <c r="E8" s="268">
        <v>16502</v>
      </c>
      <c r="F8" s="159">
        <v>2053</v>
      </c>
      <c r="G8" s="164">
        <v>238754516.80000001</v>
      </c>
      <c r="H8" s="159">
        <v>18555</v>
      </c>
      <c r="I8" s="269"/>
      <c r="J8" s="224">
        <v>10998</v>
      </c>
      <c r="K8" s="224">
        <v>6844</v>
      </c>
      <c r="L8" s="224">
        <v>713</v>
      </c>
    </row>
    <row r="9" spans="1:12" ht="13.15" customHeight="1">
      <c r="A9" s="185" t="s">
        <v>321</v>
      </c>
      <c r="B9" s="159">
        <v>115211</v>
      </c>
      <c r="C9" s="159">
        <v>103548527.94</v>
      </c>
      <c r="D9" s="159"/>
      <c r="E9" s="268">
        <v>39952</v>
      </c>
      <c r="F9" s="159">
        <v>10066</v>
      </c>
      <c r="G9" s="159">
        <v>545671635.89999998</v>
      </c>
      <c r="H9" s="159">
        <v>50018</v>
      </c>
      <c r="I9" s="269"/>
      <c r="J9" s="224">
        <v>27622</v>
      </c>
      <c r="K9" s="224">
        <v>20816</v>
      </c>
      <c r="L9" s="224">
        <v>1580</v>
      </c>
    </row>
    <row r="10" spans="1:12" ht="13.15" customHeight="1">
      <c r="A10" s="185" t="s">
        <v>325</v>
      </c>
      <c r="B10" s="159">
        <v>16510</v>
      </c>
      <c r="C10" s="159">
        <v>14978843.380000001</v>
      </c>
      <c r="D10" s="159"/>
      <c r="E10" s="268">
        <v>6790</v>
      </c>
      <c r="F10" s="159">
        <v>385</v>
      </c>
      <c r="G10" s="159">
        <v>44854096.700000003</v>
      </c>
      <c r="H10" s="159">
        <v>7175</v>
      </c>
      <c r="I10" s="269"/>
      <c r="J10" s="224">
        <v>3844</v>
      </c>
      <c r="K10" s="224">
        <v>3148</v>
      </c>
      <c r="L10" s="224">
        <v>183</v>
      </c>
    </row>
    <row r="11" spans="1:12" ht="13.15" customHeight="1">
      <c r="A11" s="185" t="s">
        <v>329</v>
      </c>
      <c r="B11" s="159">
        <v>13867</v>
      </c>
      <c r="C11" s="159">
        <v>12635969.699999999</v>
      </c>
      <c r="D11" s="159"/>
      <c r="E11" s="268">
        <v>5457</v>
      </c>
      <c r="F11" s="159">
        <v>549</v>
      </c>
      <c r="G11" s="159">
        <v>49484304.200000003</v>
      </c>
      <c r="H11" s="159">
        <v>6006</v>
      </c>
      <c r="I11" s="269"/>
      <c r="J11" s="224">
        <v>3282</v>
      </c>
      <c r="K11" s="224">
        <v>2579</v>
      </c>
      <c r="L11" s="224">
        <v>145</v>
      </c>
    </row>
    <row r="12" spans="1:12" ht="13.15" customHeight="1">
      <c r="A12" s="185" t="s">
        <v>333</v>
      </c>
      <c r="B12" s="159">
        <v>30880</v>
      </c>
      <c r="C12" s="159">
        <v>28052369.440000001</v>
      </c>
      <c r="D12" s="159"/>
      <c r="E12" s="268">
        <v>12622</v>
      </c>
      <c r="F12" s="159">
        <v>897</v>
      </c>
      <c r="G12" s="159">
        <v>77787188.900000006</v>
      </c>
      <c r="H12" s="159">
        <v>13519</v>
      </c>
      <c r="I12" s="269"/>
      <c r="J12" s="224">
        <v>7589</v>
      </c>
      <c r="K12" s="224">
        <v>5608</v>
      </c>
      <c r="L12" s="224">
        <v>322</v>
      </c>
    </row>
    <row r="13" spans="1:12" ht="21" customHeight="1">
      <c r="A13" s="185" t="s">
        <v>337</v>
      </c>
      <c r="B13" s="159">
        <v>16252</v>
      </c>
      <c r="C13" s="159">
        <v>14783254.460000001</v>
      </c>
      <c r="D13" s="159"/>
      <c r="E13" s="268">
        <v>6385</v>
      </c>
      <c r="F13" s="159">
        <v>480</v>
      </c>
      <c r="G13" s="159">
        <v>44713050.899999999</v>
      </c>
      <c r="H13" s="159">
        <v>6865</v>
      </c>
      <c r="I13" s="269"/>
      <c r="J13" s="224">
        <v>3626</v>
      </c>
      <c r="K13" s="224">
        <v>3054</v>
      </c>
      <c r="L13" s="224">
        <v>185</v>
      </c>
    </row>
    <row r="14" spans="1:12" ht="13.15" customHeight="1">
      <c r="A14" s="185" t="s">
        <v>341</v>
      </c>
      <c r="B14" s="159">
        <v>240939</v>
      </c>
      <c r="C14" s="159">
        <v>215819320.75999999</v>
      </c>
      <c r="D14" s="159"/>
      <c r="E14" s="268">
        <v>98213</v>
      </c>
      <c r="F14" s="159">
        <v>33646</v>
      </c>
      <c r="G14" s="159">
        <v>1424664013.6800001</v>
      </c>
      <c r="H14" s="159">
        <v>131859</v>
      </c>
      <c r="I14" s="269"/>
      <c r="J14" s="224">
        <v>89184</v>
      </c>
      <c r="K14" s="224">
        <v>37458</v>
      </c>
      <c r="L14" s="224">
        <v>5217</v>
      </c>
    </row>
    <row r="15" spans="1:12" ht="13.15" customHeight="1">
      <c r="A15" s="185" t="s">
        <v>345</v>
      </c>
      <c r="B15" s="159">
        <v>80790</v>
      </c>
      <c r="C15" s="159">
        <v>73257851.530000001</v>
      </c>
      <c r="D15" s="159"/>
      <c r="E15" s="268">
        <v>31687</v>
      </c>
      <c r="F15" s="159">
        <v>2930</v>
      </c>
      <c r="G15" s="159">
        <v>217388300.30000001</v>
      </c>
      <c r="H15" s="159">
        <v>34617</v>
      </c>
      <c r="I15" s="269"/>
      <c r="J15" s="224">
        <v>17920</v>
      </c>
      <c r="K15" s="224">
        <v>15901</v>
      </c>
      <c r="L15" s="224">
        <v>796</v>
      </c>
    </row>
    <row r="16" spans="1:12" ht="13.15" customHeight="1">
      <c r="A16" s="185" t="s">
        <v>349</v>
      </c>
      <c r="B16" s="159">
        <v>5270</v>
      </c>
      <c r="C16" s="159">
        <v>4761911.1500000004</v>
      </c>
      <c r="D16" s="159"/>
      <c r="E16" s="268">
        <v>2234</v>
      </c>
      <c r="F16" s="159">
        <v>168</v>
      </c>
      <c r="G16" s="159">
        <v>20530866.809999999</v>
      </c>
      <c r="H16" s="159">
        <v>2402</v>
      </c>
      <c r="I16" s="269"/>
      <c r="J16" s="224">
        <v>1345</v>
      </c>
      <c r="K16" s="224">
        <v>999</v>
      </c>
      <c r="L16" s="224">
        <v>58</v>
      </c>
    </row>
    <row r="17" spans="1:12" ht="13.15" customHeight="1">
      <c r="A17" s="185" t="s">
        <v>353</v>
      </c>
      <c r="B17" s="159">
        <v>84885</v>
      </c>
      <c r="C17" s="159">
        <v>76766126.209999993</v>
      </c>
      <c r="D17" s="159"/>
      <c r="E17" s="268">
        <v>31708</v>
      </c>
      <c r="F17" s="159">
        <v>3854</v>
      </c>
      <c r="G17" s="159">
        <v>255825894.80000001</v>
      </c>
      <c r="H17" s="159">
        <v>35562</v>
      </c>
      <c r="I17" s="269"/>
      <c r="J17" s="224">
        <v>17375</v>
      </c>
      <c r="K17" s="224">
        <v>17319</v>
      </c>
      <c r="L17" s="224">
        <v>868</v>
      </c>
    </row>
    <row r="18" spans="1:12" ht="21" customHeight="1">
      <c r="A18" s="185" t="s">
        <v>357</v>
      </c>
      <c r="B18" s="159">
        <v>5797</v>
      </c>
      <c r="C18" s="159">
        <v>5250389.4400000004</v>
      </c>
      <c r="D18" s="159"/>
      <c r="E18" s="268">
        <v>2386</v>
      </c>
      <c r="F18" s="159">
        <v>121</v>
      </c>
      <c r="G18" s="159">
        <v>14284228.9</v>
      </c>
      <c r="H18" s="159">
        <v>2507</v>
      </c>
      <c r="I18" s="269"/>
      <c r="J18" s="224">
        <v>1240</v>
      </c>
      <c r="K18" s="224">
        <v>1185</v>
      </c>
      <c r="L18" s="224">
        <v>82</v>
      </c>
    </row>
    <row r="19" spans="1:12" ht="13.15" customHeight="1">
      <c r="A19" s="185" t="s">
        <v>361</v>
      </c>
      <c r="B19" s="159">
        <v>35942</v>
      </c>
      <c r="C19" s="159">
        <v>32558225.710000001</v>
      </c>
      <c r="D19" s="159"/>
      <c r="E19" s="268">
        <v>13025</v>
      </c>
      <c r="F19" s="159">
        <v>1818</v>
      </c>
      <c r="G19" s="159">
        <v>111847979.2</v>
      </c>
      <c r="H19" s="159">
        <v>14843</v>
      </c>
      <c r="I19" s="269"/>
      <c r="J19" s="224">
        <v>6974</v>
      </c>
      <c r="K19" s="224">
        <v>7529</v>
      </c>
      <c r="L19" s="224">
        <v>340</v>
      </c>
    </row>
    <row r="20" spans="1:12" ht="13.15" customHeight="1">
      <c r="A20" s="185" t="s">
        <v>365</v>
      </c>
      <c r="B20" s="159">
        <v>14031</v>
      </c>
      <c r="C20" s="159">
        <v>12751734.6</v>
      </c>
      <c r="D20" s="159"/>
      <c r="E20" s="268">
        <v>5741</v>
      </c>
      <c r="F20" s="159">
        <v>511</v>
      </c>
      <c r="G20" s="159">
        <v>39076554</v>
      </c>
      <c r="H20" s="159">
        <v>6252</v>
      </c>
      <c r="I20" s="269"/>
      <c r="J20" s="224">
        <v>4062</v>
      </c>
      <c r="K20" s="224">
        <v>1980</v>
      </c>
      <c r="L20" s="224">
        <v>210</v>
      </c>
    </row>
    <row r="21" spans="1:12" ht="13.15" customHeight="1">
      <c r="A21" s="185" t="s">
        <v>369</v>
      </c>
      <c r="B21" s="159">
        <v>16235</v>
      </c>
      <c r="C21" s="159">
        <v>14839292.560000001</v>
      </c>
      <c r="D21" s="159"/>
      <c r="E21" s="268">
        <v>6581</v>
      </c>
      <c r="F21" s="159">
        <v>211</v>
      </c>
      <c r="G21" s="159">
        <v>40626375.299999997</v>
      </c>
      <c r="H21" s="159">
        <v>6792</v>
      </c>
      <c r="I21" s="269"/>
      <c r="J21" s="224">
        <v>3263</v>
      </c>
      <c r="K21" s="224">
        <v>3370</v>
      </c>
      <c r="L21" s="224">
        <v>159</v>
      </c>
    </row>
    <row r="22" spans="1:12" ht="13.15" customHeight="1">
      <c r="A22" s="185" t="s">
        <v>373</v>
      </c>
      <c r="B22" s="159">
        <v>13648</v>
      </c>
      <c r="C22" s="159">
        <v>12413995.68</v>
      </c>
      <c r="D22" s="159"/>
      <c r="E22" s="268">
        <v>5669</v>
      </c>
      <c r="F22" s="159">
        <v>344</v>
      </c>
      <c r="G22" s="159">
        <v>32242188</v>
      </c>
      <c r="H22" s="159">
        <v>6013</v>
      </c>
      <c r="I22" s="269"/>
      <c r="J22" s="224">
        <v>3628</v>
      </c>
      <c r="K22" s="224">
        <v>2177</v>
      </c>
      <c r="L22" s="224">
        <v>208</v>
      </c>
    </row>
    <row r="23" spans="1:12" ht="21" customHeight="1">
      <c r="A23" s="185" t="s">
        <v>377</v>
      </c>
      <c r="B23" s="159">
        <v>54307</v>
      </c>
      <c r="C23" s="159">
        <v>49361351.5</v>
      </c>
      <c r="D23" s="159"/>
      <c r="E23" s="268">
        <v>22615</v>
      </c>
      <c r="F23" s="159">
        <v>1431</v>
      </c>
      <c r="G23" s="224">
        <v>133462999.90000001</v>
      </c>
      <c r="H23" s="159">
        <v>24046</v>
      </c>
      <c r="I23" s="269"/>
      <c r="J23" s="224">
        <v>13465</v>
      </c>
      <c r="K23" s="224">
        <v>9956</v>
      </c>
      <c r="L23" s="224">
        <v>625</v>
      </c>
    </row>
    <row r="24" spans="1:12" ht="13.15" customHeight="1">
      <c r="A24" s="185" t="s">
        <v>379</v>
      </c>
      <c r="B24" s="159">
        <v>30191</v>
      </c>
      <c r="C24" s="159">
        <v>27508270.780000001</v>
      </c>
      <c r="D24" s="159"/>
      <c r="E24" s="268">
        <v>11875</v>
      </c>
      <c r="F24" s="159">
        <v>1742</v>
      </c>
      <c r="G24" s="159">
        <v>92465163.099999994</v>
      </c>
      <c r="H24" s="159">
        <v>13617</v>
      </c>
      <c r="I24" s="269"/>
      <c r="J24" s="224">
        <v>8097</v>
      </c>
      <c r="K24" s="224">
        <v>5057</v>
      </c>
      <c r="L24" s="224">
        <v>463</v>
      </c>
    </row>
    <row r="25" spans="1:12" ht="13.15" customHeight="1">
      <c r="A25" s="185" t="s">
        <v>382</v>
      </c>
      <c r="B25" s="159">
        <v>28130</v>
      </c>
      <c r="C25" s="159">
        <v>25523189.82</v>
      </c>
      <c r="D25" s="159"/>
      <c r="E25" s="268">
        <v>11778</v>
      </c>
      <c r="F25" s="159">
        <v>444</v>
      </c>
      <c r="G25" s="159">
        <v>67016790.600000001</v>
      </c>
      <c r="H25" s="159">
        <v>12222</v>
      </c>
      <c r="I25" s="269"/>
      <c r="J25" s="224">
        <v>6292</v>
      </c>
      <c r="K25" s="224">
        <v>5542</v>
      </c>
      <c r="L25" s="224">
        <v>388</v>
      </c>
    </row>
    <row r="26" spans="1:12" ht="13.15" customHeight="1">
      <c r="A26" s="185" t="s">
        <v>385</v>
      </c>
      <c r="B26" s="159">
        <v>7278</v>
      </c>
      <c r="C26" s="159">
        <v>6606309</v>
      </c>
      <c r="D26" s="159"/>
      <c r="E26" s="268">
        <v>3089</v>
      </c>
      <c r="F26" s="159">
        <v>351</v>
      </c>
      <c r="G26" s="159">
        <v>21660061.100000001</v>
      </c>
      <c r="H26" s="159">
        <v>3440</v>
      </c>
      <c r="I26" s="269"/>
      <c r="J26" s="224">
        <v>2096</v>
      </c>
      <c r="K26" s="224">
        <v>1218</v>
      </c>
      <c r="L26" s="224">
        <v>126</v>
      </c>
    </row>
    <row r="27" spans="1:12" ht="13.15" customHeight="1">
      <c r="A27" s="185" t="s">
        <v>388</v>
      </c>
      <c r="B27" s="159">
        <v>11869</v>
      </c>
      <c r="C27" s="159">
        <v>10792266.67</v>
      </c>
      <c r="D27" s="159"/>
      <c r="E27" s="268">
        <v>4803</v>
      </c>
      <c r="F27" s="159">
        <v>283</v>
      </c>
      <c r="G27" s="159">
        <v>34229457.299999997</v>
      </c>
      <c r="H27" s="159">
        <v>5086</v>
      </c>
      <c r="I27" s="269"/>
      <c r="J27" s="224">
        <v>2886</v>
      </c>
      <c r="K27" s="224">
        <v>2049</v>
      </c>
      <c r="L27" s="224">
        <v>151</v>
      </c>
    </row>
    <row r="28" spans="1:12" ht="21" customHeight="1">
      <c r="A28" s="185" t="s">
        <v>390</v>
      </c>
      <c r="B28" s="159">
        <v>369274</v>
      </c>
      <c r="C28" s="159">
        <v>335111182.70999998</v>
      </c>
      <c r="D28" s="159"/>
      <c r="E28" s="268">
        <v>132267</v>
      </c>
      <c r="F28" s="159">
        <v>27043</v>
      </c>
      <c r="G28" s="159">
        <v>1245715200.6099999</v>
      </c>
      <c r="H28" s="159">
        <v>159310</v>
      </c>
      <c r="I28" s="269"/>
      <c r="J28" s="224">
        <v>89630</v>
      </c>
      <c r="K28" s="224">
        <v>64927</v>
      </c>
      <c r="L28" s="224">
        <v>4753</v>
      </c>
    </row>
    <row r="29" spans="1:12" ht="13.15" customHeight="1">
      <c r="A29" s="185" t="s">
        <v>393</v>
      </c>
      <c r="B29" s="159">
        <v>16602</v>
      </c>
      <c r="C29" s="159">
        <v>15008044.9</v>
      </c>
      <c r="D29" s="159"/>
      <c r="E29" s="268">
        <v>5713</v>
      </c>
      <c r="F29" s="159">
        <v>1510</v>
      </c>
      <c r="G29" s="159">
        <v>65965361</v>
      </c>
      <c r="H29" s="159">
        <v>7223</v>
      </c>
      <c r="I29" s="269"/>
      <c r="J29" s="224">
        <v>3824</v>
      </c>
      <c r="K29" s="224">
        <v>3192</v>
      </c>
      <c r="L29" s="224">
        <v>207</v>
      </c>
    </row>
    <row r="30" spans="1:12" ht="13.15" customHeight="1">
      <c r="A30" s="185" t="s">
        <v>395</v>
      </c>
      <c r="B30" s="159">
        <v>5125</v>
      </c>
      <c r="C30" s="159">
        <v>4654515.37</v>
      </c>
      <c r="D30" s="159"/>
      <c r="E30" s="268">
        <v>2072</v>
      </c>
      <c r="F30" s="159">
        <v>124</v>
      </c>
      <c r="G30" s="159">
        <v>12305562.1</v>
      </c>
      <c r="H30" s="159">
        <v>2196</v>
      </c>
      <c r="I30" s="269"/>
      <c r="J30" s="224">
        <v>1093</v>
      </c>
      <c r="K30" s="224">
        <v>1052</v>
      </c>
      <c r="L30" s="224">
        <v>51</v>
      </c>
    </row>
    <row r="31" spans="1:12" ht="13.15" customHeight="1">
      <c r="A31" s="185" t="s">
        <v>398</v>
      </c>
      <c r="B31" s="159">
        <v>52852</v>
      </c>
      <c r="C31" s="159">
        <v>48067578.109999999</v>
      </c>
      <c r="D31" s="159"/>
      <c r="E31" s="268">
        <v>18740</v>
      </c>
      <c r="F31" s="159">
        <v>3654</v>
      </c>
      <c r="G31" s="159">
        <v>171736565</v>
      </c>
      <c r="H31" s="159">
        <v>22394</v>
      </c>
      <c r="I31" s="269"/>
      <c r="J31" s="224">
        <v>12365</v>
      </c>
      <c r="K31" s="224">
        <v>9413</v>
      </c>
      <c r="L31" s="224">
        <v>616</v>
      </c>
    </row>
    <row r="32" spans="1:12" ht="13.15" customHeight="1">
      <c r="A32" s="185" t="s">
        <v>401</v>
      </c>
      <c r="B32" s="159">
        <v>9236</v>
      </c>
      <c r="C32" s="159">
        <v>8387564.6900000004</v>
      </c>
      <c r="D32" s="159"/>
      <c r="E32" s="268">
        <v>3732</v>
      </c>
      <c r="F32" s="159">
        <v>329</v>
      </c>
      <c r="G32" s="159">
        <v>24218418.100000001</v>
      </c>
      <c r="H32" s="159">
        <v>4061</v>
      </c>
      <c r="I32" s="269"/>
      <c r="J32" s="224">
        <v>2352</v>
      </c>
      <c r="K32" s="224">
        <v>1544</v>
      </c>
      <c r="L32" s="224">
        <v>165</v>
      </c>
    </row>
    <row r="33" spans="1:12" ht="21" customHeight="1">
      <c r="A33" s="185" t="s">
        <v>404</v>
      </c>
      <c r="B33" s="159">
        <v>11271</v>
      </c>
      <c r="C33" s="159">
        <v>10292608.98</v>
      </c>
      <c r="D33" s="159"/>
      <c r="E33" s="268">
        <v>4578</v>
      </c>
      <c r="F33" s="159">
        <v>79</v>
      </c>
      <c r="G33" s="159">
        <v>54937513.5</v>
      </c>
      <c r="H33" s="159">
        <v>4657</v>
      </c>
      <c r="I33" s="269"/>
      <c r="J33" s="224">
        <v>2267</v>
      </c>
      <c r="K33" s="224">
        <v>2281</v>
      </c>
      <c r="L33" s="224">
        <v>109</v>
      </c>
    </row>
    <row r="34" spans="1:12" ht="13.15" customHeight="1">
      <c r="A34" s="185" t="s">
        <v>407</v>
      </c>
      <c r="B34" s="159">
        <v>26867</v>
      </c>
      <c r="C34" s="159">
        <v>24497063.140000001</v>
      </c>
      <c r="D34" s="159"/>
      <c r="E34" s="268">
        <v>10767</v>
      </c>
      <c r="F34" s="159">
        <v>1281</v>
      </c>
      <c r="G34" s="159">
        <v>79913245.900000006</v>
      </c>
      <c r="H34" s="159">
        <v>12048</v>
      </c>
      <c r="I34" s="269"/>
      <c r="J34" s="224">
        <v>7240</v>
      </c>
      <c r="K34" s="224">
        <v>4397</v>
      </c>
      <c r="L34" s="224">
        <v>411</v>
      </c>
    </row>
    <row r="35" spans="1:12" ht="13.15" customHeight="1">
      <c r="A35" s="185" t="s">
        <v>410</v>
      </c>
      <c r="B35" s="159">
        <v>11278</v>
      </c>
      <c r="C35" s="159">
        <v>10229868</v>
      </c>
      <c r="D35" s="159"/>
      <c r="E35" s="268">
        <v>4513</v>
      </c>
      <c r="F35" s="159">
        <v>552</v>
      </c>
      <c r="G35" s="224">
        <v>36161765.899999999</v>
      </c>
      <c r="H35" s="159">
        <v>5065</v>
      </c>
      <c r="I35" s="269"/>
      <c r="J35" s="224">
        <v>3126</v>
      </c>
      <c r="K35" s="224">
        <v>1759</v>
      </c>
      <c r="L35" s="224">
        <v>180</v>
      </c>
    </row>
    <row r="36" spans="1:12" ht="13.15" customHeight="1">
      <c r="A36" s="185" t="s">
        <v>413</v>
      </c>
      <c r="B36" s="159">
        <v>1215046</v>
      </c>
      <c r="C36" s="159">
        <v>1100636293.79</v>
      </c>
      <c r="D36" s="159"/>
      <c r="E36" s="268">
        <v>378174</v>
      </c>
      <c r="F36" s="159">
        <v>162660</v>
      </c>
      <c r="G36" s="159">
        <v>6897461141.8599997</v>
      </c>
      <c r="H36" s="159">
        <v>540834</v>
      </c>
      <c r="I36" s="269"/>
      <c r="J36" s="224">
        <v>297532</v>
      </c>
      <c r="K36" s="224">
        <v>223428</v>
      </c>
      <c r="L36" s="224">
        <v>19874</v>
      </c>
    </row>
    <row r="37" spans="1:12" ht="13.15" customHeight="1">
      <c r="A37" s="185" t="s">
        <v>416</v>
      </c>
      <c r="B37" s="159">
        <v>78625</v>
      </c>
      <c r="C37" s="159">
        <v>71427200.930000007</v>
      </c>
      <c r="D37" s="159"/>
      <c r="E37" s="268">
        <v>24683</v>
      </c>
      <c r="F37" s="159">
        <v>8885</v>
      </c>
      <c r="G37" s="159">
        <v>407989597</v>
      </c>
      <c r="H37" s="159">
        <v>33568</v>
      </c>
      <c r="I37" s="269"/>
      <c r="J37" s="224">
        <v>17650</v>
      </c>
      <c r="K37" s="224">
        <v>14943</v>
      </c>
      <c r="L37" s="224">
        <v>975</v>
      </c>
    </row>
    <row r="38" spans="1:12" ht="21" customHeight="1">
      <c r="A38" s="185" t="s">
        <v>419</v>
      </c>
      <c r="B38" s="159">
        <v>15378</v>
      </c>
      <c r="C38" s="164">
        <v>13939320.76</v>
      </c>
      <c r="D38" s="164"/>
      <c r="E38" s="268">
        <v>6154</v>
      </c>
      <c r="F38" s="159">
        <v>375</v>
      </c>
      <c r="G38" s="164">
        <v>36629565.5</v>
      </c>
      <c r="H38" s="159">
        <v>6529</v>
      </c>
      <c r="I38" s="269"/>
      <c r="J38" s="224">
        <v>3233</v>
      </c>
      <c r="K38" s="224">
        <v>3156</v>
      </c>
      <c r="L38" s="224">
        <v>140</v>
      </c>
    </row>
    <row r="39" spans="1:12" ht="13.15" customHeight="1">
      <c r="A39" s="185" t="s">
        <v>421</v>
      </c>
      <c r="B39" s="159">
        <v>27715</v>
      </c>
      <c r="C39" s="159">
        <v>25056960.670000002</v>
      </c>
      <c r="D39" s="159"/>
      <c r="E39" s="268">
        <v>10510</v>
      </c>
      <c r="F39" s="159">
        <v>1336</v>
      </c>
      <c r="G39" s="159">
        <v>92120064.5</v>
      </c>
      <c r="H39" s="159">
        <v>11846</v>
      </c>
      <c r="I39" s="269"/>
      <c r="J39" s="224">
        <v>6146</v>
      </c>
      <c r="K39" s="224">
        <v>5328</v>
      </c>
      <c r="L39" s="224">
        <v>372</v>
      </c>
    </row>
    <row r="40" spans="1:12" ht="13.15" customHeight="1">
      <c r="A40" s="185" t="s">
        <v>424</v>
      </c>
      <c r="B40" s="159">
        <v>55340</v>
      </c>
      <c r="C40" s="159">
        <v>50039598.280000001</v>
      </c>
      <c r="D40" s="159"/>
      <c r="E40" s="268">
        <v>21419</v>
      </c>
      <c r="F40" s="159">
        <v>1993</v>
      </c>
      <c r="G40" s="159">
        <v>162826741.80000001</v>
      </c>
      <c r="H40" s="159">
        <v>23412</v>
      </c>
      <c r="I40" s="269"/>
      <c r="J40" s="224">
        <v>11978</v>
      </c>
      <c r="K40" s="224">
        <v>10764</v>
      </c>
      <c r="L40" s="224">
        <v>670</v>
      </c>
    </row>
    <row r="41" spans="1:12" ht="13.15" customHeight="1">
      <c r="A41" s="185" t="s">
        <v>426</v>
      </c>
      <c r="B41" s="159">
        <v>97179</v>
      </c>
      <c r="C41" s="159">
        <v>87966464.599999994</v>
      </c>
      <c r="D41" s="159"/>
      <c r="E41" s="268">
        <v>36118</v>
      </c>
      <c r="F41" s="159">
        <v>6021</v>
      </c>
      <c r="G41" s="159">
        <v>313662978.11000001</v>
      </c>
      <c r="H41" s="159">
        <v>42139</v>
      </c>
      <c r="I41" s="269"/>
      <c r="J41" s="224">
        <v>22707</v>
      </c>
      <c r="K41" s="224">
        <v>18178</v>
      </c>
      <c r="L41" s="224">
        <v>1254</v>
      </c>
    </row>
    <row r="42" spans="1:12" ht="13.15" customHeight="1">
      <c r="A42" s="185" t="s">
        <v>429</v>
      </c>
      <c r="B42" s="159">
        <v>16731</v>
      </c>
      <c r="C42" s="159">
        <v>15167560.189999999</v>
      </c>
      <c r="D42" s="159"/>
      <c r="E42" s="268">
        <v>6969</v>
      </c>
      <c r="F42" s="159">
        <v>314</v>
      </c>
      <c r="G42" s="159">
        <v>36960287.509999998</v>
      </c>
      <c r="H42" s="159">
        <v>7283</v>
      </c>
      <c r="I42" s="269"/>
      <c r="J42" s="224">
        <v>3914</v>
      </c>
      <c r="K42" s="224">
        <v>3186</v>
      </c>
      <c r="L42" s="224">
        <v>183</v>
      </c>
    </row>
    <row r="43" spans="1:12" ht="18">
      <c r="A43" s="187" t="s">
        <v>603</v>
      </c>
      <c r="B43" s="159"/>
      <c r="C43" s="159"/>
      <c r="D43" s="159"/>
      <c r="E43" s="159"/>
      <c r="F43" s="159"/>
      <c r="G43" s="159"/>
      <c r="H43" s="159"/>
      <c r="I43" s="159"/>
      <c r="J43" s="224"/>
      <c r="K43" s="224"/>
      <c r="L43" s="224"/>
    </row>
    <row r="44" spans="1:12">
      <c r="A44" s="190" t="str">
        <f>A2</f>
        <v>Exemptions, Standard and Itemized Deductions, and Number of Returns by Filing Status/Locality</v>
      </c>
      <c r="B44" s="159"/>
      <c r="C44" s="159"/>
      <c r="D44" s="159"/>
      <c r="E44" s="159"/>
      <c r="F44" s="159"/>
      <c r="G44" s="159"/>
      <c r="H44" s="159"/>
      <c r="I44" s="159"/>
      <c r="J44" s="224"/>
      <c r="K44" s="224"/>
      <c r="L44" s="224"/>
    </row>
    <row r="45" spans="1:12">
      <c r="A45" s="191" t="str">
        <f>A3</f>
        <v>Taxable Year 2019</v>
      </c>
      <c r="B45" s="159"/>
      <c r="C45" s="159"/>
      <c r="D45" s="159"/>
      <c r="E45" s="159"/>
      <c r="F45" s="159"/>
      <c r="G45" s="159"/>
      <c r="H45" s="159"/>
      <c r="I45" s="159"/>
      <c r="J45" s="224"/>
      <c r="K45" s="224"/>
      <c r="L45" s="224"/>
    </row>
    <row r="46" spans="1:12" ht="13.15" customHeight="1" thickBot="1">
      <c r="B46" s="270">
        <f t="shared" ref="B46:L46" si="0">SUM(B8:B37)</f>
        <v>2660170</v>
      </c>
      <c r="C46" s="270">
        <f t="shared" si="0"/>
        <v>2408558648.0599999</v>
      </c>
      <c r="D46" s="270">
        <f t="shared" si="0"/>
        <v>0</v>
      </c>
      <c r="E46" s="270">
        <f t="shared" si="0"/>
        <v>924351</v>
      </c>
      <c r="F46" s="270">
        <f t="shared" si="0"/>
        <v>268401</v>
      </c>
      <c r="G46" s="270">
        <f t="shared" si="0"/>
        <v>12502990037.360001</v>
      </c>
      <c r="H46" s="270">
        <f t="shared" si="0"/>
        <v>1192752</v>
      </c>
      <c r="I46" s="270">
        <f t="shared" si="0"/>
        <v>0</v>
      </c>
      <c r="J46" s="271">
        <f t="shared" si="0"/>
        <v>671867</v>
      </c>
      <c r="K46" s="271">
        <f t="shared" si="0"/>
        <v>480725</v>
      </c>
      <c r="L46" s="271">
        <f t="shared" si="0"/>
        <v>40160</v>
      </c>
    </row>
    <row r="47" spans="1:12">
      <c r="A47" s="252"/>
      <c r="B47" s="1594" t="s">
        <v>312</v>
      </c>
      <c r="C47" s="1594"/>
      <c r="D47" s="843"/>
      <c r="E47" s="1595" t="s">
        <v>313</v>
      </c>
      <c r="F47" s="1596"/>
      <c r="G47" s="1596"/>
      <c r="H47" s="1596"/>
      <c r="I47" s="254"/>
      <c r="J47" s="255"/>
      <c r="K47" s="256" t="s">
        <v>600</v>
      </c>
      <c r="L47" s="257"/>
    </row>
    <row r="48" spans="1:12" ht="13.15" customHeight="1">
      <c r="A48" s="272"/>
      <c r="B48" s="273"/>
      <c r="C48" s="273"/>
      <c r="D48" s="273"/>
      <c r="E48" s="274"/>
      <c r="F48" s="273"/>
      <c r="G48" s="273"/>
      <c r="H48" s="275" t="s">
        <v>16</v>
      </c>
      <c r="I48" s="276"/>
      <c r="J48" s="277"/>
      <c r="K48" s="265" t="s">
        <v>761</v>
      </c>
      <c r="L48" s="265" t="s">
        <v>761</v>
      </c>
    </row>
    <row r="49" spans="1:12" ht="13.15" customHeight="1">
      <c r="A49" s="480" t="s">
        <v>21</v>
      </c>
      <c r="B49" s="845" t="s">
        <v>601</v>
      </c>
      <c r="C49" s="845" t="s">
        <v>19</v>
      </c>
      <c r="D49" s="845"/>
      <c r="E49" s="266" t="s">
        <v>311</v>
      </c>
      <c r="F49" s="845" t="s">
        <v>310</v>
      </c>
      <c r="G49" s="480" t="s">
        <v>19</v>
      </c>
      <c r="H49" s="845" t="s">
        <v>308</v>
      </c>
      <c r="I49" s="267"/>
      <c r="J49" s="846" t="s">
        <v>602</v>
      </c>
      <c r="K49" s="846" t="s">
        <v>307</v>
      </c>
      <c r="L49" s="847" t="s">
        <v>760</v>
      </c>
    </row>
    <row r="50" spans="1:12" ht="21" customHeight="1">
      <c r="A50" s="185" t="s">
        <v>432</v>
      </c>
      <c r="B50" s="159">
        <v>39458</v>
      </c>
      <c r="C50" s="159">
        <v>35749770.850000001</v>
      </c>
      <c r="D50" s="159"/>
      <c r="E50" s="268">
        <v>15517</v>
      </c>
      <c r="F50" s="159">
        <v>2026</v>
      </c>
      <c r="G50" s="159">
        <v>116639621.40000001</v>
      </c>
      <c r="H50" s="159">
        <v>17543</v>
      </c>
      <c r="I50" s="269"/>
      <c r="J50" s="224">
        <v>9384</v>
      </c>
      <c r="K50" s="224">
        <v>7630</v>
      </c>
      <c r="L50" s="224">
        <v>529</v>
      </c>
    </row>
    <row r="51" spans="1:12" ht="13.15" customHeight="1">
      <c r="A51" s="185" t="s">
        <v>434</v>
      </c>
      <c r="B51" s="159">
        <v>26923</v>
      </c>
      <c r="C51" s="159">
        <v>24276328.059999999</v>
      </c>
      <c r="D51" s="159"/>
      <c r="E51" s="268">
        <v>8557</v>
      </c>
      <c r="F51" s="159">
        <v>2693</v>
      </c>
      <c r="G51" s="159">
        <v>142950730.69999999</v>
      </c>
      <c r="H51" s="159">
        <v>11250</v>
      </c>
      <c r="I51" s="269"/>
      <c r="J51" s="224">
        <v>5292</v>
      </c>
      <c r="K51" s="224">
        <v>5640</v>
      </c>
      <c r="L51" s="224">
        <v>318</v>
      </c>
    </row>
    <row r="52" spans="1:12" ht="13.15" customHeight="1">
      <c r="A52" s="185" t="s">
        <v>436</v>
      </c>
      <c r="B52" s="159">
        <v>14761</v>
      </c>
      <c r="C52" s="159">
        <v>13372500.390000001</v>
      </c>
      <c r="D52" s="159"/>
      <c r="E52" s="268">
        <v>6177</v>
      </c>
      <c r="F52" s="159">
        <v>280</v>
      </c>
      <c r="G52" s="159">
        <v>36344205</v>
      </c>
      <c r="H52" s="159">
        <v>6457</v>
      </c>
      <c r="I52" s="269"/>
      <c r="J52" s="224">
        <v>3287</v>
      </c>
      <c r="K52" s="224">
        <v>2962</v>
      </c>
      <c r="L52" s="224">
        <v>208</v>
      </c>
    </row>
    <row r="53" spans="1:12" ht="13.15" customHeight="1">
      <c r="A53" s="185" t="s">
        <v>439</v>
      </c>
      <c r="B53" s="159">
        <v>20359</v>
      </c>
      <c r="C53" s="159">
        <v>18467311.969999999</v>
      </c>
      <c r="D53" s="159"/>
      <c r="E53" s="268">
        <v>7800</v>
      </c>
      <c r="F53" s="159">
        <v>955</v>
      </c>
      <c r="G53" s="159">
        <v>56227626.600000001</v>
      </c>
      <c r="H53" s="159">
        <v>8755</v>
      </c>
      <c r="I53" s="269"/>
      <c r="J53" s="224">
        <v>4655</v>
      </c>
      <c r="K53" s="224">
        <v>3835</v>
      </c>
      <c r="L53" s="224">
        <v>265</v>
      </c>
    </row>
    <row r="54" spans="1:12" ht="13.15" customHeight="1">
      <c r="A54" s="185" t="s">
        <v>442</v>
      </c>
      <c r="B54" s="159">
        <v>11416</v>
      </c>
      <c r="C54" s="159">
        <v>10434997.73</v>
      </c>
      <c r="D54" s="159"/>
      <c r="E54" s="268">
        <v>4633</v>
      </c>
      <c r="F54" s="159">
        <v>505</v>
      </c>
      <c r="G54" s="159">
        <v>33480993.800000001</v>
      </c>
      <c r="H54" s="159">
        <v>5138</v>
      </c>
      <c r="I54" s="269"/>
      <c r="J54" s="224">
        <v>3441</v>
      </c>
      <c r="K54" s="224">
        <v>1449</v>
      </c>
      <c r="L54" s="224">
        <v>248</v>
      </c>
    </row>
    <row r="55" spans="1:12" ht="21" customHeight="1">
      <c r="A55" s="185" t="s">
        <v>318</v>
      </c>
      <c r="B55" s="159">
        <v>33215</v>
      </c>
      <c r="C55" s="159">
        <v>30203513.969999999</v>
      </c>
      <c r="D55" s="159"/>
      <c r="E55" s="268">
        <v>13819</v>
      </c>
      <c r="F55" s="159">
        <v>805</v>
      </c>
      <c r="G55" s="159">
        <v>78372711.299999997</v>
      </c>
      <c r="H55" s="159">
        <v>14624</v>
      </c>
      <c r="I55" s="269"/>
      <c r="J55" s="224">
        <v>8843</v>
      </c>
      <c r="K55" s="224">
        <v>5255</v>
      </c>
      <c r="L55" s="224">
        <v>526</v>
      </c>
    </row>
    <row r="56" spans="1:12" ht="13.15" customHeight="1">
      <c r="A56" s="185" t="s">
        <v>322</v>
      </c>
      <c r="B56" s="159">
        <v>119815</v>
      </c>
      <c r="C56" s="159">
        <v>108891389.62</v>
      </c>
      <c r="D56" s="159"/>
      <c r="E56" s="268">
        <v>42240</v>
      </c>
      <c r="F56" s="159">
        <v>8881</v>
      </c>
      <c r="G56" s="224">
        <v>415867098</v>
      </c>
      <c r="H56" s="159">
        <v>51121</v>
      </c>
      <c r="I56" s="269"/>
      <c r="J56" s="224">
        <v>26527</v>
      </c>
      <c r="K56" s="224">
        <v>23305</v>
      </c>
      <c r="L56" s="224">
        <v>1289</v>
      </c>
    </row>
    <row r="57" spans="1:12" ht="13.15" customHeight="1">
      <c r="A57" s="185" t="s">
        <v>326</v>
      </c>
      <c r="B57" s="159">
        <v>337716</v>
      </c>
      <c r="C57" s="159">
        <v>306383797.81999999</v>
      </c>
      <c r="D57" s="159"/>
      <c r="E57" s="268">
        <v>129816</v>
      </c>
      <c r="F57" s="159">
        <v>25156</v>
      </c>
      <c r="G57" s="159">
        <v>1228322587.5</v>
      </c>
      <c r="H57" s="159">
        <v>154972</v>
      </c>
      <c r="I57" s="269"/>
      <c r="J57" s="224">
        <v>96458</v>
      </c>
      <c r="K57" s="224">
        <v>53792</v>
      </c>
      <c r="L57" s="224">
        <v>4722</v>
      </c>
    </row>
    <row r="58" spans="1:12" ht="13.15" customHeight="1">
      <c r="A58" s="185" t="s">
        <v>330</v>
      </c>
      <c r="B58" s="159">
        <v>50114</v>
      </c>
      <c r="C58" s="159">
        <v>45604786.130000003</v>
      </c>
      <c r="D58" s="159"/>
      <c r="E58" s="268">
        <v>21226</v>
      </c>
      <c r="F58" s="159">
        <v>1024</v>
      </c>
      <c r="G58" s="159">
        <v>118777458.2</v>
      </c>
      <c r="H58" s="159">
        <v>22250</v>
      </c>
      <c r="I58" s="269"/>
      <c r="J58" s="224">
        <v>13277</v>
      </c>
      <c r="K58" s="224">
        <v>8249</v>
      </c>
      <c r="L58" s="224">
        <v>724</v>
      </c>
    </row>
    <row r="59" spans="1:12" ht="13.15" customHeight="1">
      <c r="A59" s="185" t="s">
        <v>334</v>
      </c>
      <c r="B59" s="159">
        <v>2533</v>
      </c>
      <c r="C59" s="159">
        <v>2271650.14</v>
      </c>
      <c r="D59" s="159"/>
      <c r="E59" s="268">
        <v>956</v>
      </c>
      <c r="F59" s="159">
        <v>75</v>
      </c>
      <c r="G59" s="159">
        <v>7374115.5999999996</v>
      </c>
      <c r="H59" s="159">
        <v>1031</v>
      </c>
      <c r="I59" s="269"/>
      <c r="J59" s="224">
        <v>463</v>
      </c>
      <c r="K59" s="224">
        <v>547</v>
      </c>
      <c r="L59" s="278">
        <v>21</v>
      </c>
    </row>
    <row r="60" spans="1:12" ht="21" customHeight="1">
      <c r="A60" s="185" t="s">
        <v>338</v>
      </c>
      <c r="B60" s="159">
        <v>39533</v>
      </c>
      <c r="C60" s="159">
        <v>35825748.799999997</v>
      </c>
      <c r="D60" s="159"/>
      <c r="E60" s="268">
        <v>14013</v>
      </c>
      <c r="F60" s="159">
        <v>3016</v>
      </c>
      <c r="G60" s="159">
        <v>136911004.80000001</v>
      </c>
      <c r="H60" s="159">
        <v>17029</v>
      </c>
      <c r="I60" s="269"/>
      <c r="J60" s="224">
        <v>8863</v>
      </c>
      <c r="K60" s="224">
        <v>7555</v>
      </c>
      <c r="L60" s="224">
        <v>611</v>
      </c>
    </row>
    <row r="61" spans="1:12" ht="13.15" customHeight="1">
      <c r="A61" s="185" t="s">
        <v>342</v>
      </c>
      <c r="B61" s="159">
        <v>88619</v>
      </c>
      <c r="C61" s="159">
        <v>79152798.200000003</v>
      </c>
      <c r="D61" s="159"/>
      <c r="E61" s="268">
        <v>28376</v>
      </c>
      <c r="F61" s="159">
        <v>7818</v>
      </c>
      <c r="G61" s="159">
        <v>363829811.30000001</v>
      </c>
      <c r="H61" s="159">
        <v>36194</v>
      </c>
      <c r="I61" s="269"/>
      <c r="J61" s="224">
        <v>18147</v>
      </c>
      <c r="K61" s="224">
        <v>16920</v>
      </c>
      <c r="L61" s="224">
        <v>1127</v>
      </c>
    </row>
    <row r="62" spans="1:12" ht="13.15" customHeight="1">
      <c r="A62" s="185" t="s">
        <v>346</v>
      </c>
      <c r="B62" s="159">
        <v>7078</v>
      </c>
      <c r="C62" s="159">
        <v>6430696</v>
      </c>
      <c r="D62" s="159"/>
      <c r="E62" s="268">
        <v>2925</v>
      </c>
      <c r="F62" s="159">
        <v>270</v>
      </c>
      <c r="G62" s="159">
        <v>19377297.300000001</v>
      </c>
      <c r="H62" s="159">
        <v>3195</v>
      </c>
      <c r="I62" s="269"/>
      <c r="J62" s="224">
        <v>1852</v>
      </c>
      <c r="K62" s="224">
        <v>1236</v>
      </c>
      <c r="L62" s="224">
        <v>107</v>
      </c>
    </row>
    <row r="63" spans="1:12" ht="13.15" customHeight="1">
      <c r="A63" s="185" t="s">
        <v>350</v>
      </c>
      <c r="B63" s="159">
        <v>27443</v>
      </c>
      <c r="C63" s="159">
        <v>24882736.260000002</v>
      </c>
      <c r="D63" s="159"/>
      <c r="E63" s="268">
        <v>9430</v>
      </c>
      <c r="F63" s="159">
        <v>2304</v>
      </c>
      <c r="G63" s="159">
        <v>93572642.200000003</v>
      </c>
      <c r="H63" s="159">
        <v>11734</v>
      </c>
      <c r="I63" s="269"/>
      <c r="J63" s="224">
        <v>6161</v>
      </c>
      <c r="K63" s="224">
        <v>5054</v>
      </c>
      <c r="L63" s="224">
        <v>519</v>
      </c>
    </row>
    <row r="64" spans="1:12" ht="13.15" customHeight="1">
      <c r="A64" s="185" t="s">
        <v>354</v>
      </c>
      <c r="B64" s="159">
        <v>18343</v>
      </c>
      <c r="C64" s="159">
        <v>16746060.85</v>
      </c>
      <c r="D64" s="159"/>
      <c r="E64" s="268">
        <v>7202</v>
      </c>
      <c r="F64" s="159">
        <v>846</v>
      </c>
      <c r="G64" s="159">
        <v>60000620.299999997</v>
      </c>
      <c r="H64" s="159">
        <v>8048</v>
      </c>
      <c r="I64" s="269"/>
      <c r="J64" s="224">
        <v>4297</v>
      </c>
      <c r="K64" s="224">
        <v>3471</v>
      </c>
      <c r="L64" s="224">
        <v>280</v>
      </c>
    </row>
    <row r="65" spans="1:12" ht="21" customHeight="1">
      <c r="A65" s="185" t="s">
        <v>358</v>
      </c>
      <c r="B65" s="159">
        <v>12806</v>
      </c>
      <c r="C65" s="159">
        <v>11443890.640000001</v>
      </c>
      <c r="D65" s="159"/>
      <c r="E65" s="268">
        <v>4319</v>
      </c>
      <c r="F65" s="159">
        <v>1027</v>
      </c>
      <c r="G65" s="159">
        <v>58534625.799999997</v>
      </c>
      <c r="H65" s="159">
        <v>5346</v>
      </c>
      <c r="I65" s="269"/>
      <c r="J65" s="224">
        <v>3054</v>
      </c>
      <c r="K65" s="224">
        <v>2142</v>
      </c>
      <c r="L65" s="224">
        <v>150</v>
      </c>
    </row>
    <row r="66" spans="1:12" ht="13.15" customHeight="1">
      <c r="A66" s="185" t="s">
        <v>362</v>
      </c>
      <c r="B66" s="159">
        <v>18126</v>
      </c>
      <c r="C66" s="159">
        <v>16509553.92</v>
      </c>
      <c r="D66" s="159"/>
      <c r="E66" s="268">
        <v>7458</v>
      </c>
      <c r="F66" s="159">
        <v>203</v>
      </c>
      <c r="G66" s="159">
        <v>40832924.100000001</v>
      </c>
      <c r="H66" s="159">
        <v>7661</v>
      </c>
      <c r="I66" s="269"/>
      <c r="J66" s="224">
        <v>3997</v>
      </c>
      <c r="K66" s="224">
        <v>3434</v>
      </c>
      <c r="L66" s="224">
        <v>230</v>
      </c>
    </row>
    <row r="67" spans="1:12" ht="13.15" customHeight="1">
      <c r="A67" s="185" t="s">
        <v>366</v>
      </c>
      <c r="B67" s="159">
        <v>446566</v>
      </c>
      <c r="C67" s="159">
        <v>406779769.85000002</v>
      </c>
      <c r="D67" s="159"/>
      <c r="E67" s="268">
        <v>118497</v>
      </c>
      <c r="F67" s="159">
        <v>64848</v>
      </c>
      <c r="G67" s="159">
        <v>2470104691.1399999</v>
      </c>
      <c r="H67" s="159">
        <v>183345</v>
      </c>
      <c r="I67" s="269"/>
      <c r="J67" s="224">
        <v>89179</v>
      </c>
      <c r="K67" s="224">
        <v>88316</v>
      </c>
      <c r="L67" s="224">
        <v>5850</v>
      </c>
    </row>
    <row r="68" spans="1:12" ht="13.15" customHeight="1">
      <c r="A68" s="185" t="s">
        <v>370</v>
      </c>
      <c r="B68" s="159">
        <v>36800</v>
      </c>
      <c r="C68" s="159">
        <v>33387058.190000001</v>
      </c>
      <c r="D68" s="159"/>
      <c r="E68" s="268">
        <v>14152</v>
      </c>
      <c r="F68" s="159">
        <v>1929</v>
      </c>
      <c r="G68" s="159">
        <v>123720038.5</v>
      </c>
      <c r="H68" s="159">
        <v>16081</v>
      </c>
      <c r="I68" s="269"/>
      <c r="J68" s="224">
        <v>8644</v>
      </c>
      <c r="K68" s="224">
        <v>6933</v>
      </c>
      <c r="L68" s="224">
        <v>504</v>
      </c>
    </row>
    <row r="69" spans="1:12" ht="13.15" customHeight="1">
      <c r="A69" s="185" t="s">
        <v>374</v>
      </c>
      <c r="B69" s="159">
        <v>10267</v>
      </c>
      <c r="C69" s="159">
        <v>9302261.5600000005</v>
      </c>
      <c r="D69" s="159"/>
      <c r="E69" s="268">
        <v>4184</v>
      </c>
      <c r="F69" s="159">
        <v>260</v>
      </c>
      <c r="G69" s="159">
        <v>25501031</v>
      </c>
      <c r="H69" s="159">
        <v>4444</v>
      </c>
      <c r="I69" s="269"/>
      <c r="J69" s="224">
        <v>2648</v>
      </c>
      <c r="K69" s="224">
        <v>1663</v>
      </c>
      <c r="L69" s="224">
        <v>133</v>
      </c>
    </row>
    <row r="70" spans="1:12" ht="21" customHeight="1">
      <c r="A70" s="185" t="s">
        <v>378</v>
      </c>
      <c r="B70" s="159">
        <v>13562</v>
      </c>
      <c r="C70" s="159">
        <v>12282923.439999999</v>
      </c>
      <c r="D70" s="159"/>
      <c r="E70" s="268">
        <v>5137</v>
      </c>
      <c r="F70" s="159">
        <v>633</v>
      </c>
      <c r="G70" s="159">
        <v>40187564</v>
      </c>
      <c r="H70" s="159">
        <v>5770</v>
      </c>
      <c r="I70" s="269"/>
      <c r="J70" s="224">
        <v>2989</v>
      </c>
      <c r="K70" s="224">
        <v>2644</v>
      </c>
      <c r="L70" s="224">
        <v>137</v>
      </c>
    </row>
    <row r="71" spans="1:12" ht="13.15" customHeight="1">
      <c r="A71" s="185" t="s">
        <v>380</v>
      </c>
      <c r="B71" s="159">
        <v>9708</v>
      </c>
      <c r="C71" s="159">
        <v>8724192.9499999993</v>
      </c>
      <c r="D71" s="159"/>
      <c r="E71" s="268">
        <v>3571</v>
      </c>
      <c r="F71" s="159">
        <v>500</v>
      </c>
      <c r="G71" s="159">
        <v>31657053.600000001</v>
      </c>
      <c r="H71" s="159">
        <v>4071</v>
      </c>
      <c r="I71" s="269"/>
      <c r="J71" s="224">
        <v>2058</v>
      </c>
      <c r="K71" s="224">
        <v>1898</v>
      </c>
      <c r="L71" s="224">
        <v>115</v>
      </c>
    </row>
    <row r="72" spans="1:12" ht="13.15" customHeight="1">
      <c r="A72" s="185" t="s">
        <v>383</v>
      </c>
      <c r="B72" s="159">
        <v>31557</v>
      </c>
      <c r="C72" s="159">
        <v>28585126.66</v>
      </c>
      <c r="D72" s="159"/>
      <c r="E72" s="268">
        <v>12656</v>
      </c>
      <c r="F72" s="159">
        <v>1090</v>
      </c>
      <c r="G72" s="159">
        <v>81252600.5</v>
      </c>
      <c r="H72" s="159">
        <v>13746</v>
      </c>
      <c r="I72" s="269"/>
      <c r="J72" s="224">
        <v>8254</v>
      </c>
      <c r="K72" s="224">
        <v>5021</v>
      </c>
      <c r="L72" s="224">
        <v>471</v>
      </c>
    </row>
    <row r="73" spans="1:12" ht="13.15" customHeight="1">
      <c r="A73" s="185" t="s">
        <v>386</v>
      </c>
      <c r="B73" s="159">
        <v>11457</v>
      </c>
      <c r="C73" s="159">
        <v>10308751.02</v>
      </c>
      <c r="D73" s="159"/>
      <c r="E73" s="268">
        <v>4319</v>
      </c>
      <c r="F73" s="159">
        <v>602</v>
      </c>
      <c r="G73" s="224">
        <v>38088369.299999997</v>
      </c>
      <c r="H73" s="159">
        <v>4921</v>
      </c>
      <c r="I73" s="269"/>
      <c r="J73" s="224">
        <v>2713</v>
      </c>
      <c r="K73" s="224">
        <v>2085</v>
      </c>
      <c r="L73" s="224">
        <v>123</v>
      </c>
    </row>
    <row r="74" spans="1:12" ht="13.15" customHeight="1">
      <c r="A74" s="185" t="s">
        <v>389</v>
      </c>
      <c r="B74" s="159">
        <v>79172</v>
      </c>
      <c r="C74" s="159">
        <v>71489016.370000005</v>
      </c>
      <c r="D74" s="159"/>
      <c r="E74" s="268">
        <v>33522</v>
      </c>
      <c r="F74" s="159">
        <v>4395</v>
      </c>
      <c r="G74" s="159">
        <v>239978301.22</v>
      </c>
      <c r="H74" s="159">
        <v>37917</v>
      </c>
      <c r="I74" s="269"/>
      <c r="J74" s="224">
        <v>22432</v>
      </c>
      <c r="K74" s="224">
        <v>14242</v>
      </c>
      <c r="L74" s="224">
        <v>1243</v>
      </c>
    </row>
    <row r="75" spans="1:12" ht="21" customHeight="1">
      <c r="A75" s="185" t="s">
        <v>391</v>
      </c>
      <c r="B75" s="159">
        <v>16614</v>
      </c>
      <c r="C75" s="164">
        <v>14974507.890000001</v>
      </c>
      <c r="D75" s="164"/>
      <c r="E75" s="268">
        <v>6419</v>
      </c>
      <c r="F75" s="159">
        <v>776</v>
      </c>
      <c r="G75" s="164">
        <v>49300472.700000003</v>
      </c>
      <c r="H75" s="159">
        <v>7195</v>
      </c>
      <c r="I75" s="269"/>
      <c r="J75" s="224">
        <v>3919</v>
      </c>
      <c r="K75" s="224">
        <v>3083</v>
      </c>
      <c r="L75" s="224">
        <v>193</v>
      </c>
    </row>
    <row r="76" spans="1:12" ht="13.15" customHeight="1">
      <c r="A76" s="185" t="s">
        <v>394</v>
      </c>
      <c r="B76" s="159">
        <v>24413</v>
      </c>
      <c r="C76" s="159">
        <v>22114297.93</v>
      </c>
      <c r="D76" s="159"/>
      <c r="E76" s="268">
        <v>8510</v>
      </c>
      <c r="F76" s="159">
        <v>1791</v>
      </c>
      <c r="G76" s="159">
        <v>88885308.599999994</v>
      </c>
      <c r="H76" s="159">
        <v>10301</v>
      </c>
      <c r="I76" s="269"/>
      <c r="J76" s="224">
        <v>4861</v>
      </c>
      <c r="K76" s="224">
        <v>5104</v>
      </c>
      <c r="L76" s="224">
        <v>336</v>
      </c>
    </row>
    <row r="77" spans="1:12" ht="13.15" customHeight="1">
      <c r="A77" s="185" t="s">
        <v>396</v>
      </c>
      <c r="B77" s="159">
        <v>12655</v>
      </c>
      <c r="C77" s="159">
        <v>11348404.85</v>
      </c>
      <c r="D77" s="159"/>
      <c r="E77" s="268">
        <v>5045</v>
      </c>
      <c r="F77" s="159">
        <v>600</v>
      </c>
      <c r="G77" s="159">
        <v>42837500.299999997</v>
      </c>
      <c r="H77" s="159">
        <v>5645</v>
      </c>
      <c r="I77" s="269"/>
      <c r="J77" s="224">
        <v>3570</v>
      </c>
      <c r="K77" s="224">
        <v>1925</v>
      </c>
      <c r="L77" s="224">
        <v>150</v>
      </c>
    </row>
    <row r="78" spans="1:12" ht="13.15" customHeight="1">
      <c r="A78" s="185" t="s">
        <v>399</v>
      </c>
      <c r="B78" s="159">
        <v>14214</v>
      </c>
      <c r="C78" s="159">
        <v>12678694.76</v>
      </c>
      <c r="D78" s="159"/>
      <c r="E78" s="268">
        <v>4839</v>
      </c>
      <c r="F78" s="159">
        <v>880</v>
      </c>
      <c r="G78" s="159">
        <v>46321041.899999999</v>
      </c>
      <c r="H78" s="159">
        <v>5719</v>
      </c>
      <c r="I78" s="269"/>
      <c r="J78" s="224">
        <v>3019</v>
      </c>
      <c r="K78" s="224">
        <v>2513</v>
      </c>
      <c r="L78" s="224">
        <v>187</v>
      </c>
    </row>
    <row r="79" spans="1:12" ht="13.15" customHeight="1">
      <c r="A79" s="185" t="s">
        <v>402</v>
      </c>
      <c r="B79" s="159">
        <v>13050</v>
      </c>
      <c r="C79" s="159">
        <v>11881729</v>
      </c>
      <c r="D79" s="159"/>
      <c r="E79" s="268">
        <v>5338</v>
      </c>
      <c r="F79" s="159">
        <v>381</v>
      </c>
      <c r="G79" s="159">
        <v>34970677.700000003</v>
      </c>
      <c r="H79" s="159">
        <v>5719</v>
      </c>
      <c r="I79" s="269"/>
      <c r="J79" s="224">
        <v>3578</v>
      </c>
      <c r="K79" s="224">
        <v>1982</v>
      </c>
      <c r="L79" s="224">
        <v>159</v>
      </c>
    </row>
    <row r="80" spans="1:12" ht="21" customHeight="1">
      <c r="A80" s="185" t="s">
        <v>405</v>
      </c>
      <c r="B80" s="159">
        <v>39121</v>
      </c>
      <c r="C80" s="159">
        <v>35389574.530000001</v>
      </c>
      <c r="D80" s="159"/>
      <c r="E80" s="268">
        <v>14568</v>
      </c>
      <c r="F80" s="159">
        <v>2312</v>
      </c>
      <c r="G80" s="159">
        <v>130874234.59999999</v>
      </c>
      <c r="H80" s="159">
        <v>16880</v>
      </c>
      <c r="I80" s="269"/>
      <c r="J80" s="224">
        <v>9208</v>
      </c>
      <c r="K80" s="224">
        <v>7159</v>
      </c>
      <c r="L80" s="224">
        <v>513</v>
      </c>
    </row>
    <row r="81" spans="1:12" ht="13.15" customHeight="1">
      <c r="A81" s="185" t="s">
        <v>408</v>
      </c>
      <c r="B81" s="159">
        <v>24054</v>
      </c>
      <c r="C81" s="159">
        <v>21860436.66</v>
      </c>
      <c r="D81" s="159"/>
      <c r="E81" s="268">
        <v>10047</v>
      </c>
      <c r="F81" s="159">
        <v>654</v>
      </c>
      <c r="G81" s="159">
        <v>60042890.600000001</v>
      </c>
      <c r="H81" s="159">
        <v>10701</v>
      </c>
      <c r="I81" s="269"/>
      <c r="J81" s="224">
        <v>6063</v>
      </c>
      <c r="K81" s="224">
        <v>4413</v>
      </c>
      <c r="L81" s="224">
        <v>225</v>
      </c>
    </row>
    <row r="82" spans="1:12" ht="13.15" customHeight="1">
      <c r="A82" s="185" t="s">
        <v>411</v>
      </c>
      <c r="B82" s="159">
        <v>16124</v>
      </c>
      <c r="C82" s="159">
        <v>14629187.15</v>
      </c>
      <c r="D82" s="159"/>
      <c r="E82" s="268">
        <v>6673</v>
      </c>
      <c r="F82" s="159">
        <v>299</v>
      </c>
      <c r="G82" s="159">
        <v>37296315.299999997</v>
      </c>
      <c r="H82" s="159">
        <v>6972</v>
      </c>
      <c r="I82" s="269"/>
      <c r="J82" s="224">
        <v>3654</v>
      </c>
      <c r="K82" s="224">
        <v>3138</v>
      </c>
      <c r="L82" s="224">
        <v>180</v>
      </c>
    </row>
    <row r="83" spans="1:12" ht="13.15" customHeight="1">
      <c r="A83" s="185" t="s">
        <v>414</v>
      </c>
      <c r="B83" s="159">
        <v>60443</v>
      </c>
      <c r="C83" s="159">
        <v>54953643.810000002</v>
      </c>
      <c r="D83" s="159"/>
      <c r="E83" s="268">
        <v>24648</v>
      </c>
      <c r="F83" s="159">
        <v>1670</v>
      </c>
      <c r="G83" s="159">
        <v>156162606</v>
      </c>
      <c r="H83" s="159">
        <v>26318</v>
      </c>
      <c r="I83" s="269"/>
      <c r="J83" s="224">
        <v>14646</v>
      </c>
      <c r="K83" s="224">
        <v>10836</v>
      </c>
      <c r="L83" s="224">
        <v>836</v>
      </c>
    </row>
    <row r="84" spans="1:12" ht="13.15" customHeight="1">
      <c r="A84" s="185" t="s">
        <v>417</v>
      </c>
      <c r="B84" s="159">
        <v>32384</v>
      </c>
      <c r="C84" s="159">
        <v>29375841.809999999</v>
      </c>
      <c r="D84" s="159"/>
      <c r="E84" s="268">
        <v>10898</v>
      </c>
      <c r="F84" s="159">
        <v>2448</v>
      </c>
      <c r="G84" s="159">
        <v>112900652.40000001</v>
      </c>
      <c r="H84" s="159">
        <v>13346</v>
      </c>
      <c r="I84" s="269"/>
      <c r="J84" s="224">
        <v>6198</v>
      </c>
      <c r="K84" s="224">
        <v>6788</v>
      </c>
      <c r="L84" s="224">
        <v>360</v>
      </c>
    </row>
    <row r="85" spans="1:12" ht="18">
      <c r="A85" s="187" t="s">
        <v>603</v>
      </c>
      <c r="B85" s="159"/>
      <c r="C85" s="159"/>
      <c r="D85" s="159"/>
      <c r="E85" s="159"/>
      <c r="F85" s="159"/>
      <c r="G85" s="159"/>
      <c r="H85" s="159"/>
      <c r="I85" s="159"/>
      <c r="J85" s="224"/>
      <c r="K85" s="224"/>
      <c r="L85" s="224"/>
    </row>
    <row r="86" spans="1:12">
      <c r="A86" s="190" t="str">
        <f>A44</f>
        <v>Exemptions, Standard and Itemized Deductions, and Number of Returns by Filing Status/Locality</v>
      </c>
      <c r="B86" s="159"/>
      <c r="C86" s="159"/>
      <c r="D86" s="159"/>
      <c r="E86" s="159"/>
      <c r="F86" s="159"/>
      <c r="G86" s="159"/>
      <c r="H86" s="159"/>
      <c r="I86" s="159"/>
      <c r="J86" s="224"/>
      <c r="K86" s="224"/>
      <c r="L86" s="224"/>
    </row>
    <row r="87" spans="1:12">
      <c r="A87" s="191" t="str">
        <f>A45</f>
        <v>Taxable Year 2019</v>
      </c>
      <c r="B87" s="159"/>
      <c r="C87" s="159"/>
      <c r="D87" s="159"/>
      <c r="E87" s="159"/>
      <c r="F87" s="159"/>
      <c r="G87" s="159"/>
      <c r="H87" s="159"/>
      <c r="I87" s="159"/>
      <c r="J87" s="271"/>
      <c r="K87" s="271"/>
      <c r="L87" s="271"/>
    </row>
    <row r="88" spans="1:12" ht="13.15" customHeight="1" thickBot="1">
      <c r="A88" s="199"/>
      <c r="B88" s="270">
        <f t="shared" ref="B88:L88" si="1">SUM(B38:B74)</f>
        <v>4379860</v>
      </c>
      <c r="C88" s="270">
        <f t="shared" si="1"/>
        <v>3968235183.9499989</v>
      </c>
      <c r="D88" s="270">
        <f t="shared" si="1"/>
        <v>0</v>
      </c>
      <c r="E88" s="270">
        <f t="shared" si="1"/>
        <v>1526023</v>
      </c>
      <c r="F88" s="270">
        <f t="shared" si="1"/>
        <v>410581</v>
      </c>
      <c r="G88" s="270">
        <f t="shared" si="1"/>
        <v>19203095397.939999</v>
      </c>
      <c r="H88" s="270">
        <f t="shared" si="1"/>
        <v>1936604</v>
      </c>
      <c r="I88" s="270">
        <f t="shared" si="1"/>
        <v>0</v>
      </c>
      <c r="J88" s="271">
        <f t="shared" si="1"/>
        <v>1076760</v>
      </c>
      <c r="K88" s="271">
        <f t="shared" si="1"/>
        <v>796615</v>
      </c>
      <c r="L88" s="271">
        <f t="shared" si="1"/>
        <v>63229</v>
      </c>
    </row>
    <row r="89" spans="1:12">
      <c r="A89" s="252"/>
      <c r="B89" s="1594" t="s">
        <v>312</v>
      </c>
      <c r="C89" s="1594"/>
      <c r="D89" s="843"/>
      <c r="E89" s="1595" t="s">
        <v>313</v>
      </c>
      <c r="F89" s="1596"/>
      <c r="G89" s="1596"/>
      <c r="H89" s="1596"/>
      <c r="I89" s="254"/>
      <c r="J89" s="255"/>
      <c r="K89" s="256" t="s">
        <v>600</v>
      </c>
      <c r="L89" s="257"/>
    </row>
    <row r="90" spans="1:12" ht="13.15" customHeight="1">
      <c r="A90" s="272"/>
      <c r="B90" s="273"/>
      <c r="C90" s="273"/>
      <c r="D90" s="273"/>
      <c r="E90" s="274"/>
      <c r="F90" s="273"/>
      <c r="G90" s="273"/>
      <c r="H90" s="275" t="s">
        <v>16</v>
      </c>
      <c r="I90" s="276"/>
      <c r="J90" s="277"/>
      <c r="K90" s="265" t="s">
        <v>761</v>
      </c>
      <c r="L90" s="265" t="s">
        <v>761</v>
      </c>
    </row>
    <row r="91" spans="1:12" ht="13.15" customHeight="1">
      <c r="A91" s="480" t="s">
        <v>21</v>
      </c>
      <c r="B91" s="845" t="s">
        <v>601</v>
      </c>
      <c r="C91" s="845" t="s">
        <v>19</v>
      </c>
      <c r="D91" s="845"/>
      <c r="E91" s="266" t="s">
        <v>311</v>
      </c>
      <c r="F91" s="845" t="s">
        <v>310</v>
      </c>
      <c r="G91" s="845" t="s">
        <v>19</v>
      </c>
      <c r="H91" s="845" t="s">
        <v>308</v>
      </c>
      <c r="I91" s="267"/>
      <c r="J91" s="846" t="s">
        <v>602</v>
      </c>
      <c r="K91" s="846" t="s">
        <v>307</v>
      </c>
      <c r="L91" s="847" t="s">
        <v>760</v>
      </c>
    </row>
    <row r="92" spans="1:12" ht="21" customHeight="1">
      <c r="A92" s="185" t="s">
        <v>420</v>
      </c>
      <c r="B92" s="159">
        <v>17040</v>
      </c>
      <c r="C92" s="159">
        <v>15431108.710000001</v>
      </c>
      <c r="D92" s="159"/>
      <c r="E92" s="268">
        <v>7104</v>
      </c>
      <c r="F92" s="159">
        <v>608</v>
      </c>
      <c r="G92" s="159">
        <v>44837635.600000001</v>
      </c>
      <c r="H92" s="159">
        <v>7712</v>
      </c>
      <c r="I92" s="269"/>
      <c r="J92" s="224">
        <v>4841</v>
      </c>
      <c r="K92" s="224">
        <v>2617</v>
      </c>
      <c r="L92" s="224">
        <v>254</v>
      </c>
    </row>
    <row r="93" spans="1:12" ht="13.15" customHeight="1">
      <c r="A93" s="185" t="s">
        <v>422</v>
      </c>
      <c r="B93" s="159">
        <v>32484</v>
      </c>
      <c r="C93" s="159">
        <v>29455397</v>
      </c>
      <c r="D93" s="159"/>
      <c r="E93" s="268">
        <v>12317</v>
      </c>
      <c r="F93" s="159">
        <v>1909</v>
      </c>
      <c r="G93" s="159">
        <v>109916815.09999999</v>
      </c>
      <c r="H93" s="159">
        <v>14226</v>
      </c>
      <c r="I93" s="269"/>
      <c r="J93" s="224">
        <v>7938</v>
      </c>
      <c r="K93" s="224">
        <v>5681</v>
      </c>
      <c r="L93" s="224">
        <v>607</v>
      </c>
    </row>
    <row r="94" spans="1:12" ht="13.15" customHeight="1">
      <c r="A94" s="185" t="s">
        <v>425</v>
      </c>
      <c r="B94" s="159">
        <v>481835</v>
      </c>
      <c r="C94" s="159">
        <v>439444268.25</v>
      </c>
      <c r="D94" s="159"/>
      <c r="E94" s="268">
        <v>154180</v>
      </c>
      <c r="F94" s="159">
        <v>56458</v>
      </c>
      <c r="G94" s="159">
        <v>2096839348.5999999</v>
      </c>
      <c r="H94" s="159">
        <v>210638</v>
      </c>
      <c r="I94" s="269"/>
      <c r="J94" s="224">
        <v>120713</v>
      </c>
      <c r="K94" s="224">
        <v>82350</v>
      </c>
      <c r="L94" s="224">
        <v>7575</v>
      </c>
    </row>
    <row r="95" spans="1:12" ht="13.15" customHeight="1">
      <c r="A95" s="185" t="s">
        <v>427</v>
      </c>
      <c r="B95" s="159">
        <v>31092</v>
      </c>
      <c r="C95" s="159">
        <v>28197333.620000001</v>
      </c>
      <c r="D95" s="159"/>
      <c r="E95" s="268">
        <v>13287</v>
      </c>
      <c r="F95" s="159">
        <v>749</v>
      </c>
      <c r="G95" s="159">
        <v>73403463.299999997</v>
      </c>
      <c r="H95" s="159">
        <v>14036</v>
      </c>
      <c r="I95" s="269"/>
      <c r="J95" s="224">
        <v>7878</v>
      </c>
      <c r="K95" s="224">
        <v>5842</v>
      </c>
      <c r="L95" s="224">
        <v>316</v>
      </c>
    </row>
    <row r="96" spans="1:12" ht="13.15" customHeight="1">
      <c r="A96" s="185" t="s">
        <v>430</v>
      </c>
      <c r="B96" s="159">
        <v>8202</v>
      </c>
      <c r="C96" s="159">
        <v>7396485.0199999996</v>
      </c>
      <c r="D96" s="159"/>
      <c r="E96" s="268">
        <v>2838</v>
      </c>
      <c r="F96" s="159">
        <v>706</v>
      </c>
      <c r="G96" s="159">
        <v>58614472.5</v>
      </c>
      <c r="H96" s="159">
        <v>3544</v>
      </c>
      <c r="I96" s="269"/>
      <c r="J96" s="224">
        <v>1856</v>
      </c>
      <c r="K96" s="224">
        <v>1573</v>
      </c>
      <c r="L96" s="224">
        <v>115</v>
      </c>
    </row>
    <row r="97" spans="1:12" ht="21" customHeight="1">
      <c r="A97" s="185" t="s">
        <v>360</v>
      </c>
      <c r="B97" s="224">
        <v>14308</v>
      </c>
      <c r="C97" s="224">
        <v>13027068.279999999</v>
      </c>
      <c r="D97" s="224"/>
      <c r="E97" s="279">
        <v>5039</v>
      </c>
      <c r="F97" s="224">
        <v>1191</v>
      </c>
      <c r="G97" s="224">
        <v>106752586.31</v>
      </c>
      <c r="H97" s="224">
        <v>6230</v>
      </c>
      <c r="I97" s="280"/>
      <c r="J97" s="224">
        <v>3340</v>
      </c>
      <c r="K97" s="224">
        <v>2517</v>
      </c>
      <c r="L97" s="224">
        <v>373</v>
      </c>
    </row>
    <row r="98" spans="1:12" ht="13.15" customHeight="1">
      <c r="A98" s="185" t="s">
        <v>364</v>
      </c>
      <c r="B98" s="159">
        <v>106482</v>
      </c>
      <c r="C98" s="159">
        <v>96222579.209999993</v>
      </c>
      <c r="D98" s="159"/>
      <c r="E98" s="268">
        <v>40645</v>
      </c>
      <c r="F98" s="159">
        <v>5242</v>
      </c>
      <c r="G98" s="159">
        <v>316058154.80000001</v>
      </c>
      <c r="H98" s="159">
        <v>45887</v>
      </c>
      <c r="I98" s="269"/>
      <c r="J98" s="224">
        <v>24604</v>
      </c>
      <c r="K98" s="224">
        <v>20099</v>
      </c>
      <c r="L98" s="224">
        <v>1184</v>
      </c>
    </row>
    <row r="99" spans="1:12" ht="13.15" customHeight="1">
      <c r="A99" s="185" t="s">
        <v>437</v>
      </c>
      <c r="B99" s="159">
        <v>22328</v>
      </c>
      <c r="C99" s="159">
        <v>20133068.120000001</v>
      </c>
      <c r="D99" s="159"/>
      <c r="E99" s="268">
        <v>8799</v>
      </c>
      <c r="F99" s="159">
        <v>861</v>
      </c>
      <c r="G99" s="159">
        <v>62569535.100000001</v>
      </c>
      <c r="H99" s="159">
        <v>9660</v>
      </c>
      <c r="I99" s="269"/>
      <c r="J99" s="224">
        <v>5162</v>
      </c>
      <c r="K99" s="224">
        <v>4260</v>
      </c>
      <c r="L99" s="224">
        <v>238</v>
      </c>
    </row>
    <row r="100" spans="1:12" ht="13.15" customHeight="1">
      <c r="A100" s="185" t="s">
        <v>440</v>
      </c>
      <c r="B100" s="159">
        <v>87419</v>
      </c>
      <c r="C100" s="159">
        <v>79364448.519999996</v>
      </c>
      <c r="D100" s="159"/>
      <c r="E100" s="268">
        <v>33934</v>
      </c>
      <c r="F100" s="159">
        <v>3567</v>
      </c>
      <c r="G100" s="159">
        <v>249174126.30000001</v>
      </c>
      <c r="H100" s="159">
        <v>37501</v>
      </c>
      <c r="I100" s="269"/>
      <c r="J100" s="224">
        <v>20007</v>
      </c>
      <c r="K100" s="224">
        <v>16685</v>
      </c>
      <c r="L100" s="224">
        <v>809</v>
      </c>
    </row>
    <row r="101" spans="1:12" ht="13.15" customHeight="1">
      <c r="A101" s="185" t="s">
        <v>443</v>
      </c>
      <c r="B101" s="159">
        <v>22146</v>
      </c>
      <c r="C101" s="159">
        <v>20206128.719999999</v>
      </c>
      <c r="D101" s="159"/>
      <c r="E101" s="268">
        <v>9155</v>
      </c>
      <c r="F101" s="159">
        <v>271</v>
      </c>
      <c r="G101" s="159">
        <v>48632888.299999997</v>
      </c>
      <c r="H101" s="159">
        <v>9426</v>
      </c>
      <c r="I101" s="269"/>
      <c r="J101" s="224">
        <v>4558</v>
      </c>
      <c r="K101" s="224">
        <v>4662</v>
      </c>
      <c r="L101" s="224">
        <v>206</v>
      </c>
    </row>
    <row r="102" spans="1:12" ht="21" customHeight="1">
      <c r="A102" s="185" t="s">
        <v>319</v>
      </c>
      <c r="B102" s="159">
        <v>20063</v>
      </c>
      <c r="C102" s="159">
        <v>18179212.969999999</v>
      </c>
      <c r="D102" s="159"/>
      <c r="E102" s="268">
        <v>8374</v>
      </c>
      <c r="F102" s="159">
        <v>274</v>
      </c>
      <c r="G102" s="159">
        <v>44091316.299999997</v>
      </c>
      <c r="H102" s="159">
        <v>8648</v>
      </c>
      <c r="I102" s="269"/>
      <c r="J102" s="224">
        <v>4255</v>
      </c>
      <c r="K102" s="224">
        <v>3971</v>
      </c>
      <c r="L102" s="224">
        <v>422</v>
      </c>
    </row>
    <row r="103" spans="1:12" ht="13.15" customHeight="1">
      <c r="A103" s="185" t="s">
        <v>323</v>
      </c>
      <c r="B103" s="159">
        <v>46029</v>
      </c>
      <c r="C103" s="159">
        <v>41718018.079999998</v>
      </c>
      <c r="D103" s="159"/>
      <c r="E103" s="268">
        <v>18473</v>
      </c>
      <c r="F103" s="159">
        <v>1835</v>
      </c>
      <c r="G103" s="224">
        <v>124578350.8</v>
      </c>
      <c r="H103" s="159">
        <v>20308</v>
      </c>
      <c r="I103" s="269"/>
      <c r="J103" s="224">
        <v>11589</v>
      </c>
      <c r="K103" s="224">
        <v>8228</v>
      </c>
      <c r="L103" s="224">
        <v>491</v>
      </c>
    </row>
    <row r="104" spans="1:12" ht="13.15" customHeight="1">
      <c r="A104" s="185" t="s">
        <v>327</v>
      </c>
      <c r="B104" s="159">
        <v>27483</v>
      </c>
      <c r="C104" s="159">
        <v>25030197.52</v>
      </c>
      <c r="D104" s="159"/>
      <c r="E104" s="268">
        <v>11675</v>
      </c>
      <c r="F104" s="159">
        <v>455</v>
      </c>
      <c r="G104" s="159">
        <v>63422594.799999997</v>
      </c>
      <c r="H104" s="159">
        <v>12130</v>
      </c>
      <c r="I104" s="269"/>
      <c r="J104" s="224">
        <v>6643</v>
      </c>
      <c r="K104" s="224">
        <v>5184</v>
      </c>
      <c r="L104" s="224">
        <v>303</v>
      </c>
    </row>
    <row r="105" spans="1:12" ht="13.15" customHeight="1">
      <c r="A105" s="185" t="s">
        <v>331</v>
      </c>
      <c r="B105" s="159">
        <v>17838</v>
      </c>
      <c r="C105" s="159">
        <v>16223445.07</v>
      </c>
      <c r="D105" s="159"/>
      <c r="E105" s="268">
        <v>6959</v>
      </c>
      <c r="F105" s="159">
        <v>819</v>
      </c>
      <c r="G105" s="159">
        <v>48947702.700000003</v>
      </c>
      <c r="H105" s="159">
        <v>7778</v>
      </c>
      <c r="I105" s="269"/>
      <c r="J105" s="224">
        <v>4402</v>
      </c>
      <c r="K105" s="224">
        <v>3106</v>
      </c>
      <c r="L105" s="224">
        <v>270</v>
      </c>
    </row>
    <row r="106" spans="1:12" ht="13.15" customHeight="1">
      <c r="A106" s="185" t="s">
        <v>335</v>
      </c>
      <c r="B106" s="159">
        <v>139522</v>
      </c>
      <c r="C106" s="159">
        <v>126898537.5</v>
      </c>
      <c r="D106" s="159"/>
      <c r="E106" s="268">
        <v>48842</v>
      </c>
      <c r="F106" s="159">
        <v>11572</v>
      </c>
      <c r="G106" s="159">
        <v>509777032.89999998</v>
      </c>
      <c r="H106" s="159">
        <v>60414</v>
      </c>
      <c r="I106" s="269"/>
      <c r="J106" s="224">
        <v>33734</v>
      </c>
      <c r="K106" s="224">
        <v>24843</v>
      </c>
      <c r="L106" s="224">
        <v>1837</v>
      </c>
    </row>
    <row r="107" spans="1:12" ht="21" customHeight="1">
      <c r="A107" s="185" t="s">
        <v>339</v>
      </c>
      <c r="B107" s="159">
        <v>150485</v>
      </c>
      <c r="C107" s="159">
        <v>136528996.06</v>
      </c>
      <c r="D107" s="159"/>
      <c r="E107" s="268">
        <v>47765</v>
      </c>
      <c r="F107" s="159">
        <v>16200</v>
      </c>
      <c r="G107" s="159">
        <v>601920124.5</v>
      </c>
      <c r="H107" s="159">
        <v>63965</v>
      </c>
      <c r="I107" s="269"/>
      <c r="J107" s="224">
        <v>34164</v>
      </c>
      <c r="K107" s="224">
        <v>27424</v>
      </c>
      <c r="L107" s="224">
        <v>2377</v>
      </c>
    </row>
    <row r="108" spans="1:12" ht="13.15" customHeight="1">
      <c r="A108" s="185" t="s">
        <v>343</v>
      </c>
      <c r="B108" s="159">
        <v>7238</v>
      </c>
      <c r="C108" s="159">
        <v>6571908.6200000001</v>
      </c>
      <c r="D108" s="159"/>
      <c r="E108" s="268">
        <v>2897</v>
      </c>
      <c r="F108" s="159">
        <v>340</v>
      </c>
      <c r="G108" s="159">
        <v>20737973.600000001</v>
      </c>
      <c r="H108" s="159">
        <v>3237</v>
      </c>
      <c r="I108" s="269"/>
      <c r="J108" s="224">
        <v>1806</v>
      </c>
      <c r="K108" s="224">
        <v>1300</v>
      </c>
      <c r="L108" s="224">
        <v>131</v>
      </c>
    </row>
    <row r="109" spans="1:12" ht="13.15" customHeight="1">
      <c r="A109" s="185" t="s">
        <v>347</v>
      </c>
      <c r="B109" s="159">
        <v>8478</v>
      </c>
      <c r="C109" s="159">
        <v>7725520.0199999996</v>
      </c>
      <c r="D109" s="159"/>
      <c r="E109" s="268">
        <v>3501</v>
      </c>
      <c r="F109" s="159">
        <v>427</v>
      </c>
      <c r="G109" s="159">
        <v>23443626.899999999</v>
      </c>
      <c r="H109" s="159">
        <v>3928</v>
      </c>
      <c r="I109" s="269"/>
      <c r="J109" s="224">
        <v>2591</v>
      </c>
      <c r="K109" s="224">
        <v>1217</v>
      </c>
      <c r="L109" s="224">
        <v>120</v>
      </c>
    </row>
    <row r="110" spans="1:12" ht="13.15" customHeight="1">
      <c r="A110" s="185" t="s">
        <v>351</v>
      </c>
      <c r="B110" s="159">
        <v>36279</v>
      </c>
      <c r="C110" s="159">
        <v>32956716.710000001</v>
      </c>
      <c r="D110" s="159"/>
      <c r="E110" s="268">
        <v>14616</v>
      </c>
      <c r="F110" s="159">
        <v>668</v>
      </c>
      <c r="G110" s="159">
        <v>83300741.099999994</v>
      </c>
      <c r="H110" s="159">
        <v>15284</v>
      </c>
      <c r="I110" s="269"/>
      <c r="J110" s="224">
        <v>7676</v>
      </c>
      <c r="K110" s="224">
        <v>7222</v>
      </c>
      <c r="L110" s="224">
        <v>386</v>
      </c>
    </row>
    <row r="111" spans="1:12" ht="13.15" customHeight="1">
      <c r="A111" s="185" t="s">
        <v>355</v>
      </c>
      <c r="B111" s="159">
        <v>40374</v>
      </c>
      <c r="C111" s="159">
        <v>36702421.350000001</v>
      </c>
      <c r="D111" s="159"/>
      <c r="E111" s="268">
        <v>15885</v>
      </c>
      <c r="F111" s="159">
        <v>2345</v>
      </c>
      <c r="G111" s="159">
        <v>125006987.5</v>
      </c>
      <c r="H111" s="159">
        <v>18230</v>
      </c>
      <c r="I111" s="269"/>
      <c r="J111" s="224">
        <v>10557</v>
      </c>
      <c r="K111" s="224">
        <v>7103</v>
      </c>
      <c r="L111" s="224">
        <v>570</v>
      </c>
    </row>
    <row r="112" spans="1:12" ht="21" customHeight="1">
      <c r="A112" s="164" t="s">
        <v>359</v>
      </c>
      <c r="B112" s="159">
        <v>57177</v>
      </c>
      <c r="C112" s="164">
        <v>51876222.119999997</v>
      </c>
      <c r="D112" s="164"/>
      <c r="E112" s="268">
        <v>23356</v>
      </c>
      <c r="F112" s="159">
        <v>1628</v>
      </c>
      <c r="G112" s="164">
        <v>157369762.5</v>
      </c>
      <c r="H112" s="159">
        <v>24984</v>
      </c>
      <c r="I112" s="269"/>
      <c r="J112" s="224">
        <v>12663</v>
      </c>
      <c r="K112" s="224">
        <v>11079</v>
      </c>
      <c r="L112" s="224">
        <v>1242</v>
      </c>
    </row>
    <row r="113" spans="1:14" ht="13.15" customHeight="1">
      <c r="A113" s="185" t="s">
        <v>363</v>
      </c>
      <c r="B113" s="159">
        <v>18620</v>
      </c>
      <c r="C113" s="159">
        <v>16770960.939999999</v>
      </c>
      <c r="D113" s="159"/>
      <c r="E113" s="268">
        <v>7044</v>
      </c>
      <c r="F113" s="159">
        <v>1043</v>
      </c>
      <c r="G113" s="159">
        <v>55684818.899999999</v>
      </c>
      <c r="H113" s="159">
        <v>8087</v>
      </c>
      <c r="I113" s="269"/>
      <c r="J113" s="224">
        <v>4808</v>
      </c>
      <c r="K113" s="224">
        <v>3021</v>
      </c>
      <c r="L113" s="224">
        <v>258</v>
      </c>
    </row>
    <row r="114" spans="1:14" ht="13.15" customHeight="1">
      <c r="A114" s="185" t="s">
        <v>367</v>
      </c>
      <c r="B114" s="159">
        <v>30169</v>
      </c>
      <c r="C114" s="159">
        <v>27475448.059999999</v>
      </c>
      <c r="D114" s="159"/>
      <c r="E114" s="268">
        <v>12350</v>
      </c>
      <c r="F114" s="224">
        <v>457</v>
      </c>
      <c r="G114" s="159">
        <v>66236761.409999996</v>
      </c>
      <c r="H114" s="159">
        <v>12807</v>
      </c>
      <c r="I114" s="269"/>
      <c r="J114" s="224">
        <v>6672</v>
      </c>
      <c r="K114" s="224">
        <v>5779</v>
      </c>
      <c r="L114" s="224">
        <v>356</v>
      </c>
    </row>
    <row r="115" spans="1:14" ht="13.15" customHeight="1">
      <c r="A115" s="185" t="s">
        <v>371</v>
      </c>
      <c r="B115" s="159">
        <v>27110</v>
      </c>
      <c r="C115" s="159">
        <v>24641321.289999999</v>
      </c>
      <c r="D115" s="159"/>
      <c r="E115" s="268">
        <v>11443</v>
      </c>
      <c r="F115" s="159">
        <v>549</v>
      </c>
      <c r="G115" s="159">
        <v>64923508.799999997</v>
      </c>
      <c r="H115" s="159">
        <v>11992</v>
      </c>
      <c r="I115" s="269"/>
      <c r="J115" s="224">
        <v>6526</v>
      </c>
      <c r="K115" s="224">
        <v>5125</v>
      </c>
      <c r="L115" s="224">
        <v>341</v>
      </c>
    </row>
    <row r="116" spans="1:14" ht="13.15" customHeight="1">
      <c r="A116" s="185" t="s">
        <v>375</v>
      </c>
      <c r="B116" s="159">
        <v>68761</v>
      </c>
      <c r="C116" s="159">
        <v>61784140.520000003</v>
      </c>
      <c r="D116" s="159"/>
      <c r="E116" s="268">
        <v>23562</v>
      </c>
      <c r="F116" s="159">
        <v>5345</v>
      </c>
      <c r="G116" s="159">
        <v>245322220.90000001</v>
      </c>
      <c r="H116" s="159">
        <v>28907</v>
      </c>
      <c r="I116" s="269"/>
      <c r="J116" s="224">
        <v>14370</v>
      </c>
      <c r="K116" s="224">
        <v>13437</v>
      </c>
      <c r="L116" s="224">
        <v>1100</v>
      </c>
    </row>
    <row r="117" spans="1:14" ht="10.75" customHeight="1">
      <c r="A117" s="185"/>
      <c r="B117" s="159"/>
      <c r="C117" s="848"/>
      <c r="D117" s="848"/>
      <c r="E117" s="282"/>
      <c r="F117" s="848"/>
      <c r="G117" s="848"/>
      <c r="H117" s="848"/>
      <c r="I117" s="283"/>
      <c r="J117" s="849"/>
      <c r="K117" s="224"/>
      <c r="L117" s="224"/>
      <c r="N117" s="285"/>
    </row>
    <row r="118" spans="1:14" ht="13.15" customHeight="1">
      <c r="A118" s="197" t="s">
        <v>22</v>
      </c>
      <c r="B118" s="286">
        <f>SUM(B92:B116)+SUM(B50:B84)+SUM(B8:B42)</f>
        <v>6151894</v>
      </c>
      <c r="C118" s="198">
        <f>SUM(C92:C116)+SUM(C50:C84)+SUM(C8:C42)</f>
        <v>5577402454.6199999</v>
      </c>
      <c r="D118" s="287"/>
      <c r="E118" s="288">
        <f t="shared" ref="E118:H118" si="2">SUM(E92:E116)+SUM(E50:E84)+SUM(E8:E42)</f>
        <v>2167048</v>
      </c>
      <c r="F118" s="286">
        <f t="shared" si="2"/>
        <v>537911</v>
      </c>
      <c r="G118" s="198">
        <f t="shared" si="2"/>
        <v>25364249647.560005</v>
      </c>
      <c r="H118" s="286">
        <f t="shared" si="2"/>
        <v>2704959</v>
      </c>
      <c r="I118" s="289"/>
      <c r="J118" s="290">
        <f t="shared" ref="J118:L118" si="3">SUM(J92:J116)+SUM(J50:J84)+SUM(J8:J42)</f>
        <v>1498829</v>
      </c>
      <c r="K118" s="290">
        <f t="shared" si="3"/>
        <v>1117881</v>
      </c>
      <c r="L118" s="290">
        <f t="shared" si="3"/>
        <v>88249</v>
      </c>
    </row>
    <row r="119" spans="1:14" ht="18">
      <c r="A119" s="187" t="s">
        <v>603</v>
      </c>
      <c r="B119" s="159"/>
      <c r="C119" s="159"/>
      <c r="D119" s="159"/>
      <c r="E119" s="159"/>
      <c r="F119" s="159"/>
      <c r="G119" s="159"/>
      <c r="H119" s="159"/>
      <c r="I119" s="159"/>
      <c r="J119" s="224"/>
      <c r="K119" s="224"/>
      <c r="L119" s="224"/>
    </row>
    <row r="120" spans="1:14">
      <c r="A120" s="190" t="str">
        <f>A86</f>
        <v>Exemptions, Standard and Itemized Deductions, and Number of Returns by Filing Status/Locality</v>
      </c>
      <c r="B120" s="159"/>
      <c r="C120" s="159"/>
      <c r="D120" s="159"/>
      <c r="E120" s="159"/>
      <c r="F120" s="159"/>
      <c r="G120" s="159"/>
      <c r="H120" s="159"/>
      <c r="I120" s="159"/>
      <c r="J120" s="224"/>
      <c r="K120" s="224"/>
      <c r="L120" s="224"/>
    </row>
    <row r="121" spans="1:14">
      <c r="A121" s="191" t="str">
        <f>A87</f>
        <v>Taxable Year 2019</v>
      </c>
      <c r="B121" s="159"/>
      <c r="C121" s="159"/>
      <c r="D121" s="159"/>
      <c r="E121" s="159"/>
      <c r="F121" s="159"/>
      <c r="G121" s="159"/>
      <c r="H121" s="159"/>
      <c r="I121" s="159"/>
      <c r="J121" s="224"/>
      <c r="K121" s="224"/>
      <c r="L121" s="224"/>
    </row>
    <row r="122" spans="1:14" ht="13.15" customHeight="1" thickBot="1">
      <c r="B122" s="270">
        <f t="shared" ref="B122:L122" si="4">SUM(B75:B111)</f>
        <v>5950057</v>
      </c>
      <c r="C122" s="270">
        <f t="shared" si="4"/>
        <v>5394854361.6900015</v>
      </c>
      <c r="D122" s="270">
        <f t="shared" si="4"/>
        <v>0</v>
      </c>
      <c r="E122" s="270">
        <f t="shared" si="4"/>
        <v>2089293</v>
      </c>
      <c r="F122" s="270">
        <f t="shared" si="4"/>
        <v>528889</v>
      </c>
      <c r="G122" s="270">
        <f t="shared" si="4"/>
        <v>24774712575.049988</v>
      </c>
      <c r="H122" s="270">
        <f t="shared" si="4"/>
        <v>2618182</v>
      </c>
      <c r="I122" s="270">
        <f t="shared" si="4"/>
        <v>0</v>
      </c>
      <c r="J122" s="271">
        <f t="shared" si="4"/>
        <v>1453790</v>
      </c>
      <c r="K122" s="271">
        <f t="shared" si="4"/>
        <v>1079440</v>
      </c>
      <c r="L122" s="271">
        <f t="shared" si="4"/>
        <v>84952</v>
      </c>
    </row>
    <row r="123" spans="1:14">
      <c r="A123" s="252"/>
      <c r="B123" s="1594" t="s">
        <v>312</v>
      </c>
      <c r="C123" s="1594"/>
      <c r="D123" s="843"/>
      <c r="E123" s="1595" t="s">
        <v>313</v>
      </c>
      <c r="F123" s="1596"/>
      <c r="G123" s="1596"/>
      <c r="H123" s="1596"/>
      <c r="I123" s="254"/>
      <c r="J123" s="255"/>
      <c r="K123" s="256" t="s">
        <v>600</v>
      </c>
      <c r="L123" s="257"/>
    </row>
    <row r="124" spans="1:14" ht="13.15" customHeight="1">
      <c r="A124" s="272"/>
      <c r="B124" s="273"/>
      <c r="C124" s="273"/>
      <c r="D124" s="273"/>
      <c r="E124" s="274"/>
      <c r="F124" s="273"/>
      <c r="G124" s="273"/>
      <c r="H124" s="275" t="s">
        <v>16</v>
      </c>
      <c r="I124" s="276"/>
      <c r="J124" s="277"/>
      <c r="K124" s="265" t="s">
        <v>761</v>
      </c>
      <c r="L124" s="265" t="s">
        <v>761</v>
      </c>
    </row>
    <row r="125" spans="1:14" ht="13.15" customHeight="1">
      <c r="A125" s="272" t="s">
        <v>23</v>
      </c>
      <c r="B125" s="845" t="s">
        <v>601</v>
      </c>
      <c r="C125" s="845" t="s">
        <v>19</v>
      </c>
      <c r="D125" s="845"/>
      <c r="E125" s="266" t="s">
        <v>311</v>
      </c>
      <c r="F125" s="845" t="s">
        <v>310</v>
      </c>
      <c r="G125" s="480" t="s">
        <v>19</v>
      </c>
      <c r="H125" s="845" t="s">
        <v>308</v>
      </c>
      <c r="I125" s="267"/>
      <c r="J125" s="846" t="s">
        <v>602</v>
      </c>
      <c r="K125" s="846" t="s">
        <v>307</v>
      </c>
      <c r="L125" s="847" t="s">
        <v>760</v>
      </c>
    </row>
    <row r="126" spans="1:14" ht="21" customHeight="1">
      <c r="A126" s="185" t="s">
        <v>392</v>
      </c>
      <c r="B126" s="159">
        <v>165238</v>
      </c>
      <c r="C126" s="164">
        <v>148428244.91</v>
      </c>
      <c r="D126" s="164"/>
      <c r="E126" s="268">
        <v>64054</v>
      </c>
      <c r="F126" s="159">
        <v>23802</v>
      </c>
      <c r="G126" s="164">
        <v>995519604.48000002</v>
      </c>
      <c r="H126" s="159">
        <v>87856</v>
      </c>
      <c r="I126" s="269"/>
      <c r="J126" s="224">
        <v>58419</v>
      </c>
      <c r="K126" s="224">
        <v>25345</v>
      </c>
      <c r="L126" s="224">
        <v>4092</v>
      </c>
    </row>
    <row r="127" spans="1:14" ht="13.15" customHeight="1">
      <c r="A127" s="185" t="s">
        <v>397</v>
      </c>
      <c r="B127" s="159">
        <v>23004</v>
      </c>
      <c r="C127" s="159">
        <v>20922617.960000001</v>
      </c>
      <c r="D127" s="159"/>
      <c r="E127" s="268">
        <v>10426</v>
      </c>
      <c r="F127" s="159">
        <v>497</v>
      </c>
      <c r="G127" s="159">
        <v>76188743.700000003</v>
      </c>
      <c r="H127" s="159">
        <v>10923</v>
      </c>
      <c r="I127" s="269"/>
      <c r="J127" s="224">
        <v>6216</v>
      </c>
      <c r="K127" s="224">
        <v>3467</v>
      </c>
      <c r="L127" s="224">
        <v>1240</v>
      </c>
    </row>
    <row r="128" spans="1:14" ht="13.15" customHeight="1">
      <c r="A128" s="185" t="s">
        <v>400</v>
      </c>
      <c r="B128" s="159">
        <v>6100</v>
      </c>
      <c r="C128" s="159">
        <v>5524197.4699999997</v>
      </c>
      <c r="D128" s="159"/>
      <c r="E128" s="268">
        <v>2634</v>
      </c>
      <c r="F128" s="159">
        <v>117</v>
      </c>
      <c r="G128" s="159">
        <v>16301593.800000001</v>
      </c>
      <c r="H128" s="159">
        <v>2751</v>
      </c>
      <c r="I128" s="269"/>
      <c r="J128" s="224">
        <v>1639</v>
      </c>
      <c r="K128" s="224">
        <v>1048</v>
      </c>
      <c r="L128" s="224">
        <v>64</v>
      </c>
    </row>
    <row r="129" spans="1:12" ht="13.15" customHeight="1">
      <c r="A129" s="185" t="s">
        <v>403</v>
      </c>
      <c r="B129" s="159">
        <v>40381</v>
      </c>
      <c r="C129" s="159">
        <v>36445144.640000001</v>
      </c>
      <c r="D129" s="159"/>
      <c r="E129" s="268">
        <v>18444</v>
      </c>
      <c r="F129" s="159">
        <v>2945</v>
      </c>
      <c r="G129" s="224">
        <v>177537040.30000001</v>
      </c>
      <c r="H129" s="159">
        <v>21389</v>
      </c>
      <c r="I129" s="269"/>
      <c r="J129" s="224">
        <v>14556</v>
      </c>
      <c r="K129" s="224">
        <v>6012</v>
      </c>
      <c r="L129" s="224">
        <v>821</v>
      </c>
    </row>
    <row r="130" spans="1:12" ht="13.15" customHeight="1">
      <c r="A130" s="185" t="s">
        <v>406</v>
      </c>
      <c r="B130" s="159">
        <v>236141</v>
      </c>
      <c r="C130" s="159">
        <v>214372058.38999999</v>
      </c>
      <c r="D130" s="159"/>
      <c r="E130" s="268">
        <v>86594</v>
      </c>
      <c r="F130" s="159">
        <v>19005</v>
      </c>
      <c r="G130" s="159">
        <v>820337102.10000002</v>
      </c>
      <c r="H130" s="159">
        <v>105599</v>
      </c>
      <c r="I130" s="269"/>
      <c r="J130" s="224">
        <v>60555</v>
      </c>
      <c r="K130" s="224">
        <v>40071</v>
      </c>
      <c r="L130" s="224">
        <v>4973</v>
      </c>
    </row>
    <row r="131" spans="1:12" ht="21" customHeight="1">
      <c r="A131" s="185" t="s">
        <v>409</v>
      </c>
      <c r="B131" s="159">
        <v>18423</v>
      </c>
      <c r="C131" s="159">
        <v>16695895.48</v>
      </c>
      <c r="D131" s="159"/>
      <c r="E131" s="268">
        <v>7652</v>
      </c>
      <c r="F131" s="159">
        <v>772</v>
      </c>
      <c r="G131" s="159">
        <v>104375561.2</v>
      </c>
      <c r="H131" s="159">
        <v>8424</v>
      </c>
      <c r="I131" s="269"/>
      <c r="J131" s="224">
        <v>5477</v>
      </c>
      <c r="K131" s="224">
        <v>2733</v>
      </c>
      <c r="L131" s="224">
        <v>214</v>
      </c>
    </row>
    <row r="132" spans="1:12" ht="13.15" customHeight="1">
      <c r="A132" s="185" t="s">
        <v>412</v>
      </c>
      <c r="B132" s="159">
        <v>5920</v>
      </c>
      <c r="C132" s="159">
        <v>5392067.2400000002</v>
      </c>
      <c r="D132" s="159"/>
      <c r="E132" s="268">
        <v>2673</v>
      </c>
      <c r="F132" s="159">
        <v>77</v>
      </c>
      <c r="G132" s="159">
        <v>21499237.100000001</v>
      </c>
      <c r="H132" s="159">
        <v>2750</v>
      </c>
      <c r="I132" s="269"/>
      <c r="J132" s="224">
        <v>1778</v>
      </c>
      <c r="K132" s="224">
        <v>905</v>
      </c>
      <c r="L132" s="224">
        <v>67</v>
      </c>
    </row>
    <row r="133" spans="1:12" ht="13.15" customHeight="1">
      <c r="A133" s="185" t="s">
        <v>415</v>
      </c>
      <c r="B133" s="159">
        <v>41292</v>
      </c>
      <c r="C133" s="159">
        <v>37544606.369999997</v>
      </c>
      <c r="D133" s="159"/>
      <c r="E133" s="268">
        <v>17877</v>
      </c>
      <c r="F133" s="159">
        <v>1359</v>
      </c>
      <c r="G133" s="159">
        <v>115613395.11</v>
      </c>
      <c r="H133" s="159">
        <v>19236</v>
      </c>
      <c r="I133" s="269"/>
      <c r="J133" s="224">
        <v>13226</v>
      </c>
      <c r="K133" s="224">
        <v>5113</v>
      </c>
      <c r="L133" s="224">
        <v>897</v>
      </c>
    </row>
    <row r="134" spans="1:12" ht="13.15" customHeight="1">
      <c r="A134" s="185" t="s">
        <v>418</v>
      </c>
      <c r="B134" s="159">
        <v>5569</v>
      </c>
      <c r="C134" s="159">
        <v>5098772</v>
      </c>
      <c r="D134" s="159"/>
      <c r="E134" s="268">
        <v>2364</v>
      </c>
      <c r="F134" s="159">
        <v>205</v>
      </c>
      <c r="G134" s="159">
        <v>14248293.300000001</v>
      </c>
      <c r="H134" s="159">
        <v>2569</v>
      </c>
      <c r="I134" s="269"/>
      <c r="J134" s="224">
        <v>1941</v>
      </c>
      <c r="K134" s="224">
        <v>522</v>
      </c>
      <c r="L134" s="224">
        <v>106</v>
      </c>
    </row>
    <row r="135" spans="1:12" ht="13.15" customHeight="1">
      <c r="A135" s="185" t="s">
        <v>413</v>
      </c>
      <c r="B135" s="159">
        <v>32550</v>
      </c>
      <c r="C135" s="159">
        <v>29506245.66</v>
      </c>
      <c r="D135" s="159"/>
      <c r="E135" s="268">
        <v>11012</v>
      </c>
      <c r="F135" s="159">
        <v>4224</v>
      </c>
      <c r="G135" s="159">
        <v>189651714</v>
      </c>
      <c r="H135" s="159">
        <v>15236</v>
      </c>
      <c r="I135" s="269"/>
      <c r="J135" s="224">
        <v>8790</v>
      </c>
      <c r="K135" s="224">
        <v>5787</v>
      </c>
      <c r="L135" s="224">
        <v>659</v>
      </c>
    </row>
    <row r="136" spans="1:12" ht="21" customHeight="1">
      <c r="A136" s="185" t="s">
        <v>423</v>
      </c>
      <c r="B136" s="159">
        <v>17861</v>
      </c>
      <c r="C136" s="159">
        <v>16037271.619999999</v>
      </c>
      <c r="D136" s="159"/>
      <c r="E136" s="268">
        <v>5343</v>
      </c>
      <c r="F136" s="159">
        <v>2596</v>
      </c>
      <c r="G136" s="159">
        <v>114456724.3</v>
      </c>
      <c r="H136" s="159">
        <v>7939</v>
      </c>
      <c r="I136" s="269"/>
      <c r="J136" s="224">
        <v>4305</v>
      </c>
      <c r="K136" s="224">
        <v>3243</v>
      </c>
      <c r="L136" s="224">
        <v>391</v>
      </c>
    </row>
    <row r="137" spans="1:12" ht="13.15" customHeight="1">
      <c r="A137" s="185" t="s">
        <v>24</v>
      </c>
      <c r="B137" s="224">
        <v>7853</v>
      </c>
      <c r="C137" s="224">
        <v>7148158.7199999997</v>
      </c>
      <c r="D137" s="159"/>
      <c r="E137" s="268">
        <v>3128</v>
      </c>
      <c r="F137" s="159">
        <v>364</v>
      </c>
      <c r="G137" s="159">
        <v>22351911.100000001</v>
      </c>
      <c r="H137" s="159">
        <v>3492</v>
      </c>
      <c r="I137" s="269"/>
      <c r="J137" s="224">
        <v>2408</v>
      </c>
      <c r="K137" s="224">
        <v>952</v>
      </c>
      <c r="L137" s="224">
        <v>132</v>
      </c>
    </row>
    <row r="138" spans="1:12" ht="13.15" customHeight="1">
      <c r="A138" s="185" t="s">
        <v>428</v>
      </c>
      <c r="B138" s="159">
        <v>26631</v>
      </c>
      <c r="C138" s="159">
        <v>24159502.370000001</v>
      </c>
      <c r="D138" s="159"/>
      <c r="E138" s="268">
        <v>11055</v>
      </c>
      <c r="F138" s="159">
        <v>2110</v>
      </c>
      <c r="G138" s="159">
        <v>103947120.2</v>
      </c>
      <c r="H138" s="159">
        <v>13165</v>
      </c>
      <c r="I138" s="269"/>
      <c r="J138" s="224">
        <v>8928</v>
      </c>
      <c r="K138" s="224">
        <v>3740</v>
      </c>
      <c r="L138" s="224">
        <v>497</v>
      </c>
    </row>
    <row r="139" spans="1:12" ht="13.15" customHeight="1">
      <c r="A139" s="185" t="s">
        <v>431</v>
      </c>
      <c r="B139" s="159">
        <v>7119</v>
      </c>
      <c r="C139" s="159">
        <v>6485654.04</v>
      </c>
      <c r="D139" s="159"/>
      <c r="E139" s="268">
        <v>3038</v>
      </c>
      <c r="F139" s="159">
        <v>157</v>
      </c>
      <c r="G139" s="159">
        <v>31471274.300000001</v>
      </c>
      <c r="H139" s="159">
        <v>3195</v>
      </c>
      <c r="I139" s="269"/>
      <c r="J139" s="224">
        <v>1975</v>
      </c>
      <c r="K139" s="224">
        <v>1130</v>
      </c>
      <c r="L139" s="224">
        <v>90</v>
      </c>
    </row>
    <row r="140" spans="1:12" ht="13.15" customHeight="1">
      <c r="A140" s="185" t="s">
        <v>433</v>
      </c>
      <c r="B140" s="159">
        <v>116733</v>
      </c>
      <c r="C140" s="159">
        <v>105713449.77</v>
      </c>
      <c r="D140" s="159"/>
      <c r="E140" s="268">
        <v>49416</v>
      </c>
      <c r="F140" s="159">
        <v>6758</v>
      </c>
      <c r="G140" s="159">
        <v>345979583.30000001</v>
      </c>
      <c r="H140" s="159">
        <v>56174</v>
      </c>
      <c r="I140" s="269"/>
      <c r="J140" s="224">
        <v>37884</v>
      </c>
      <c r="K140" s="224">
        <v>15978</v>
      </c>
      <c r="L140" s="224">
        <v>2312</v>
      </c>
    </row>
    <row r="141" spans="1:12" ht="21" customHeight="1">
      <c r="A141" s="185" t="s">
        <v>435</v>
      </c>
      <c r="B141" s="159">
        <v>36874</v>
      </c>
      <c r="C141" s="159">
        <v>33516980.390000001</v>
      </c>
      <c r="D141" s="159"/>
      <c r="E141" s="268">
        <v>16614</v>
      </c>
      <c r="F141" s="159">
        <v>1243</v>
      </c>
      <c r="G141" s="159">
        <v>110956270</v>
      </c>
      <c r="H141" s="159">
        <v>17857</v>
      </c>
      <c r="I141" s="269"/>
      <c r="J141" s="224">
        <v>12276</v>
      </c>
      <c r="K141" s="224">
        <v>5180</v>
      </c>
      <c r="L141" s="224">
        <v>401</v>
      </c>
    </row>
    <row r="142" spans="1:12" ht="13.15" customHeight="1">
      <c r="A142" s="185" t="s">
        <v>438</v>
      </c>
      <c r="B142" s="159">
        <v>20503</v>
      </c>
      <c r="C142" s="159">
        <v>18673288.399999999</v>
      </c>
      <c r="D142" s="159"/>
      <c r="E142" s="268">
        <v>9120</v>
      </c>
      <c r="F142" s="159">
        <v>638</v>
      </c>
      <c r="G142" s="159">
        <v>47932101.100000001</v>
      </c>
      <c r="H142" s="159">
        <v>9758</v>
      </c>
      <c r="I142" s="269"/>
      <c r="J142" s="224">
        <v>7168</v>
      </c>
      <c r="K142" s="224">
        <v>2303</v>
      </c>
      <c r="L142" s="224">
        <v>287</v>
      </c>
    </row>
    <row r="143" spans="1:12" ht="13.15" customHeight="1">
      <c r="A143" s="185" t="s">
        <v>441</v>
      </c>
      <c r="B143" s="159">
        <v>5769</v>
      </c>
      <c r="C143" s="159">
        <v>5137887.05</v>
      </c>
      <c r="D143" s="159"/>
      <c r="E143" s="268">
        <v>2099</v>
      </c>
      <c r="F143" s="159">
        <v>433</v>
      </c>
      <c r="G143" s="159">
        <v>23572022.399999999</v>
      </c>
      <c r="H143" s="159">
        <v>2532</v>
      </c>
      <c r="I143" s="269"/>
      <c r="J143" s="224">
        <v>1482</v>
      </c>
      <c r="K143" s="224">
        <v>960</v>
      </c>
      <c r="L143" s="224">
        <v>90</v>
      </c>
    </row>
    <row r="144" spans="1:12" ht="13.15" customHeight="1">
      <c r="A144" s="185" t="s">
        <v>444</v>
      </c>
      <c r="B144" s="159">
        <v>68268</v>
      </c>
      <c r="C144" s="159">
        <v>61784702.479999997</v>
      </c>
      <c r="D144" s="164"/>
      <c r="E144" s="268">
        <v>30017</v>
      </c>
      <c r="F144" s="159">
        <v>2787</v>
      </c>
      <c r="G144" s="159">
        <v>203341504.80000001</v>
      </c>
      <c r="H144" s="159">
        <v>32804</v>
      </c>
      <c r="I144" s="269"/>
      <c r="J144" s="224">
        <v>21586</v>
      </c>
      <c r="K144" s="224">
        <v>10258</v>
      </c>
      <c r="L144" s="224">
        <v>960</v>
      </c>
    </row>
    <row r="145" spans="1:12" ht="13.15" customHeight="1">
      <c r="A145" s="185" t="s">
        <v>320</v>
      </c>
      <c r="B145" s="159">
        <v>43344</v>
      </c>
      <c r="C145" s="159">
        <v>39610256.93</v>
      </c>
      <c r="D145" s="159"/>
      <c r="E145" s="268">
        <v>16240</v>
      </c>
      <c r="F145" s="159">
        <v>3797</v>
      </c>
      <c r="G145" s="159">
        <v>163086249.71000001</v>
      </c>
      <c r="H145" s="159">
        <v>20037</v>
      </c>
      <c r="I145" s="269"/>
      <c r="J145" s="224">
        <v>12754</v>
      </c>
      <c r="K145" s="224">
        <v>6603</v>
      </c>
      <c r="L145" s="224">
        <v>680</v>
      </c>
    </row>
    <row r="146" spans="1:12" ht="21" customHeight="1">
      <c r="A146" s="185" t="s">
        <v>324</v>
      </c>
      <c r="B146" s="159">
        <v>17478</v>
      </c>
      <c r="C146" s="164">
        <v>15973414.880000001</v>
      </c>
      <c r="D146" s="159"/>
      <c r="E146" s="268">
        <v>6825</v>
      </c>
      <c r="F146" s="159">
        <v>1497</v>
      </c>
      <c r="G146" s="164">
        <v>58157007.399999999</v>
      </c>
      <c r="H146" s="159">
        <v>8322</v>
      </c>
      <c r="I146" s="269"/>
      <c r="J146" s="224">
        <v>5397</v>
      </c>
      <c r="K146" s="224">
        <v>2614</v>
      </c>
      <c r="L146" s="224">
        <v>311</v>
      </c>
    </row>
    <row r="147" spans="1:12" ht="13.15" customHeight="1">
      <c r="A147" s="185" t="s">
        <v>328</v>
      </c>
      <c r="B147" s="159">
        <v>13205</v>
      </c>
      <c r="C147" s="159">
        <v>12018240.83</v>
      </c>
      <c r="D147" s="159"/>
      <c r="E147" s="268">
        <v>5746</v>
      </c>
      <c r="F147" s="159">
        <v>401</v>
      </c>
      <c r="G147" s="159">
        <v>42142580.200000003</v>
      </c>
      <c r="H147" s="159">
        <v>6147</v>
      </c>
      <c r="I147" s="269"/>
      <c r="J147" s="224">
        <v>4257</v>
      </c>
      <c r="K147" s="224">
        <v>1652</v>
      </c>
      <c r="L147" s="224">
        <v>238</v>
      </c>
    </row>
    <row r="148" spans="1:12" ht="13.15" customHeight="1">
      <c r="A148" s="185" t="s">
        <v>332</v>
      </c>
      <c r="B148" s="159">
        <v>158510</v>
      </c>
      <c r="C148" s="159">
        <v>143970949.06</v>
      </c>
      <c r="D148" s="159"/>
      <c r="E148" s="268">
        <v>68440</v>
      </c>
      <c r="F148" s="159">
        <v>8195</v>
      </c>
      <c r="G148" s="159">
        <v>463500983.01999998</v>
      </c>
      <c r="H148" s="159">
        <v>76635</v>
      </c>
      <c r="I148" s="269"/>
      <c r="J148" s="224">
        <v>52358</v>
      </c>
      <c r="K148" s="224">
        <v>21151</v>
      </c>
      <c r="L148" s="224">
        <v>3126</v>
      </c>
    </row>
    <row r="149" spans="1:12" ht="13.15" customHeight="1">
      <c r="A149" s="185" t="s">
        <v>336</v>
      </c>
      <c r="B149" s="159">
        <v>177923</v>
      </c>
      <c r="C149" s="159">
        <v>161439149.24000001</v>
      </c>
      <c r="D149" s="159"/>
      <c r="E149" s="268">
        <v>78371</v>
      </c>
      <c r="F149" s="159">
        <v>10543</v>
      </c>
      <c r="G149" s="159">
        <v>617716490.62</v>
      </c>
      <c r="H149" s="159">
        <v>88914</v>
      </c>
      <c r="I149" s="269"/>
      <c r="J149" s="224">
        <v>61797</v>
      </c>
      <c r="K149" s="224">
        <v>22695</v>
      </c>
      <c r="L149" s="224">
        <v>4422</v>
      </c>
    </row>
    <row r="150" spans="1:12" ht="13.15" customHeight="1">
      <c r="A150" s="185" t="s">
        <v>340</v>
      </c>
      <c r="B150" s="224">
        <v>4093</v>
      </c>
      <c r="C150" s="224">
        <v>3740358.35</v>
      </c>
      <c r="D150" s="159"/>
      <c r="E150" s="268">
        <v>1798</v>
      </c>
      <c r="F150" s="159">
        <v>66</v>
      </c>
      <c r="G150" s="159">
        <v>9574822.8000000007</v>
      </c>
      <c r="H150" s="159">
        <v>1864</v>
      </c>
      <c r="I150" s="269"/>
      <c r="J150" s="224">
        <v>1112</v>
      </c>
      <c r="K150" s="224">
        <v>697</v>
      </c>
      <c r="L150" s="224">
        <v>55</v>
      </c>
    </row>
    <row r="151" spans="1:12" ht="21" customHeight="1">
      <c r="A151" s="185" t="s">
        <v>344</v>
      </c>
      <c r="B151" s="159">
        <v>26526</v>
      </c>
      <c r="C151" s="159">
        <v>24119138.66</v>
      </c>
      <c r="D151" s="159"/>
      <c r="E151" s="268">
        <v>12345</v>
      </c>
      <c r="F151" s="159">
        <v>1243</v>
      </c>
      <c r="G151" s="159">
        <v>71790581.5</v>
      </c>
      <c r="H151" s="159">
        <v>13588</v>
      </c>
      <c r="I151" s="269"/>
      <c r="J151" s="224">
        <v>11035</v>
      </c>
      <c r="K151" s="224">
        <v>2088</v>
      </c>
      <c r="L151" s="224">
        <v>465</v>
      </c>
    </row>
    <row r="152" spans="1:12" ht="13.15" customHeight="1">
      <c r="A152" s="185" t="s">
        <v>348</v>
      </c>
      <c r="B152" s="159">
        <v>13257</v>
      </c>
      <c r="C152" s="159">
        <v>11961729</v>
      </c>
      <c r="D152" s="159"/>
      <c r="E152" s="268">
        <v>4315</v>
      </c>
      <c r="F152" s="159">
        <v>1163</v>
      </c>
      <c r="G152" s="159">
        <v>50013113.899999999</v>
      </c>
      <c r="H152" s="159">
        <v>5478</v>
      </c>
      <c r="I152" s="269"/>
      <c r="J152" s="224">
        <v>2632</v>
      </c>
      <c r="K152" s="224">
        <v>2686</v>
      </c>
      <c r="L152" s="224">
        <v>160</v>
      </c>
    </row>
    <row r="153" spans="1:12" ht="13.15" customHeight="1">
      <c r="A153" s="185" t="s">
        <v>352</v>
      </c>
      <c r="B153" s="159">
        <v>81900</v>
      </c>
      <c r="C153" s="159">
        <v>74546419.439999998</v>
      </c>
      <c r="D153" s="159"/>
      <c r="E153" s="268">
        <v>34408</v>
      </c>
      <c r="F153" s="159">
        <v>4844</v>
      </c>
      <c r="G153" s="159">
        <v>244075029.19999999</v>
      </c>
      <c r="H153" s="159">
        <v>39252</v>
      </c>
      <c r="I153" s="269"/>
      <c r="J153" s="224">
        <v>27599</v>
      </c>
      <c r="K153" s="224">
        <v>10104</v>
      </c>
      <c r="L153" s="224">
        <v>1549</v>
      </c>
    </row>
    <row r="154" spans="1:12" ht="13.15" customHeight="1">
      <c r="A154" s="185" t="s">
        <v>356</v>
      </c>
      <c r="B154" s="159">
        <v>10932</v>
      </c>
      <c r="C154" s="159">
        <v>9914643.0700000003</v>
      </c>
      <c r="D154" s="159"/>
      <c r="E154" s="268">
        <v>5250</v>
      </c>
      <c r="F154" s="159">
        <v>277</v>
      </c>
      <c r="G154" s="159">
        <v>33944735.700000003</v>
      </c>
      <c r="H154" s="159">
        <v>5527</v>
      </c>
      <c r="I154" s="269"/>
      <c r="J154" s="224">
        <v>3625</v>
      </c>
      <c r="K154" s="224">
        <v>1723</v>
      </c>
      <c r="L154" s="224">
        <v>179</v>
      </c>
    </row>
    <row r="155" spans="1:12" ht="13.15" customHeight="1">
      <c r="A155" s="185" t="s">
        <v>360</v>
      </c>
      <c r="B155" s="159">
        <v>184957</v>
      </c>
      <c r="C155" s="159">
        <v>167935079.86000001</v>
      </c>
      <c r="D155" s="159"/>
      <c r="E155" s="268">
        <v>87032</v>
      </c>
      <c r="F155" s="159">
        <v>13910</v>
      </c>
      <c r="G155" s="159">
        <v>1489619992.04</v>
      </c>
      <c r="H155" s="159">
        <v>100942</v>
      </c>
      <c r="I155" s="269"/>
      <c r="J155" s="224">
        <v>76382</v>
      </c>
      <c r="K155" s="224">
        <v>21393</v>
      </c>
      <c r="L155" s="224">
        <v>3167</v>
      </c>
    </row>
    <row r="156" spans="1:12" ht="21" customHeight="1">
      <c r="A156" s="185" t="s">
        <v>25</v>
      </c>
      <c r="B156" s="159">
        <v>89604</v>
      </c>
      <c r="C156" s="159">
        <v>81377652.049999997</v>
      </c>
      <c r="D156" s="159"/>
      <c r="E156" s="268">
        <v>41049</v>
      </c>
      <c r="F156" s="159">
        <v>3218</v>
      </c>
      <c r="G156" s="159">
        <v>251296379.61000001</v>
      </c>
      <c r="H156" s="159">
        <v>44267</v>
      </c>
      <c r="I156" s="269"/>
      <c r="J156" s="224">
        <v>31383</v>
      </c>
      <c r="K156" s="224">
        <v>11632</v>
      </c>
      <c r="L156" s="224">
        <v>1252</v>
      </c>
    </row>
    <row r="157" spans="1:12" ht="13.15" customHeight="1">
      <c r="A157" s="185" t="s">
        <v>368</v>
      </c>
      <c r="B157" s="159">
        <v>26287</v>
      </c>
      <c r="C157" s="159">
        <v>23788200.399999999</v>
      </c>
      <c r="D157" s="159"/>
      <c r="E157" s="268">
        <v>10617</v>
      </c>
      <c r="F157" s="159">
        <v>1202</v>
      </c>
      <c r="G157" s="159">
        <v>78266539.799999997</v>
      </c>
      <c r="H157" s="159">
        <v>11819</v>
      </c>
      <c r="I157" s="269"/>
      <c r="J157" s="224">
        <v>6956</v>
      </c>
      <c r="K157" s="224">
        <v>4558</v>
      </c>
      <c r="L157" s="224">
        <v>305</v>
      </c>
    </row>
    <row r="158" spans="1:12" ht="13.15" customHeight="1">
      <c r="A158" s="185" t="s">
        <v>372</v>
      </c>
      <c r="B158" s="159">
        <v>25133</v>
      </c>
      <c r="C158" s="159">
        <v>22686111.239999998</v>
      </c>
      <c r="D158" s="159"/>
      <c r="E158" s="268">
        <v>10944</v>
      </c>
      <c r="F158" s="159">
        <v>836</v>
      </c>
      <c r="G158" s="159">
        <v>66513168.399999999</v>
      </c>
      <c r="H158" s="159">
        <v>11780</v>
      </c>
      <c r="I158" s="269"/>
      <c r="J158" s="224">
        <v>7356</v>
      </c>
      <c r="K158" s="224">
        <v>4085</v>
      </c>
      <c r="L158" s="224">
        <v>339</v>
      </c>
    </row>
    <row r="159" spans="1:12" ht="13.15" customHeight="1">
      <c r="A159" s="185" t="s">
        <v>376</v>
      </c>
      <c r="B159" s="159">
        <v>87139</v>
      </c>
      <c r="C159" s="159">
        <v>79155595.390000001</v>
      </c>
      <c r="D159" s="159"/>
      <c r="E159" s="268">
        <v>31129</v>
      </c>
      <c r="F159" s="159">
        <v>7539</v>
      </c>
      <c r="G159" s="159">
        <v>361652406.10000002</v>
      </c>
      <c r="H159" s="159">
        <v>38668</v>
      </c>
      <c r="I159" s="269"/>
      <c r="J159" s="224">
        <v>22382</v>
      </c>
      <c r="K159" s="224">
        <v>14506</v>
      </c>
      <c r="L159" s="224">
        <v>1780</v>
      </c>
    </row>
    <row r="160" spans="1:12" ht="21" customHeight="1">
      <c r="A160" s="185" t="s">
        <v>26</v>
      </c>
      <c r="B160" s="159">
        <v>429214</v>
      </c>
      <c r="C160" s="159">
        <v>388442499.37</v>
      </c>
      <c r="D160" s="159"/>
      <c r="E160" s="268">
        <v>166445</v>
      </c>
      <c r="F160" s="159">
        <v>33666</v>
      </c>
      <c r="G160" s="159">
        <v>1681764874.4100001</v>
      </c>
      <c r="H160" s="159">
        <v>200111</v>
      </c>
      <c r="I160" s="269"/>
      <c r="J160" s="224">
        <v>119308</v>
      </c>
      <c r="K160" s="224">
        <v>71625</v>
      </c>
      <c r="L160" s="224">
        <v>9178</v>
      </c>
    </row>
    <row r="161" spans="1:12" ht="13.15" customHeight="1">
      <c r="A161" s="185" t="s">
        <v>381</v>
      </c>
      <c r="B161" s="159">
        <v>21391</v>
      </c>
      <c r="C161" s="159">
        <v>19398058.199999999</v>
      </c>
      <c r="D161" s="159"/>
      <c r="E161" s="268">
        <v>9311</v>
      </c>
      <c r="F161" s="159">
        <v>641</v>
      </c>
      <c r="G161" s="159">
        <v>53106712.700000003</v>
      </c>
      <c r="H161" s="159">
        <v>9952</v>
      </c>
      <c r="I161" s="269"/>
      <c r="J161" s="224">
        <v>6436</v>
      </c>
      <c r="K161" s="224">
        <v>3256</v>
      </c>
      <c r="L161" s="224">
        <v>260</v>
      </c>
    </row>
    <row r="162" spans="1:12" ht="13.15" customHeight="1">
      <c r="A162" s="185" t="s">
        <v>384</v>
      </c>
      <c r="B162" s="159">
        <v>12810</v>
      </c>
      <c r="C162" s="159">
        <v>11411486.99</v>
      </c>
      <c r="D162" s="159"/>
      <c r="E162" s="268">
        <v>5279</v>
      </c>
      <c r="F162" s="159">
        <v>1051</v>
      </c>
      <c r="G162" s="159">
        <v>79067709.239999995</v>
      </c>
      <c r="H162" s="159">
        <v>6330</v>
      </c>
      <c r="I162" s="269"/>
      <c r="J162" s="224">
        <v>4052</v>
      </c>
      <c r="K162" s="224">
        <v>1969</v>
      </c>
      <c r="L162" s="224">
        <v>309</v>
      </c>
    </row>
    <row r="163" spans="1:12" ht="13.15" customHeight="1">
      <c r="A163" s="185" t="s">
        <v>387</v>
      </c>
      <c r="B163" s="159">
        <v>27698</v>
      </c>
      <c r="C163" s="159">
        <v>24988441.550000001</v>
      </c>
      <c r="D163" s="159"/>
      <c r="E163" s="268">
        <v>11881</v>
      </c>
      <c r="F163" s="159">
        <v>1467</v>
      </c>
      <c r="G163" s="159">
        <v>88695419.200000003</v>
      </c>
      <c r="H163" s="159">
        <v>13348</v>
      </c>
      <c r="I163" s="269"/>
      <c r="J163" s="224">
        <v>9094</v>
      </c>
      <c r="K163" s="224">
        <v>3878</v>
      </c>
      <c r="L163" s="224">
        <v>376</v>
      </c>
    </row>
    <row r="164" spans="1:12" ht="10.75" customHeight="1">
      <c r="A164" s="850"/>
      <c r="B164" s="851"/>
      <c r="C164" s="851"/>
      <c r="D164" s="292"/>
      <c r="E164" s="293"/>
      <c r="F164" s="851"/>
      <c r="G164" s="851"/>
      <c r="H164" s="851"/>
      <c r="I164" s="292"/>
      <c r="J164" s="852"/>
      <c r="K164" s="852"/>
      <c r="L164" s="849"/>
    </row>
    <row r="165" spans="1:12" ht="15" customHeight="1">
      <c r="A165" s="199" t="s">
        <v>27</v>
      </c>
      <c r="B165" s="273">
        <f>SUM(B126:B163)</f>
        <v>2333630</v>
      </c>
      <c r="C165" s="273">
        <f t="shared" ref="C165:L165" si="5">SUM(C126:C163)</f>
        <v>2115064169.47</v>
      </c>
      <c r="D165" s="295"/>
      <c r="E165" s="273">
        <f t="shared" si="5"/>
        <v>960985</v>
      </c>
      <c r="F165" s="273">
        <f t="shared" si="5"/>
        <v>165645</v>
      </c>
      <c r="G165" s="273">
        <f t="shared" si="5"/>
        <v>9439265592.1400013</v>
      </c>
      <c r="H165" s="273">
        <f t="shared" si="5"/>
        <v>1126630</v>
      </c>
      <c r="I165" s="289"/>
      <c r="J165" s="273">
        <f t="shared" si="5"/>
        <v>736524</v>
      </c>
      <c r="K165" s="273">
        <f t="shared" si="5"/>
        <v>343662</v>
      </c>
      <c r="L165" s="273">
        <f t="shared" si="5"/>
        <v>46444</v>
      </c>
    </row>
    <row r="166" spans="1:12" ht="15" customHeight="1">
      <c r="A166" s="197" t="s">
        <v>22</v>
      </c>
      <c r="B166" s="286">
        <f>B118</f>
        <v>6151894</v>
      </c>
      <c r="C166" s="296">
        <f>C118</f>
        <v>5577402454.6199999</v>
      </c>
      <c r="D166" s="287"/>
      <c r="E166" s="288">
        <f t="shared" ref="E166:K166" si="6">E118</f>
        <v>2167048</v>
      </c>
      <c r="F166" s="286">
        <f t="shared" si="6"/>
        <v>537911</v>
      </c>
      <c r="G166" s="198">
        <f t="shared" si="6"/>
        <v>25364249647.560005</v>
      </c>
      <c r="H166" s="286">
        <f t="shared" si="6"/>
        <v>2704959</v>
      </c>
      <c r="I166" s="289"/>
      <c r="J166" s="290">
        <f t="shared" si="6"/>
        <v>1498829</v>
      </c>
      <c r="K166" s="290">
        <f t="shared" si="6"/>
        <v>1117881</v>
      </c>
      <c r="L166" s="290">
        <f>L118</f>
        <v>88249</v>
      </c>
    </row>
    <row r="167" spans="1:12" ht="15" customHeight="1">
      <c r="A167" s="197" t="s">
        <v>597</v>
      </c>
      <c r="B167" s="286">
        <v>309378</v>
      </c>
      <c r="C167" s="296">
        <v>213503007.88999999</v>
      </c>
      <c r="D167" s="287"/>
      <c r="E167" s="288">
        <v>116569</v>
      </c>
      <c r="F167" s="286">
        <v>41665</v>
      </c>
      <c r="G167" s="198">
        <v>16418811635.58</v>
      </c>
      <c r="H167" s="286">
        <v>158234</v>
      </c>
      <c r="I167" s="289"/>
      <c r="J167" s="290">
        <v>86943</v>
      </c>
      <c r="K167" s="290">
        <v>44883</v>
      </c>
      <c r="L167" s="290">
        <v>26408</v>
      </c>
    </row>
    <row r="168" spans="1:12" ht="13.15" customHeight="1">
      <c r="A168" s="199"/>
      <c r="B168" s="273"/>
      <c r="C168" s="198"/>
      <c r="D168" s="295"/>
      <c r="E168" s="274"/>
      <c r="F168" s="273"/>
      <c r="G168" s="297"/>
      <c r="H168" s="286"/>
      <c r="I168" s="298"/>
      <c r="J168" s="299"/>
      <c r="K168" s="299"/>
      <c r="L168" s="224"/>
    </row>
    <row r="169" spans="1:12" ht="15" customHeight="1">
      <c r="A169" s="197" t="s">
        <v>28</v>
      </c>
      <c r="B169" s="286">
        <f>SUM(B165:B167)</f>
        <v>8794902</v>
      </c>
      <c r="C169" s="198">
        <f>SUM(C165:C167)</f>
        <v>7905969631.9800005</v>
      </c>
      <c r="D169" s="287"/>
      <c r="E169" s="286">
        <f>SUM(E165:E167)</f>
        <v>3244602</v>
      </c>
      <c r="F169" s="286">
        <f>SUM(F165:F167)</f>
        <v>745221</v>
      </c>
      <c r="G169" s="198">
        <f>SUM(G165:G167)</f>
        <v>51222326875.280006</v>
      </c>
      <c r="H169" s="286">
        <f>SUM(H165:H167)</f>
        <v>3989823</v>
      </c>
      <c r="I169" s="289"/>
      <c r="J169" s="290">
        <f>SUM(J165:J167)</f>
        <v>2322296</v>
      </c>
      <c r="K169" s="290">
        <f>SUM(K165:K167)</f>
        <v>1506426</v>
      </c>
      <c r="L169" s="290">
        <f>SUM(L165:L167)</f>
        <v>161101</v>
      </c>
    </row>
    <row r="170" spans="1:12" ht="13.15" customHeight="1">
      <c r="A170" s="185"/>
      <c r="B170" s="159"/>
      <c r="C170" s="185"/>
      <c r="D170" s="185"/>
      <c r="E170" s="159"/>
      <c r="F170" s="159"/>
      <c r="G170" s="185"/>
      <c r="H170" s="159"/>
      <c r="I170" s="159"/>
      <c r="J170" s="224"/>
      <c r="K170" s="224"/>
      <c r="L170" s="226"/>
    </row>
    <row r="171" spans="1:12" ht="13.15" customHeight="1">
      <c r="A171" s="188" t="s">
        <v>1</v>
      </c>
      <c r="B171" s="159"/>
      <c r="C171" s="159"/>
      <c r="D171" s="159"/>
      <c r="E171" s="185"/>
      <c r="F171" s="185"/>
      <c r="G171" s="185"/>
      <c r="H171" s="185"/>
      <c r="I171" s="185"/>
      <c r="J171" s="226"/>
      <c r="K171" s="226"/>
      <c r="L171" s="226"/>
    </row>
    <row r="172" spans="1:12" ht="14.25" customHeight="1">
      <c r="A172" s="188" t="s">
        <v>759</v>
      </c>
      <c r="B172" s="188"/>
      <c r="C172" s="188"/>
      <c r="D172" s="188"/>
      <c r="E172" s="188"/>
      <c r="F172" s="188"/>
      <c r="G172" s="188"/>
      <c r="H172" s="188"/>
      <c r="I172" s="188"/>
      <c r="J172" s="225"/>
      <c r="K172" s="225"/>
      <c r="L172" s="225"/>
    </row>
    <row r="173" spans="1:12">
      <c r="A173" s="188" t="s">
        <v>983</v>
      </c>
    </row>
  </sheetData>
  <mergeCells count="8">
    <mergeCell ref="B123:C123"/>
    <mergeCell ref="E123:H123"/>
    <mergeCell ref="B5:C5"/>
    <mergeCell ref="E5:H5"/>
    <mergeCell ref="B47:C47"/>
    <mergeCell ref="E47:H47"/>
    <mergeCell ref="B89:C89"/>
    <mergeCell ref="E89:H89"/>
  </mergeCells>
  <printOptions horizontalCentered="1"/>
  <pageMargins left="0.5" right="0.5" top="0.5" bottom="1" header="0.5" footer="0.5"/>
  <pageSetup scale="84" firstPageNumber="12" orientation="landscape" useFirstPageNumber="1" r:id="rId1"/>
  <headerFooter alignWithMargins="0"/>
  <rowBreaks count="3" manualBreakCount="3">
    <brk id="42" max="11" man="1"/>
    <brk id="84" max="11" man="1"/>
    <brk id="118"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I181"/>
  <sheetViews>
    <sheetView showOutlineSymbols="0" zoomScaleNormal="100" zoomScaleSheetLayoutView="90" workbookViewId="0"/>
  </sheetViews>
  <sheetFormatPr defaultColWidth="10.7265625" defaultRowHeight="15.5"/>
  <cols>
    <col min="1" max="1" width="18.26953125" style="195" customWidth="1"/>
    <col min="2" max="2" width="5.81640625" style="797" hidden="1" customWidth="1"/>
    <col min="3" max="3" width="19.1796875" style="161" customWidth="1"/>
    <col min="4" max="4" width="18.26953125" style="195" bestFit="1" customWidth="1"/>
    <col min="5" max="5" width="17.7265625" style="195" bestFit="1" customWidth="1"/>
    <col min="6" max="6" width="19.1796875" style="195" bestFit="1" customWidth="1"/>
    <col min="7" max="7" width="20" style="195" customWidth="1"/>
    <col min="8" max="8" width="17.81640625" style="195" customWidth="1"/>
    <col min="9" max="16384" width="10.7265625" style="195"/>
  </cols>
  <sheetData>
    <row r="1" spans="1:9" ht="16" customHeight="1">
      <c r="A1" s="1092" t="s">
        <v>604</v>
      </c>
      <c r="B1" s="1055"/>
      <c r="D1" s="161"/>
      <c r="E1" s="161"/>
      <c r="F1" s="161"/>
      <c r="G1" s="161"/>
      <c r="H1" s="161"/>
      <c r="I1" s="855" t="s">
        <v>984</v>
      </c>
    </row>
    <row r="2" spans="1:9" ht="14.9" customHeight="1">
      <c r="A2" s="1093" t="s">
        <v>605</v>
      </c>
      <c r="B2" s="1055"/>
      <c r="D2" s="161"/>
      <c r="E2" s="161"/>
      <c r="F2" s="161"/>
      <c r="G2" s="161"/>
      <c r="H2" s="161"/>
    </row>
    <row r="3" spans="1:9" ht="14" customHeight="1">
      <c r="A3" s="1094" t="s">
        <v>1325</v>
      </c>
      <c r="B3" s="1055"/>
      <c r="D3" s="161"/>
      <c r="E3" s="161"/>
      <c r="F3" s="161"/>
      <c r="G3" s="161"/>
      <c r="H3" s="161"/>
    </row>
    <row r="4" spans="1:9" ht="3" customHeight="1">
      <c r="D4" s="161"/>
      <c r="E4" s="161"/>
      <c r="F4" s="161"/>
      <c r="G4" s="161"/>
      <c r="H4" s="161"/>
    </row>
    <row r="5" spans="1:9" ht="3" customHeight="1" thickBot="1">
      <c r="B5" s="1056"/>
      <c r="C5" s="159"/>
      <c r="D5" s="159"/>
      <c r="E5" s="159"/>
      <c r="F5" s="159"/>
      <c r="G5" s="159"/>
      <c r="H5" s="159"/>
    </row>
    <row r="6" spans="1:9" ht="26">
      <c r="A6" s="1047" t="s">
        <v>21</v>
      </c>
      <c r="B6" s="1049" t="s">
        <v>938</v>
      </c>
      <c r="C6" s="1048" t="s">
        <v>904</v>
      </c>
      <c r="D6" s="1048" t="s">
        <v>1038</v>
      </c>
      <c r="E6" s="1048" t="s">
        <v>1039</v>
      </c>
      <c r="F6" s="1048" t="s">
        <v>1040</v>
      </c>
      <c r="G6" s="1048" t="s">
        <v>1041</v>
      </c>
      <c r="H6" s="1048" t="s">
        <v>905</v>
      </c>
    </row>
    <row r="7" spans="1:9" ht="24" customHeight="1">
      <c r="A7" s="161" t="s">
        <v>317</v>
      </c>
      <c r="B7" s="1050" t="s">
        <v>1042</v>
      </c>
      <c r="C7" s="301">
        <v>743223233.15999997</v>
      </c>
      <c r="D7" s="301">
        <v>42203945.43</v>
      </c>
      <c r="E7" s="301">
        <v>26952241.879999999</v>
      </c>
      <c r="F7" s="301">
        <v>141329936.61000001</v>
      </c>
      <c r="G7" s="301">
        <v>532737109.24000001</v>
      </c>
      <c r="H7" s="301">
        <v>38755324.700000003</v>
      </c>
    </row>
    <row r="8" spans="1:9" ht="13.15" customHeight="1">
      <c r="A8" s="161" t="s">
        <v>321</v>
      </c>
      <c r="B8" s="1050" t="s">
        <v>1043</v>
      </c>
      <c r="C8" s="161">
        <v>7221752136.8400002</v>
      </c>
      <c r="D8" s="161">
        <v>125952500.7</v>
      </c>
      <c r="E8" s="161">
        <v>83451027.099999994</v>
      </c>
      <c r="F8" s="161">
        <v>473321964.88999999</v>
      </c>
      <c r="G8" s="161">
        <v>6539026644.1499996</v>
      </c>
      <c r="H8" s="161">
        <v>401207645.47000003</v>
      </c>
    </row>
    <row r="9" spans="1:9" ht="13.15" customHeight="1">
      <c r="A9" s="161" t="s">
        <v>325</v>
      </c>
      <c r="B9" s="1050" t="s">
        <v>1044</v>
      </c>
      <c r="C9" s="161">
        <v>280610184.30000001</v>
      </c>
      <c r="D9" s="161">
        <v>14801248.58</v>
      </c>
      <c r="E9" s="161">
        <v>9697686</v>
      </c>
      <c r="F9" s="161">
        <v>52981942.159999996</v>
      </c>
      <c r="G9" s="161">
        <v>203129307.56</v>
      </c>
      <c r="H9" s="161">
        <v>14585600.18</v>
      </c>
    </row>
    <row r="10" spans="1:9" ht="13.15" customHeight="1">
      <c r="A10" s="161" t="s">
        <v>329</v>
      </c>
      <c r="B10" s="1050" t="s">
        <v>1045</v>
      </c>
      <c r="C10" s="161">
        <v>305560797.67000002</v>
      </c>
      <c r="D10" s="161">
        <v>14166943</v>
      </c>
      <c r="E10" s="161">
        <v>9366620</v>
      </c>
      <c r="F10" s="161">
        <v>52067367.729999997</v>
      </c>
      <c r="G10" s="161">
        <v>229959866.94</v>
      </c>
      <c r="H10" s="161">
        <v>16060363.17</v>
      </c>
    </row>
    <row r="11" spans="1:9" ht="13.15" customHeight="1">
      <c r="A11" s="161" t="s">
        <v>333</v>
      </c>
      <c r="B11" s="1050" t="s">
        <v>1046</v>
      </c>
      <c r="C11" s="161">
        <v>581275005.59000003</v>
      </c>
      <c r="D11" s="161">
        <v>30478856</v>
      </c>
      <c r="E11" s="161">
        <v>20229873</v>
      </c>
      <c r="F11" s="161">
        <v>112420435.98</v>
      </c>
      <c r="G11" s="161">
        <v>418145840.61000001</v>
      </c>
      <c r="H11" s="161">
        <v>30144874.260000002</v>
      </c>
    </row>
    <row r="12" spans="1:9" ht="24" customHeight="1">
      <c r="A12" s="161" t="s">
        <v>337</v>
      </c>
      <c r="B12" s="1050" t="s">
        <v>1047</v>
      </c>
      <c r="C12" s="161">
        <v>306026734.06</v>
      </c>
      <c r="D12" s="161">
        <v>15646814</v>
      </c>
      <c r="E12" s="161">
        <v>10372874.17</v>
      </c>
      <c r="F12" s="161">
        <v>57370471.75</v>
      </c>
      <c r="G12" s="161">
        <v>222636574.13999999</v>
      </c>
      <c r="H12" s="161">
        <v>15904342.109999999</v>
      </c>
    </row>
    <row r="13" spans="1:9" ht="13.15" customHeight="1">
      <c r="A13" s="161" t="s">
        <v>341</v>
      </c>
      <c r="B13" s="1050" t="s">
        <v>1048</v>
      </c>
      <c r="C13" s="161">
        <v>17944610180.110001</v>
      </c>
      <c r="D13" s="161">
        <v>337733602.35000002</v>
      </c>
      <c r="E13" s="161">
        <v>223498717.81999999</v>
      </c>
      <c r="F13" s="161">
        <v>1284500950.3299999</v>
      </c>
      <c r="G13" s="161">
        <v>16098876909.610001</v>
      </c>
      <c r="H13" s="161">
        <v>997415960.67999995</v>
      </c>
    </row>
    <row r="14" spans="1:9" ht="13.15" customHeight="1">
      <c r="A14" s="161" t="s">
        <v>345</v>
      </c>
      <c r="B14" s="1050" t="s">
        <v>1049</v>
      </c>
      <c r="C14" s="161">
        <v>2041600885.74</v>
      </c>
      <c r="D14" s="161">
        <v>82754327.700000003</v>
      </c>
      <c r="E14" s="161">
        <v>54949483</v>
      </c>
      <c r="F14" s="161">
        <v>308871095.87</v>
      </c>
      <c r="G14" s="161">
        <v>1595025979.1700001</v>
      </c>
      <c r="H14" s="161">
        <v>108225306.48</v>
      </c>
    </row>
    <row r="15" spans="1:9" ht="13.15" customHeight="1">
      <c r="A15" s="161" t="s">
        <v>349</v>
      </c>
      <c r="B15" s="1050" t="s">
        <v>1050</v>
      </c>
      <c r="C15" s="161">
        <v>102454116.41</v>
      </c>
      <c r="D15" s="161">
        <v>4870170</v>
      </c>
      <c r="E15" s="161">
        <v>3210404</v>
      </c>
      <c r="F15" s="161">
        <v>17451476.600000001</v>
      </c>
      <c r="G15" s="161">
        <v>76922065.810000002</v>
      </c>
      <c r="H15" s="161">
        <v>5384345.0300000003</v>
      </c>
    </row>
    <row r="16" spans="1:9" ht="13.15" customHeight="1">
      <c r="A16" s="161" t="s">
        <v>353</v>
      </c>
      <c r="B16" s="1050" t="s">
        <v>1051</v>
      </c>
      <c r="C16" s="161">
        <v>2368807007.48</v>
      </c>
      <c r="D16" s="161">
        <v>82458761.579999998</v>
      </c>
      <c r="E16" s="161">
        <v>54756511</v>
      </c>
      <c r="F16" s="161">
        <v>308150930.55000001</v>
      </c>
      <c r="G16" s="161">
        <v>1923440804.3499999</v>
      </c>
      <c r="H16" s="161">
        <v>126945596.64</v>
      </c>
    </row>
    <row r="17" spans="1:8" ht="24" customHeight="1">
      <c r="A17" s="161" t="s">
        <v>357</v>
      </c>
      <c r="B17" s="1050" t="s">
        <v>1052</v>
      </c>
      <c r="C17" s="161">
        <v>103372437.97</v>
      </c>
      <c r="D17" s="161">
        <v>5282290.08</v>
      </c>
      <c r="E17" s="161">
        <v>3479883</v>
      </c>
      <c r="F17" s="161">
        <v>19410497.100000001</v>
      </c>
      <c r="G17" s="161">
        <v>75199767.790000007</v>
      </c>
      <c r="H17" s="161">
        <v>5363569.78</v>
      </c>
    </row>
    <row r="18" spans="1:8" ht="13.15" customHeight="1">
      <c r="A18" s="161" t="s">
        <v>361</v>
      </c>
      <c r="B18" s="1050" t="s">
        <v>1053</v>
      </c>
      <c r="C18" s="161">
        <v>1007470215.73</v>
      </c>
      <c r="D18" s="161">
        <v>35440120.109999999</v>
      </c>
      <c r="E18" s="161">
        <v>23539816</v>
      </c>
      <c r="F18" s="161">
        <v>133257892.55</v>
      </c>
      <c r="G18" s="161">
        <v>815232387.07000005</v>
      </c>
      <c r="H18" s="161">
        <v>53872510.869999997</v>
      </c>
    </row>
    <row r="19" spans="1:8" ht="13.15" customHeight="1">
      <c r="A19" s="161" t="s">
        <v>365</v>
      </c>
      <c r="B19" s="1050" t="s">
        <v>1054</v>
      </c>
      <c r="C19" s="161">
        <v>236088135.56999999</v>
      </c>
      <c r="D19" s="161">
        <v>13603385.26</v>
      </c>
      <c r="E19" s="161">
        <v>8935812</v>
      </c>
      <c r="F19" s="161">
        <v>47583749.799999997</v>
      </c>
      <c r="G19" s="161">
        <v>165965188.50999999</v>
      </c>
      <c r="H19" s="161">
        <v>12247272.85</v>
      </c>
    </row>
    <row r="20" spans="1:8" ht="13.15" customHeight="1">
      <c r="A20" s="161" t="s">
        <v>369</v>
      </c>
      <c r="B20" s="1050" t="s">
        <v>1055</v>
      </c>
      <c r="C20" s="161">
        <v>231375988.5</v>
      </c>
      <c r="D20" s="161">
        <v>12991164.970000001</v>
      </c>
      <c r="E20" s="161">
        <v>8588289</v>
      </c>
      <c r="F20" s="161">
        <v>47085550.18</v>
      </c>
      <c r="G20" s="161">
        <v>162710984.34999999</v>
      </c>
      <c r="H20" s="161">
        <v>11951490.539999999</v>
      </c>
    </row>
    <row r="21" spans="1:8" ht="13.15" customHeight="1">
      <c r="A21" s="161" t="s">
        <v>373</v>
      </c>
      <c r="B21" s="1050" t="s">
        <v>1056</v>
      </c>
      <c r="C21" s="161">
        <v>246957543.30000001</v>
      </c>
      <c r="D21" s="161">
        <v>13660471</v>
      </c>
      <c r="E21" s="161">
        <v>9056498</v>
      </c>
      <c r="F21" s="161">
        <v>49443734.200000003</v>
      </c>
      <c r="G21" s="161">
        <v>174796840.09999999</v>
      </c>
      <c r="H21" s="161">
        <v>12808056.1</v>
      </c>
    </row>
    <row r="22" spans="1:8" ht="24" customHeight="1">
      <c r="A22" s="161" t="s">
        <v>377</v>
      </c>
      <c r="B22" s="1050" t="s">
        <v>1057</v>
      </c>
      <c r="C22" s="161">
        <v>1092745276.24</v>
      </c>
      <c r="D22" s="161">
        <v>54179369</v>
      </c>
      <c r="E22" s="161">
        <v>35897639</v>
      </c>
      <c r="F22" s="161">
        <v>198776375.34999999</v>
      </c>
      <c r="G22" s="161">
        <v>803891892.88999999</v>
      </c>
      <c r="H22" s="161">
        <v>57034723.240000002</v>
      </c>
    </row>
    <row r="23" spans="1:8" ht="13.15" customHeight="1">
      <c r="A23" s="161" t="s">
        <v>379</v>
      </c>
      <c r="B23" s="1050" t="s">
        <v>1058</v>
      </c>
      <c r="C23" s="161">
        <v>725281575.08000004</v>
      </c>
      <c r="D23" s="161">
        <v>33733311</v>
      </c>
      <c r="E23" s="161">
        <v>22409588</v>
      </c>
      <c r="F23" s="161">
        <v>125338297.81999999</v>
      </c>
      <c r="G23" s="161">
        <v>543800378.25999999</v>
      </c>
      <c r="H23" s="161">
        <v>38168618.299999997</v>
      </c>
    </row>
    <row r="24" spans="1:8" ht="13.15" customHeight="1">
      <c r="A24" s="161" t="s">
        <v>382</v>
      </c>
      <c r="B24" s="1050" t="s">
        <v>1059</v>
      </c>
      <c r="C24" s="161">
        <v>447173066.64999998</v>
      </c>
      <c r="D24" s="161">
        <v>25708438</v>
      </c>
      <c r="E24" s="161">
        <v>16957352</v>
      </c>
      <c r="F24" s="161">
        <v>92544031.079999998</v>
      </c>
      <c r="G24" s="161">
        <v>311963245.56999999</v>
      </c>
      <c r="H24" s="161">
        <v>22992574.23</v>
      </c>
    </row>
    <row r="25" spans="1:8" ht="13.15" customHeight="1">
      <c r="A25" s="161" t="s">
        <v>385</v>
      </c>
      <c r="B25" s="1050" t="s">
        <v>1060</v>
      </c>
      <c r="C25" s="161">
        <v>199494104.22999999</v>
      </c>
      <c r="D25" s="161">
        <v>7685854.9100000001</v>
      </c>
      <c r="E25" s="161">
        <v>5088539</v>
      </c>
      <c r="F25" s="161">
        <v>28197283.390000001</v>
      </c>
      <c r="G25" s="161">
        <v>158522426.93000001</v>
      </c>
      <c r="H25" s="161">
        <v>10678873.359999999</v>
      </c>
    </row>
    <row r="26" spans="1:8" ht="13.15" customHeight="1">
      <c r="A26" s="161" t="s">
        <v>388</v>
      </c>
      <c r="B26" s="1050" t="s">
        <v>1061</v>
      </c>
      <c r="C26" s="161">
        <v>202100892.22999999</v>
      </c>
      <c r="D26" s="161">
        <v>10629141</v>
      </c>
      <c r="E26" s="161">
        <v>7011154</v>
      </c>
      <c r="F26" s="161">
        <v>38057160.340000004</v>
      </c>
      <c r="G26" s="161">
        <v>146403436.88999999</v>
      </c>
      <c r="H26" s="161">
        <v>10527236.32</v>
      </c>
    </row>
    <row r="27" spans="1:8" ht="24" customHeight="1">
      <c r="A27" s="161" t="s">
        <v>390</v>
      </c>
      <c r="B27" s="1050" t="s">
        <v>1062</v>
      </c>
      <c r="C27" s="161">
        <v>12704951979.459999</v>
      </c>
      <c r="D27" s="161">
        <v>410458005.56</v>
      </c>
      <c r="E27" s="161">
        <v>272622628.89999998</v>
      </c>
      <c r="F27" s="161">
        <v>1534119557.3399999</v>
      </c>
      <c r="G27" s="161">
        <v>10487751787.66</v>
      </c>
      <c r="H27" s="161">
        <v>685803880.53999996</v>
      </c>
    </row>
    <row r="28" spans="1:8" ht="13.15" customHeight="1">
      <c r="A28" s="161" t="s">
        <v>393</v>
      </c>
      <c r="B28" s="1050" t="s">
        <v>1063</v>
      </c>
      <c r="C28" s="161">
        <v>666109559.08000004</v>
      </c>
      <c r="D28" s="161">
        <v>18145808.949999999</v>
      </c>
      <c r="E28" s="161">
        <v>12013005</v>
      </c>
      <c r="F28" s="161">
        <v>67899184.840000004</v>
      </c>
      <c r="G28" s="161">
        <v>568051560.28999996</v>
      </c>
      <c r="H28" s="161">
        <v>36310349.100000001</v>
      </c>
    </row>
    <row r="29" spans="1:8" ht="13.15" customHeight="1">
      <c r="A29" s="161" t="s">
        <v>395</v>
      </c>
      <c r="B29" s="1050" t="s">
        <v>1064</v>
      </c>
      <c r="C29" s="161">
        <v>104370284.65000001</v>
      </c>
      <c r="D29" s="161">
        <v>4944170</v>
      </c>
      <c r="E29" s="161">
        <v>3283289</v>
      </c>
      <c r="F29" s="161">
        <v>18248469.199999999</v>
      </c>
      <c r="G29" s="161">
        <v>77894356.450000003</v>
      </c>
      <c r="H29" s="161">
        <v>5454152.3499999996</v>
      </c>
    </row>
    <row r="30" spans="1:8" ht="13.15" customHeight="1">
      <c r="A30" s="161" t="s">
        <v>398</v>
      </c>
      <c r="B30" s="1050" t="s">
        <v>1065</v>
      </c>
      <c r="C30" s="161">
        <v>1495202566.8800001</v>
      </c>
      <c r="D30" s="161">
        <v>56472795.700000003</v>
      </c>
      <c r="E30" s="161">
        <v>37494293</v>
      </c>
      <c r="F30" s="161">
        <v>209872137.53</v>
      </c>
      <c r="G30" s="161">
        <v>1191363340.6500001</v>
      </c>
      <c r="H30" s="161">
        <v>79893349.400000006</v>
      </c>
    </row>
    <row r="31" spans="1:8" ht="13.15" customHeight="1">
      <c r="A31" s="161" t="s">
        <v>401</v>
      </c>
      <c r="B31" s="1050" t="s">
        <v>1066</v>
      </c>
      <c r="C31" s="161">
        <v>159342735.97</v>
      </c>
      <c r="D31" s="161">
        <v>9245756.2699999996</v>
      </c>
      <c r="E31" s="161">
        <v>6118689</v>
      </c>
      <c r="F31" s="161">
        <v>33718704.729999997</v>
      </c>
      <c r="G31" s="161">
        <v>110259585.97</v>
      </c>
      <c r="H31" s="161">
        <v>8215367.25</v>
      </c>
    </row>
    <row r="32" spans="1:8" ht="24" customHeight="1">
      <c r="A32" s="161" t="s">
        <v>404</v>
      </c>
      <c r="B32" s="1050" t="s">
        <v>1067</v>
      </c>
      <c r="C32" s="161">
        <v>153297877.52000001</v>
      </c>
      <c r="D32" s="161">
        <v>9414925.0299999993</v>
      </c>
      <c r="E32" s="161">
        <v>6226872</v>
      </c>
      <c r="F32" s="161">
        <v>33891255.649999999</v>
      </c>
      <c r="G32" s="161">
        <v>103764824.84</v>
      </c>
      <c r="H32" s="161">
        <v>7818684.9199999999</v>
      </c>
    </row>
    <row r="33" spans="1:8" ht="13.15" customHeight="1">
      <c r="A33" s="161" t="s">
        <v>407</v>
      </c>
      <c r="B33" s="1050" t="s">
        <v>1068</v>
      </c>
      <c r="C33" s="161">
        <v>574930071.99000001</v>
      </c>
      <c r="D33" s="161">
        <v>28551348</v>
      </c>
      <c r="E33" s="161">
        <v>18915493</v>
      </c>
      <c r="F33" s="161">
        <v>105049026.29000001</v>
      </c>
      <c r="G33" s="161">
        <v>422414204.69999999</v>
      </c>
      <c r="H33" s="161">
        <v>30104883.719999999</v>
      </c>
    </row>
    <row r="34" spans="1:8" ht="13.15" customHeight="1">
      <c r="A34" s="161" t="s">
        <v>410</v>
      </c>
      <c r="B34" s="1050" t="s">
        <v>1069</v>
      </c>
      <c r="C34" s="161">
        <v>239769350.81</v>
      </c>
      <c r="D34" s="161">
        <v>11444199</v>
      </c>
      <c r="E34" s="161">
        <v>7575485</v>
      </c>
      <c r="F34" s="161">
        <v>41296891.600000001</v>
      </c>
      <c r="G34" s="161">
        <v>179452775.21000001</v>
      </c>
      <c r="H34" s="161">
        <v>12634401.83</v>
      </c>
    </row>
    <row r="35" spans="1:8" ht="13.15" customHeight="1">
      <c r="A35" s="161" t="s">
        <v>413</v>
      </c>
      <c r="B35" s="1050" t="s">
        <v>1070</v>
      </c>
      <c r="C35" s="161">
        <v>75696522252.380005</v>
      </c>
      <c r="D35" s="161">
        <v>1350450986.1500001</v>
      </c>
      <c r="E35" s="161">
        <v>895562279.14999998</v>
      </c>
      <c r="F35" s="161">
        <v>5103732507.6599998</v>
      </c>
      <c r="G35" s="161">
        <v>68346776479.419998</v>
      </c>
      <c r="H35" s="161">
        <v>4203053611.4899998</v>
      </c>
    </row>
    <row r="36" spans="1:8" ht="13.15" customHeight="1">
      <c r="A36" s="161" t="s">
        <v>416</v>
      </c>
      <c r="B36" s="1050" t="s">
        <v>1071</v>
      </c>
      <c r="C36" s="161">
        <v>3892350271.23</v>
      </c>
      <c r="D36" s="161">
        <v>85882412.349999994</v>
      </c>
      <c r="E36" s="161">
        <v>57071156</v>
      </c>
      <c r="F36" s="161">
        <v>324775852.36000001</v>
      </c>
      <c r="G36" s="161">
        <v>3424620850.52</v>
      </c>
      <c r="H36" s="161">
        <v>214199521.56999999</v>
      </c>
    </row>
    <row r="37" spans="1:8" ht="24" customHeight="1">
      <c r="A37" s="161" t="s">
        <v>419</v>
      </c>
      <c r="B37" s="1050" t="s">
        <v>1072</v>
      </c>
      <c r="C37" s="161">
        <v>337763913.04000002</v>
      </c>
      <c r="D37" s="161">
        <v>14505592</v>
      </c>
      <c r="E37" s="161">
        <v>9631321</v>
      </c>
      <c r="F37" s="161">
        <v>53535206.75</v>
      </c>
      <c r="G37" s="161">
        <v>260091793.28999999</v>
      </c>
      <c r="H37" s="161">
        <v>17816313.66</v>
      </c>
    </row>
    <row r="38" spans="1:8" ht="13.15" customHeight="1">
      <c r="A38" s="161" t="s">
        <v>421</v>
      </c>
      <c r="B38" s="1050" t="s">
        <v>1073</v>
      </c>
      <c r="C38" s="161">
        <v>716859378.25</v>
      </c>
      <c r="D38" s="161">
        <v>29171174</v>
      </c>
      <c r="E38" s="161">
        <v>19391341</v>
      </c>
      <c r="F38" s="161">
        <v>109295507.05</v>
      </c>
      <c r="G38" s="161">
        <v>559001356.20000005</v>
      </c>
      <c r="H38" s="161">
        <v>37975115.740000002</v>
      </c>
    </row>
    <row r="39" spans="1:8" ht="13.15" customHeight="1">
      <c r="A39" s="161" t="s">
        <v>424</v>
      </c>
      <c r="B39" s="1050" t="s">
        <v>1074</v>
      </c>
      <c r="C39" s="161">
        <v>1262238206.0899999</v>
      </c>
      <c r="D39" s="161">
        <v>52321068.509999998</v>
      </c>
      <c r="E39" s="161">
        <v>34684846</v>
      </c>
      <c r="F39" s="161">
        <v>192378153.22999999</v>
      </c>
      <c r="G39" s="161">
        <v>982854138.35000002</v>
      </c>
      <c r="H39" s="161">
        <v>66897647.509999998</v>
      </c>
    </row>
    <row r="40" spans="1:8" ht="13.15" customHeight="1">
      <c r="A40" s="161" t="s">
        <v>426</v>
      </c>
      <c r="B40" s="1050" t="s">
        <v>1075</v>
      </c>
      <c r="C40" s="161">
        <v>3102399382.1500001</v>
      </c>
      <c r="D40" s="161">
        <v>108009101.41</v>
      </c>
      <c r="E40" s="161">
        <v>71702143</v>
      </c>
      <c r="F40" s="161">
        <v>405178111.67000002</v>
      </c>
      <c r="G40" s="161">
        <v>2517510026.0700002</v>
      </c>
      <c r="H40" s="161">
        <v>166578374.71000001</v>
      </c>
    </row>
    <row r="41" spans="1:8" ht="13.15" customHeight="1">
      <c r="A41" s="161" t="s">
        <v>429</v>
      </c>
      <c r="B41" s="1050" t="s">
        <v>1076</v>
      </c>
      <c r="C41" s="161">
        <v>329173177.55000001</v>
      </c>
      <c r="D41" s="161">
        <v>16488599</v>
      </c>
      <c r="E41" s="161">
        <v>10928364</v>
      </c>
      <c r="F41" s="161">
        <v>60595644.509999998</v>
      </c>
      <c r="G41" s="161">
        <v>241160570.03999999</v>
      </c>
      <c r="H41" s="161">
        <v>17151391.370000001</v>
      </c>
    </row>
    <row r="42" spans="1:8" ht="16" customHeight="1">
      <c r="A42" s="1092" t="s">
        <v>606</v>
      </c>
      <c r="B42" s="1055"/>
      <c r="D42" s="161"/>
      <c r="E42" s="161"/>
      <c r="F42" s="161"/>
      <c r="G42" s="161"/>
      <c r="H42" s="161"/>
    </row>
    <row r="43" spans="1:8" ht="14.9" customHeight="1">
      <c r="A43" s="1093" t="s">
        <v>605</v>
      </c>
      <c r="B43" s="1055"/>
      <c r="D43" s="161"/>
      <c r="E43" s="161"/>
      <c r="F43" s="161"/>
      <c r="G43" s="161"/>
      <c r="H43" s="161"/>
    </row>
    <row r="44" spans="1:8" ht="14" customHeight="1">
      <c r="A44" s="1094" t="str">
        <f>A3</f>
        <v>Taxable Year 2021</v>
      </c>
      <c r="B44" s="1055"/>
      <c r="D44" s="161"/>
      <c r="E44" s="161"/>
      <c r="F44" s="161"/>
      <c r="G44" s="161"/>
      <c r="H44" s="161"/>
    </row>
    <row r="45" spans="1:8" ht="3" customHeight="1">
      <c r="D45" s="161"/>
      <c r="E45" s="161"/>
      <c r="F45" s="161"/>
      <c r="G45" s="161"/>
      <c r="H45" s="161"/>
    </row>
    <row r="46" spans="1:8" ht="3" customHeight="1" thickBot="1">
      <c r="B46" s="1056"/>
      <c r="C46" s="159"/>
      <c r="D46" s="159"/>
      <c r="E46" s="159"/>
      <c r="F46" s="159"/>
      <c r="G46" s="159"/>
      <c r="H46" s="159"/>
    </row>
    <row r="47" spans="1:8" ht="26">
      <c r="A47" s="1047" t="s">
        <v>21</v>
      </c>
      <c r="B47" s="1049" t="s">
        <v>938</v>
      </c>
      <c r="C47" s="1048" t="s">
        <v>904</v>
      </c>
      <c r="D47" s="1048" t="s">
        <v>1038</v>
      </c>
      <c r="E47" s="1048" t="s">
        <v>1039</v>
      </c>
      <c r="F47" s="1048" t="s">
        <v>1040</v>
      </c>
      <c r="G47" s="1048" t="s">
        <v>1041</v>
      </c>
      <c r="H47" s="1048" t="s">
        <v>905</v>
      </c>
    </row>
    <row r="48" spans="1:8" ht="24" customHeight="1">
      <c r="A48" s="161" t="s">
        <v>432</v>
      </c>
      <c r="B48" s="1050" t="s">
        <v>1077</v>
      </c>
      <c r="C48" s="554">
        <v>1019244091.14</v>
      </c>
      <c r="D48" s="554">
        <v>41961788</v>
      </c>
      <c r="E48" s="554">
        <v>27864008</v>
      </c>
      <c r="F48" s="554">
        <v>156195082.97999999</v>
      </c>
      <c r="G48" s="554">
        <v>793223212.15999997</v>
      </c>
      <c r="H48" s="554">
        <v>54033994.710000001</v>
      </c>
    </row>
    <row r="49" spans="1:8" ht="13.15" customHeight="1">
      <c r="A49" s="161" t="s">
        <v>434</v>
      </c>
      <c r="B49" s="1050" t="s">
        <v>1078</v>
      </c>
      <c r="C49" s="161">
        <v>2122944430.9200001</v>
      </c>
      <c r="D49" s="161">
        <v>30156110</v>
      </c>
      <c r="E49" s="161">
        <v>20060171</v>
      </c>
      <c r="F49" s="161">
        <v>115545135.68000001</v>
      </c>
      <c r="G49" s="161">
        <v>1957183014.24</v>
      </c>
      <c r="H49" s="161">
        <v>118522785.45999999</v>
      </c>
    </row>
    <row r="50" spans="1:8" ht="13.15" customHeight="1">
      <c r="A50" s="161" t="s">
        <v>436</v>
      </c>
      <c r="B50" s="1050" t="s">
        <v>1079</v>
      </c>
      <c r="C50" s="161">
        <v>213673649.81999999</v>
      </c>
      <c r="D50" s="161">
        <v>13056445.880000001</v>
      </c>
      <c r="E50" s="161">
        <v>8590865</v>
      </c>
      <c r="F50" s="161">
        <v>46929953.850000001</v>
      </c>
      <c r="G50" s="161">
        <v>145096385.09</v>
      </c>
      <c r="H50" s="161">
        <v>10911874.039999999</v>
      </c>
    </row>
    <row r="51" spans="1:8" ht="13.15" customHeight="1">
      <c r="A51" s="161" t="s">
        <v>439</v>
      </c>
      <c r="B51" s="1050" t="s">
        <v>1080</v>
      </c>
      <c r="C51" s="161">
        <v>492304116.16000003</v>
      </c>
      <c r="D51" s="161">
        <v>21345532</v>
      </c>
      <c r="E51" s="161">
        <v>14179624</v>
      </c>
      <c r="F51" s="161">
        <v>79914535.879999995</v>
      </c>
      <c r="G51" s="161">
        <v>376864424.27999997</v>
      </c>
      <c r="H51" s="161">
        <v>25962212.52</v>
      </c>
    </row>
    <row r="52" spans="1:8" ht="13.15" customHeight="1">
      <c r="A52" s="161" t="s">
        <v>442</v>
      </c>
      <c r="B52" s="1050" t="s">
        <v>1081</v>
      </c>
      <c r="C52" s="161">
        <v>171720693.09</v>
      </c>
      <c r="D52" s="161">
        <v>10796649.83</v>
      </c>
      <c r="E52" s="161">
        <v>7018368</v>
      </c>
      <c r="F52" s="161">
        <v>36465964.359999999</v>
      </c>
      <c r="G52" s="161">
        <v>117439710.90000001</v>
      </c>
      <c r="H52" s="161">
        <v>8871901.3100000005</v>
      </c>
    </row>
    <row r="53" spans="1:8" ht="24" customHeight="1">
      <c r="A53" s="161" t="s">
        <v>318</v>
      </c>
      <c r="B53" s="1050" t="s">
        <v>1082</v>
      </c>
      <c r="C53" s="161">
        <v>596419348.14999998</v>
      </c>
      <c r="D53" s="161">
        <v>32057759.93</v>
      </c>
      <c r="E53" s="161">
        <v>21130208</v>
      </c>
      <c r="F53" s="161">
        <v>114827324.62</v>
      </c>
      <c r="G53" s="161">
        <v>428404055.60000002</v>
      </c>
      <c r="H53" s="161">
        <v>31082296.039999999</v>
      </c>
    </row>
    <row r="54" spans="1:8" ht="13.15" customHeight="1">
      <c r="A54" s="161" t="s">
        <v>322</v>
      </c>
      <c r="B54" s="1050" t="s">
        <v>1083</v>
      </c>
      <c r="C54" s="161">
        <v>4529812825.2600002</v>
      </c>
      <c r="D54" s="161">
        <v>128054810.36</v>
      </c>
      <c r="E54" s="161">
        <v>85076030</v>
      </c>
      <c r="F54" s="161">
        <v>484270506.16000003</v>
      </c>
      <c r="G54" s="161">
        <v>3832411478.7399998</v>
      </c>
      <c r="H54" s="161">
        <v>245713856.84999999</v>
      </c>
    </row>
    <row r="55" spans="1:8" ht="13.15" customHeight="1">
      <c r="A55" s="161" t="s">
        <v>326</v>
      </c>
      <c r="B55" s="1050" t="s">
        <v>1084</v>
      </c>
      <c r="C55" s="161">
        <v>12653647088.93</v>
      </c>
      <c r="D55" s="161">
        <v>382191754.31999999</v>
      </c>
      <c r="E55" s="161">
        <v>253656877.13999999</v>
      </c>
      <c r="F55" s="161">
        <v>1418799769.8800001</v>
      </c>
      <c r="G55" s="161">
        <v>10598998687.59</v>
      </c>
      <c r="H55" s="161">
        <v>687470325.83000004</v>
      </c>
    </row>
    <row r="56" spans="1:8" ht="13.15" customHeight="1">
      <c r="A56" s="161" t="s">
        <v>330</v>
      </c>
      <c r="B56" s="1050" t="s">
        <v>1085</v>
      </c>
      <c r="C56" s="161">
        <v>813387660.63</v>
      </c>
      <c r="D56" s="161">
        <v>47394077.700000003</v>
      </c>
      <c r="E56" s="161">
        <v>31349147</v>
      </c>
      <c r="F56" s="161">
        <v>169891163.83000001</v>
      </c>
      <c r="G56" s="161">
        <v>564753272.10000002</v>
      </c>
      <c r="H56" s="161">
        <v>41966368.969999999</v>
      </c>
    </row>
    <row r="57" spans="1:8" ht="13.15" customHeight="1">
      <c r="A57" s="161" t="s">
        <v>334</v>
      </c>
      <c r="B57" s="1050" t="s">
        <v>1086</v>
      </c>
      <c r="C57" s="161">
        <v>47133788.469999999</v>
      </c>
      <c r="D57" s="161">
        <v>2075579</v>
      </c>
      <c r="E57" s="161">
        <v>1365043</v>
      </c>
      <c r="F57" s="161">
        <v>7564018.0499999998</v>
      </c>
      <c r="G57" s="161">
        <v>36129148.420000002</v>
      </c>
      <c r="H57" s="161">
        <v>2486146.31</v>
      </c>
    </row>
    <row r="58" spans="1:8" ht="24" customHeight="1">
      <c r="A58" s="161" t="s">
        <v>338</v>
      </c>
      <c r="B58" s="1050" t="s">
        <v>1087</v>
      </c>
      <c r="C58" s="161">
        <v>1203122683.97</v>
      </c>
      <c r="D58" s="161">
        <v>42386945</v>
      </c>
      <c r="E58" s="161">
        <v>28123014</v>
      </c>
      <c r="F58" s="161">
        <v>158480050.63</v>
      </c>
      <c r="G58" s="161">
        <v>974132674.34000003</v>
      </c>
      <c r="H58" s="161">
        <v>64496800</v>
      </c>
    </row>
    <row r="59" spans="1:8" ht="13.15" customHeight="1">
      <c r="A59" s="161" t="s">
        <v>342</v>
      </c>
      <c r="B59" s="1050" t="s">
        <v>1088</v>
      </c>
      <c r="C59" s="161">
        <v>3489648575.5</v>
      </c>
      <c r="D59" s="161">
        <v>90680615.510000005</v>
      </c>
      <c r="E59" s="161">
        <v>60166630</v>
      </c>
      <c r="F59" s="161">
        <v>340221254.62</v>
      </c>
      <c r="G59" s="161">
        <v>2998580075.3699999</v>
      </c>
      <c r="H59" s="161">
        <v>190346204.87</v>
      </c>
    </row>
    <row r="60" spans="1:8" ht="13.15" customHeight="1">
      <c r="A60" s="161" t="s">
        <v>346</v>
      </c>
      <c r="B60" s="1050" t="s">
        <v>1089</v>
      </c>
      <c r="C60" s="161">
        <v>162471408.47999999</v>
      </c>
      <c r="D60" s="161">
        <v>7420513.9800000004</v>
      </c>
      <c r="E60" s="161">
        <v>4923975</v>
      </c>
      <c r="F60" s="161">
        <v>27197921.050000001</v>
      </c>
      <c r="G60" s="161">
        <v>122928998.45</v>
      </c>
      <c r="H60" s="161">
        <v>8582377.5500000007</v>
      </c>
    </row>
    <row r="61" spans="1:8" ht="13.15" customHeight="1">
      <c r="A61" s="161" t="s">
        <v>350</v>
      </c>
      <c r="B61" s="1050" t="s">
        <v>1090</v>
      </c>
      <c r="C61" s="161">
        <v>907571007.65999997</v>
      </c>
      <c r="D61" s="161">
        <v>31124731.289999999</v>
      </c>
      <c r="E61" s="161">
        <v>20559838</v>
      </c>
      <c r="F61" s="161">
        <v>115719785.77</v>
      </c>
      <c r="G61" s="161">
        <v>740166652.60000002</v>
      </c>
      <c r="H61" s="161">
        <v>48817027.420000002</v>
      </c>
    </row>
    <row r="62" spans="1:8" ht="13.15" customHeight="1">
      <c r="A62" s="161" t="s">
        <v>354</v>
      </c>
      <c r="B62" s="1050" t="s">
        <v>1091</v>
      </c>
      <c r="C62" s="161">
        <v>464201060.57999998</v>
      </c>
      <c r="D62" s="161">
        <v>20532532</v>
      </c>
      <c r="E62" s="161">
        <v>13624476</v>
      </c>
      <c r="F62" s="161">
        <v>76828965.299999997</v>
      </c>
      <c r="G62" s="161">
        <v>353215087.27999997</v>
      </c>
      <c r="H62" s="161">
        <v>24446639.289999999</v>
      </c>
    </row>
    <row r="63" spans="1:8" ht="24" customHeight="1">
      <c r="A63" s="161" t="s">
        <v>358</v>
      </c>
      <c r="B63" s="1050" t="s">
        <v>1092</v>
      </c>
      <c r="C63" s="161">
        <v>385058970.25999999</v>
      </c>
      <c r="D63" s="161">
        <v>12095130</v>
      </c>
      <c r="E63" s="161">
        <v>7993757.8300000001</v>
      </c>
      <c r="F63" s="161">
        <v>44130448.689999998</v>
      </c>
      <c r="G63" s="161">
        <v>320839633.74000001</v>
      </c>
      <c r="H63" s="161">
        <v>20857055.140000001</v>
      </c>
    </row>
    <row r="64" spans="1:8" ht="13.15" customHeight="1">
      <c r="A64" s="161" t="s">
        <v>362</v>
      </c>
      <c r="B64" s="1050" t="s">
        <v>1093</v>
      </c>
      <c r="C64" s="161">
        <v>237977549.12</v>
      </c>
      <c r="D64" s="161">
        <v>15486224</v>
      </c>
      <c r="E64" s="161">
        <v>10212912</v>
      </c>
      <c r="F64" s="161">
        <v>55087205.490000002</v>
      </c>
      <c r="G64" s="161">
        <v>157191207.63</v>
      </c>
      <c r="H64" s="161">
        <v>12076267.5</v>
      </c>
    </row>
    <row r="65" spans="1:8" ht="13.15" customHeight="1">
      <c r="A65" s="161" t="s">
        <v>366</v>
      </c>
      <c r="B65" s="1050" t="s">
        <v>1094</v>
      </c>
      <c r="C65" s="161">
        <v>26582877741.759998</v>
      </c>
      <c r="D65" s="161">
        <v>494113103.31999999</v>
      </c>
      <c r="E65" s="161">
        <v>328100214</v>
      </c>
      <c r="F65" s="161">
        <v>1884939999.27</v>
      </c>
      <c r="G65" s="161">
        <v>23875724425.169998</v>
      </c>
      <c r="H65" s="161">
        <v>1471204095.8599999</v>
      </c>
    </row>
    <row r="66" spans="1:8" ht="13.15" customHeight="1">
      <c r="A66" s="161" t="s">
        <v>370</v>
      </c>
      <c r="B66" s="1050" t="s">
        <v>1095</v>
      </c>
      <c r="C66" s="161">
        <v>1046434620.58</v>
      </c>
      <c r="D66" s="161">
        <v>41699419.25</v>
      </c>
      <c r="E66" s="161">
        <v>27679349</v>
      </c>
      <c r="F66" s="161">
        <v>155725389.19999999</v>
      </c>
      <c r="G66" s="161">
        <v>821330463.13</v>
      </c>
      <c r="H66" s="161">
        <v>55626223.390000001</v>
      </c>
    </row>
    <row r="67" spans="1:8" ht="13.15" customHeight="1">
      <c r="A67" s="161" t="s">
        <v>374</v>
      </c>
      <c r="B67" s="1050" t="s">
        <v>1096</v>
      </c>
      <c r="C67" s="161">
        <v>239252044.62</v>
      </c>
      <c r="D67" s="161">
        <v>9802227</v>
      </c>
      <c r="E67" s="161">
        <v>6504892</v>
      </c>
      <c r="F67" s="161">
        <v>35578448.700000003</v>
      </c>
      <c r="G67" s="161">
        <v>187366476.91999999</v>
      </c>
      <c r="H67" s="161">
        <v>12763550.27</v>
      </c>
    </row>
    <row r="68" spans="1:8" ht="24" customHeight="1">
      <c r="A68" s="161" t="s">
        <v>378</v>
      </c>
      <c r="B68" s="1050" t="s">
        <v>1097</v>
      </c>
      <c r="C68" s="161">
        <v>364913051.50999999</v>
      </c>
      <c r="D68" s="161">
        <v>13831932</v>
      </c>
      <c r="E68" s="161">
        <v>9171675</v>
      </c>
      <c r="F68" s="161">
        <v>51292236.369999997</v>
      </c>
      <c r="G68" s="161">
        <v>290617208.13999999</v>
      </c>
      <c r="H68" s="161">
        <v>19465864.190000001</v>
      </c>
    </row>
    <row r="69" spans="1:8" ht="13.15" customHeight="1">
      <c r="A69" s="161" t="s">
        <v>380</v>
      </c>
      <c r="B69" s="1050" t="s">
        <v>1098</v>
      </c>
      <c r="C69" s="161">
        <v>267291319.41</v>
      </c>
      <c r="D69" s="161">
        <v>9297310</v>
      </c>
      <c r="E69" s="161">
        <v>6172389</v>
      </c>
      <c r="F69" s="161">
        <v>34382126.700000003</v>
      </c>
      <c r="G69" s="161">
        <v>217439493.71000001</v>
      </c>
      <c r="H69" s="161">
        <v>14340273.060000001</v>
      </c>
    </row>
    <row r="70" spans="1:8" ht="13.15" customHeight="1">
      <c r="A70" s="161" t="s">
        <v>383</v>
      </c>
      <c r="B70" s="1050" t="s">
        <v>1099</v>
      </c>
      <c r="C70" s="161">
        <v>636315625.89999998</v>
      </c>
      <c r="D70" s="161">
        <v>30629751.850000001</v>
      </c>
      <c r="E70" s="161">
        <v>20149013.800000001</v>
      </c>
      <c r="F70" s="161">
        <v>108546298.31999999</v>
      </c>
      <c r="G70" s="161">
        <v>476990561.93000001</v>
      </c>
      <c r="H70" s="161">
        <v>33505711.34</v>
      </c>
    </row>
    <row r="71" spans="1:8" ht="13.15" customHeight="1">
      <c r="A71" s="161" t="s">
        <v>386</v>
      </c>
      <c r="B71" s="1050" t="s">
        <v>1100</v>
      </c>
      <c r="C71" s="161">
        <v>299955689.18000001</v>
      </c>
      <c r="D71" s="161">
        <v>11272398</v>
      </c>
      <c r="E71" s="161">
        <v>7464395</v>
      </c>
      <c r="F71" s="161">
        <v>41313439.380000003</v>
      </c>
      <c r="G71" s="161">
        <v>239905456.80000001</v>
      </c>
      <c r="H71" s="161">
        <v>16029914.539999999</v>
      </c>
    </row>
    <row r="72" spans="1:8" ht="13.15" customHeight="1">
      <c r="A72" s="161" t="s">
        <v>389</v>
      </c>
      <c r="B72" s="1050" t="s">
        <v>1101</v>
      </c>
      <c r="C72" s="161">
        <v>2612020143.8800001</v>
      </c>
      <c r="D72" s="161">
        <v>86787153.829999998</v>
      </c>
      <c r="E72" s="161">
        <v>57314414.619999997</v>
      </c>
      <c r="F72" s="161">
        <v>318295611.79000002</v>
      </c>
      <c r="G72" s="161">
        <v>2149622963.6399999</v>
      </c>
      <c r="H72" s="161">
        <v>140894138.11000001</v>
      </c>
    </row>
    <row r="73" spans="1:8" ht="24" customHeight="1">
      <c r="A73" s="161" t="s">
        <v>391</v>
      </c>
      <c r="B73" s="1050" t="s">
        <v>1102</v>
      </c>
      <c r="C73" s="552">
        <v>480273945.32999998</v>
      </c>
      <c r="D73" s="552">
        <v>16323706</v>
      </c>
      <c r="E73" s="552">
        <v>10813201</v>
      </c>
      <c r="F73" s="552">
        <v>60227051.600000001</v>
      </c>
      <c r="G73" s="552">
        <v>392909986.73000002</v>
      </c>
      <c r="H73" s="552">
        <v>25845563.969999999</v>
      </c>
    </row>
    <row r="74" spans="1:8" ht="13.15" customHeight="1">
      <c r="A74" s="161" t="s">
        <v>394</v>
      </c>
      <c r="B74" s="1050" t="s">
        <v>1103</v>
      </c>
      <c r="C74" s="552">
        <v>844451265.62</v>
      </c>
      <c r="D74" s="552">
        <v>28219746.940000001</v>
      </c>
      <c r="E74" s="552">
        <v>18696992.77</v>
      </c>
      <c r="F74" s="552">
        <v>106675510.31</v>
      </c>
      <c r="G74" s="552">
        <v>690859015.60000002</v>
      </c>
      <c r="H74" s="552">
        <v>45309430.43</v>
      </c>
    </row>
    <row r="75" spans="1:8" ht="13.15" customHeight="1">
      <c r="A75" s="161" t="s">
        <v>396</v>
      </c>
      <c r="B75" s="1050" t="s">
        <v>1104</v>
      </c>
      <c r="C75" s="552">
        <v>314238718.76999998</v>
      </c>
      <c r="D75" s="552">
        <v>12127968.32</v>
      </c>
      <c r="E75" s="552">
        <v>7995249</v>
      </c>
      <c r="F75" s="552">
        <v>42745351.700000003</v>
      </c>
      <c r="G75" s="552">
        <v>251370149.75</v>
      </c>
      <c r="H75" s="552">
        <v>16846381.059999999</v>
      </c>
    </row>
    <row r="76" spans="1:8" ht="13.15" customHeight="1">
      <c r="A76" s="161" t="s">
        <v>399</v>
      </c>
      <c r="B76" s="1050" t="s">
        <v>1105</v>
      </c>
      <c r="C76" s="552">
        <v>385181152.49000001</v>
      </c>
      <c r="D76" s="552">
        <v>13010729.65</v>
      </c>
      <c r="E76" s="552">
        <v>8632364</v>
      </c>
      <c r="F76" s="552">
        <v>47923433.890000001</v>
      </c>
      <c r="G76" s="552">
        <v>315614624.94999999</v>
      </c>
      <c r="H76" s="552">
        <v>20745175.530000001</v>
      </c>
    </row>
    <row r="77" spans="1:8" ht="13.15" customHeight="1">
      <c r="A77" s="161" t="s">
        <v>402</v>
      </c>
      <c r="B77" s="1050" t="s">
        <v>1106</v>
      </c>
      <c r="C77" s="552">
        <v>220530618.5</v>
      </c>
      <c r="D77" s="552">
        <v>12691611</v>
      </c>
      <c r="E77" s="552">
        <v>8387316</v>
      </c>
      <c r="F77" s="552">
        <v>45380616.549999997</v>
      </c>
      <c r="G77" s="552">
        <v>154071074.94999999</v>
      </c>
      <c r="H77" s="552">
        <v>11401020.32</v>
      </c>
    </row>
    <row r="78" spans="1:8" ht="24" customHeight="1">
      <c r="A78" s="161" t="s">
        <v>405</v>
      </c>
      <c r="B78" s="1050" t="s">
        <v>1107</v>
      </c>
      <c r="C78" s="552">
        <v>1147055988.5</v>
      </c>
      <c r="D78" s="552">
        <v>43247781</v>
      </c>
      <c r="E78" s="552">
        <v>28701029</v>
      </c>
      <c r="F78" s="552">
        <v>161242898.72</v>
      </c>
      <c r="G78" s="552">
        <v>913864279.77999997</v>
      </c>
      <c r="H78" s="552">
        <v>61363146.649999999</v>
      </c>
    </row>
    <row r="79" spans="1:8" ht="13.15" customHeight="1">
      <c r="A79" s="161" t="s">
        <v>408</v>
      </c>
      <c r="B79" s="1050" t="s">
        <v>1108</v>
      </c>
      <c r="C79" s="552">
        <v>464969448.00999999</v>
      </c>
      <c r="D79" s="552">
        <v>23422862</v>
      </c>
      <c r="E79" s="552">
        <v>15573693.710000001</v>
      </c>
      <c r="F79" s="552">
        <v>86545849.209999993</v>
      </c>
      <c r="G79" s="552">
        <v>339427043.08999997</v>
      </c>
      <c r="H79" s="552">
        <v>24242381.25</v>
      </c>
    </row>
    <row r="80" spans="1:8" ht="13.15" customHeight="1">
      <c r="A80" s="161" t="s">
        <v>411</v>
      </c>
      <c r="B80" s="1050" t="s">
        <v>1109</v>
      </c>
      <c r="C80" s="552">
        <v>281481372.61000001</v>
      </c>
      <c r="D80" s="552">
        <v>14715438</v>
      </c>
      <c r="E80" s="552">
        <v>9719115</v>
      </c>
      <c r="F80" s="552">
        <v>53258409.030000001</v>
      </c>
      <c r="G80" s="552">
        <v>203788410.58000001</v>
      </c>
      <c r="H80" s="552">
        <v>14640100.41</v>
      </c>
    </row>
    <row r="81" spans="1:8" ht="13.15" customHeight="1">
      <c r="A81" s="161" t="s">
        <v>414</v>
      </c>
      <c r="B81" s="1050" t="s">
        <v>1110</v>
      </c>
      <c r="C81" s="552">
        <v>1145578891.1400001</v>
      </c>
      <c r="D81" s="552">
        <v>58170823</v>
      </c>
      <c r="E81" s="552">
        <v>38543693</v>
      </c>
      <c r="F81" s="552">
        <v>211429148.96000001</v>
      </c>
      <c r="G81" s="552">
        <v>837435226.17999995</v>
      </c>
      <c r="H81" s="552">
        <v>59785335.619999997</v>
      </c>
    </row>
    <row r="82" spans="1:8" ht="13.15" customHeight="1">
      <c r="A82" s="161" t="s">
        <v>417</v>
      </c>
      <c r="B82" s="1050" t="s">
        <v>1111</v>
      </c>
      <c r="C82" s="552">
        <v>1232933215.29</v>
      </c>
      <c r="D82" s="552">
        <v>34572345</v>
      </c>
      <c r="E82" s="552">
        <v>22995166</v>
      </c>
      <c r="F82" s="552">
        <v>131113700.25</v>
      </c>
      <c r="G82" s="552">
        <v>1044252004.04</v>
      </c>
      <c r="H82" s="552">
        <v>66856127.719999999</v>
      </c>
    </row>
    <row r="83" spans="1:8" ht="16" customHeight="1">
      <c r="A83" s="1092" t="s">
        <v>606</v>
      </c>
      <c r="B83" s="1055"/>
      <c r="D83" s="161"/>
      <c r="E83" s="161"/>
      <c r="F83" s="161"/>
      <c r="G83" s="161"/>
      <c r="H83" s="161"/>
    </row>
    <row r="84" spans="1:8" ht="14.9" customHeight="1">
      <c r="A84" s="1093" t="s">
        <v>605</v>
      </c>
      <c r="B84" s="1055"/>
      <c r="D84" s="161"/>
      <c r="E84" s="161"/>
      <c r="F84" s="161"/>
      <c r="G84" s="161"/>
      <c r="H84" s="161"/>
    </row>
    <row r="85" spans="1:8" ht="14" customHeight="1">
      <c r="A85" s="1094" t="str">
        <f>A3</f>
        <v>Taxable Year 2021</v>
      </c>
      <c r="B85" s="1055"/>
      <c r="D85" s="161"/>
      <c r="E85" s="161"/>
      <c r="F85" s="161"/>
      <c r="G85" s="161"/>
      <c r="H85" s="161"/>
    </row>
    <row r="86" spans="1:8" ht="3" customHeight="1">
      <c r="D86" s="161"/>
      <c r="E86" s="161"/>
      <c r="F86" s="161"/>
      <c r="G86" s="161"/>
      <c r="H86" s="161"/>
    </row>
    <row r="87" spans="1:8" ht="3" customHeight="1" thickBot="1">
      <c r="B87" s="1056"/>
      <c r="C87" s="159"/>
      <c r="D87" s="159"/>
      <c r="E87" s="159"/>
      <c r="F87" s="159"/>
      <c r="G87" s="159"/>
      <c r="H87" s="159"/>
    </row>
    <row r="88" spans="1:8" ht="26">
      <c r="A88" s="1047" t="s">
        <v>21</v>
      </c>
      <c r="B88" s="1049" t="s">
        <v>938</v>
      </c>
      <c r="C88" s="1048" t="s">
        <v>904</v>
      </c>
      <c r="D88" s="1048" t="s">
        <v>1038</v>
      </c>
      <c r="E88" s="1048" t="s">
        <v>1039</v>
      </c>
      <c r="F88" s="1048" t="s">
        <v>1040</v>
      </c>
      <c r="G88" s="1048" t="s">
        <v>1041</v>
      </c>
      <c r="H88" s="1048" t="s">
        <v>905</v>
      </c>
    </row>
    <row r="89" spans="1:8" ht="24" customHeight="1">
      <c r="A89" s="161" t="s">
        <v>420</v>
      </c>
      <c r="B89" s="1050" t="s">
        <v>1112</v>
      </c>
      <c r="C89" s="552">
        <v>333976268.88</v>
      </c>
      <c r="D89" s="552">
        <v>17160257</v>
      </c>
      <c r="E89" s="552">
        <v>11356977</v>
      </c>
      <c r="F89" s="552">
        <v>61204831.039999999</v>
      </c>
      <c r="G89" s="552">
        <v>244254203.84</v>
      </c>
      <c r="H89" s="552">
        <v>17469932.399999999</v>
      </c>
    </row>
    <row r="90" spans="1:8" ht="13.15" customHeight="1">
      <c r="A90" s="161" t="s">
        <v>422</v>
      </c>
      <c r="B90" s="1050" t="s">
        <v>1113</v>
      </c>
      <c r="C90" s="552">
        <v>737353523.44000006</v>
      </c>
      <c r="D90" s="552">
        <v>33963433.159999996</v>
      </c>
      <c r="E90" s="552">
        <v>22397810.050000001</v>
      </c>
      <c r="F90" s="552">
        <v>123461372.94</v>
      </c>
      <c r="G90" s="552">
        <v>557530907.28999996</v>
      </c>
      <c r="H90" s="552">
        <v>38833656.619999997</v>
      </c>
    </row>
    <row r="91" spans="1:8" ht="13.15" customHeight="1">
      <c r="A91" s="161" t="s">
        <v>425</v>
      </c>
      <c r="B91" s="1050" t="s">
        <v>1114</v>
      </c>
      <c r="C91" s="552">
        <v>16645156179.459999</v>
      </c>
      <c r="D91" s="552">
        <v>541056069.97000003</v>
      </c>
      <c r="E91" s="552">
        <v>359302745.05000001</v>
      </c>
      <c r="F91" s="552">
        <v>2022430339.4200001</v>
      </c>
      <c r="G91" s="552">
        <v>13722367025.02</v>
      </c>
      <c r="H91" s="552">
        <v>899263928.83000004</v>
      </c>
    </row>
    <row r="92" spans="1:8" ht="13.15" customHeight="1">
      <c r="A92" s="161" t="s">
        <v>427</v>
      </c>
      <c r="B92" s="1050" t="s">
        <v>1115</v>
      </c>
      <c r="C92" s="552">
        <v>637019014.17999995</v>
      </c>
      <c r="D92" s="552">
        <v>31379889</v>
      </c>
      <c r="E92" s="552">
        <v>20839303</v>
      </c>
      <c r="F92" s="552">
        <v>115975459.38</v>
      </c>
      <c r="G92" s="552">
        <v>468824362.80000001</v>
      </c>
      <c r="H92" s="552">
        <v>33263050.940000001</v>
      </c>
    </row>
    <row r="93" spans="1:8" ht="13.15" customHeight="1">
      <c r="A93" s="161" t="s">
        <v>430</v>
      </c>
      <c r="B93" s="1050" t="s">
        <v>1116</v>
      </c>
      <c r="C93" s="552">
        <v>442968135.42000002</v>
      </c>
      <c r="D93" s="552">
        <v>8380527</v>
      </c>
      <c r="E93" s="552">
        <v>5570656</v>
      </c>
      <c r="F93" s="552">
        <v>31312263.649999999</v>
      </c>
      <c r="G93" s="552">
        <v>397704688.76999998</v>
      </c>
      <c r="H93" s="552">
        <v>24556399.850000001</v>
      </c>
    </row>
    <row r="94" spans="1:8" ht="24" customHeight="1">
      <c r="A94" s="161" t="s">
        <v>360</v>
      </c>
      <c r="B94" s="1050" t="s">
        <v>1117</v>
      </c>
      <c r="C94" s="553">
        <v>289070279.30000001</v>
      </c>
      <c r="D94" s="553">
        <v>13442627.32</v>
      </c>
      <c r="E94" s="553">
        <v>8338298.9699999997</v>
      </c>
      <c r="F94" s="553">
        <v>42231157.020000003</v>
      </c>
      <c r="G94" s="553">
        <v>225058195.99000001</v>
      </c>
      <c r="H94" s="553">
        <v>15393761.91</v>
      </c>
    </row>
    <row r="95" spans="1:8" ht="13.15" customHeight="1">
      <c r="A95" s="161" t="s">
        <v>364</v>
      </c>
      <c r="B95" s="1050" t="s">
        <v>1118</v>
      </c>
      <c r="C95" s="552">
        <v>3095150274.1799998</v>
      </c>
      <c r="D95" s="552">
        <v>106641593</v>
      </c>
      <c r="E95" s="552">
        <v>70728421.920000002</v>
      </c>
      <c r="F95" s="552">
        <v>397040949.43000001</v>
      </c>
      <c r="G95" s="552">
        <v>2520739309.8299999</v>
      </c>
      <c r="H95" s="552">
        <v>166183545.53</v>
      </c>
    </row>
    <row r="96" spans="1:8" ht="13.15" customHeight="1">
      <c r="A96" s="161" t="s">
        <v>437</v>
      </c>
      <c r="B96" s="1050" t="s">
        <v>1119</v>
      </c>
      <c r="C96" s="552">
        <v>529770658.88999999</v>
      </c>
      <c r="D96" s="552">
        <v>21618134</v>
      </c>
      <c r="E96" s="552">
        <v>14324277</v>
      </c>
      <c r="F96" s="552">
        <v>79569129.129999995</v>
      </c>
      <c r="G96" s="552">
        <v>414259118.75999999</v>
      </c>
      <c r="H96" s="552">
        <v>28115786.059999999</v>
      </c>
    </row>
    <row r="97" spans="1:8" ht="13.15" customHeight="1">
      <c r="A97" s="161" t="s">
        <v>440</v>
      </c>
      <c r="B97" s="1050" t="s">
        <v>1120</v>
      </c>
      <c r="C97" s="552">
        <v>2252859624.21</v>
      </c>
      <c r="D97" s="552">
        <v>90228468.180000007</v>
      </c>
      <c r="E97" s="552">
        <v>59915039.810000002</v>
      </c>
      <c r="F97" s="552">
        <v>336406513.55000001</v>
      </c>
      <c r="G97" s="552">
        <v>1766309602.6700001</v>
      </c>
      <c r="H97" s="552">
        <v>119549180.5</v>
      </c>
    </row>
    <row r="98" spans="1:8" ht="13.15" customHeight="1">
      <c r="A98" s="161" t="s">
        <v>443</v>
      </c>
      <c r="B98" s="1050" t="s">
        <v>1121</v>
      </c>
      <c r="C98" s="553">
        <v>364068743.25999999</v>
      </c>
      <c r="D98" s="553">
        <v>19977715</v>
      </c>
      <c r="E98" s="553">
        <v>13249803.640000001</v>
      </c>
      <c r="F98" s="553">
        <v>72889961.920000002</v>
      </c>
      <c r="G98" s="553">
        <v>257951262.69999999</v>
      </c>
      <c r="H98" s="553">
        <v>18776421.41</v>
      </c>
    </row>
    <row r="99" spans="1:8" ht="24" customHeight="1">
      <c r="A99" s="161" t="s">
        <v>319</v>
      </c>
      <c r="B99" s="1050" t="s">
        <v>1122</v>
      </c>
      <c r="C99" s="161">
        <v>307712947.79000002</v>
      </c>
      <c r="D99" s="161">
        <v>17901828.449999999</v>
      </c>
      <c r="E99" s="161">
        <v>11727667.699999999</v>
      </c>
      <c r="F99" s="161">
        <v>64124076.920000002</v>
      </c>
      <c r="G99" s="161">
        <v>213959374.72</v>
      </c>
      <c r="H99" s="161">
        <v>15828354.449999999</v>
      </c>
    </row>
    <row r="100" spans="1:8" ht="13.15" customHeight="1">
      <c r="A100" s="161" t="s">
        <v>323</v>
      </c>
      <c r="B100" s="1050" t="s">
        <v>1123</v>
      </c>
      <c r="C100" s="161">
        <v>1315822219.0899999</v>
      </c>
      <c r="D100" s="161">
        <v>49666436</v>
      </c>
      <c r="E100" s="161">
        <v>32997546.129999999</v>
      </c>
      <c r="F100" s="161">
        <v>185378985.66</v>
      </c>
      <c r="G100" s="161">
        <v>1047779251.3</v>
      </c>
      <c r="H100" s="161">
        <v>70341342.480000004</v>
      </c>
    </row>
    <row r="101" spans="1:8" ht="13.15" customHeight="1">
      <c r="A101" s="161" t="s">
        <v>327</v>
      </c>
      <c r="B101" s="1050" t="s">
        <v>1124</v>
      </c>
      <c r="C101" s="161">
        <v>461994274.82999998</v>
      </c>
      <c r="D101" s="161">
        <v>25831073.289999999</v>
      </c>
      <c r="E101" s="161">
        <v>17147729</v>
      </c>
      <c r="F101" s="161">
        <v>93569565</v>
      </c>
      <c r="G101" s="161">
        <v>325445907.54000002</v>
      </c>
      <c r="H101" s="161">
        <v>23842320.75</v>
      </c>
    </row>
    <row r="102" spans="1:8" ht="13.15" customHeight="1">
      <c r="A102" s="161" t="s">
        <v>331</v>
      </c>
      <c r="B102" s="1050" t="s">
        <v>1125</v>
      </c>
      <c r="C102" s="161">
        <v>363140883.57999998</v>
      </c>
      <c r="D102" s="161">
        <v>17984323</v>
      </c>
      <c r="E102" s="161">
        <v>11894321.4</v>
      </c>
      <c r="F102" s="161">
        <v>65450172.659999996</v>
      </c>
      <c r="G102" s="161">
        <v>267812066.52000001</v>
      </c>
      <c r="H102" s="161">
        <v>18987024.370000001</v>
      </c>
    </row>
    <row r="103" spans="1:8" ht="13.15" customHeight="1">
      <c r="A103" s="161" t="s">
        <v>335</v>
      </c>
      <c r="B103" s="1050" t="s">
        <v>1126</v>
      </c>
      <c r="C103" s="161">
        <v>4534837673.7399998</v>
      </c>
      <c r="D103" s="161">
        <v>158791181.19999999</v>
      </c>
      <c r="E103" s="161">
        <v>105520133.28</v>
      </c>
      <c r="F103" s="161">
        <v>593965169.49000001</v>
      </c>
      <c r="G103" s="161">
        <v>3676561189.77</v>
      </c>
      <c r="H103" s="161">
        <v>243738704.90000001</v>
      </c>
    </row>
    <row r="104" spans="1:8" ht="24" customHeight="1">
      <c r="A104" s="161" t="s">
        <v>339</v>
      </c>
      <c r="B104" s="1050" t="s">
        <v>1127</v>
      </c>
      <c r="C104" s="161">
        <v>5282466714.1999998</v>
      </c>
      <c r="D104" s="161">
        <v>170544314</v>
      </c>
      <c r="E104" s="161">
        <v>113233057</v>
      </c>
      <c r="F104" s="161">
        <v>639993983.94000006</v>
      </c>
      <c r="G104" s="161">
        <v>4358695359.2600002</v>
      </c>
      <c r="H104" s="161">
        <v>285154717.98000002</v>
      </c>
    </row>
    <row r="105" spans="1:8" ht="13.15" customHeight="1">
      <c r="A105" s="161" t="s">
        <v>343</v>
      </c>
      <c r="B105" s="1050" t="s">
        <v>1128</v>
      </c>
      <c r="C105" s="161">
        <v>146709056.36000001</v>
      </c>
      <c r="D105" s="161">
        <v>7460907.7300000004</v>
      </c>
      <c r="E105" s="161">
        <v>4905222</v>
      </c>
      <c r="F105" s="161">
        <v>26602091.309999999</v>
      </c>
      <c r="G105" s="161">
        <v>107740835.31999999</v>
      </c>
      <c r="H105" s="161">
        <v>7680061.3700000001</v>
      </c>
    </row>
    <row r="106" spans="1:8" ht="13.15" customHeight="1">
      <c r="A106" s="161" t="s">
        <v>347</v>
      </c>
      <c r="B106" s="1050" t="s">
        <v>1129</v>
      </c>
      <c r="C106" s="161">
        <v>146028439.34</v>
      </c>
      <c r="D106" s="161">
        <v>8343278.5</v>
      </c>
      <c r="E106" s="161">
        <v>5490715</v>
      </c>
      <c r="F106" s="161">
        <v>29559196.190000001</v>
      </c>
      <c r="G106" s="161">
        <v>102635249.65000001</v>
      </c>
      <c r="H106" s="161">
        <v>7580531.04</v>
      </c>
    </row>
    <row r="107" spans="1:8" ht="13.15" customHeight="1">
      <c r="A107" s="161" t="s">
        <v>351</v>
      </c>
      <c r="B107" s="1050" t="s">
        <v>1130</v>
      </c>
      <c r="C107" s="161">
        <v>635371804.54999995</v>
      </c>
      <c r="D107" s="161">
        <v>32375959.109999999</v>
      </c>
      <c r="E107" s="161">
        <v>21417098</v>
      </c>
      <c r="F107" s="161">
        <v>116984372.61</v>
      </c>
      <c r="G107" s="161">
        <v>464594374.82999998</v>
      </c>
      <c r="H107" s="161">
        <v>33097785.489999998</v>
      </c>
    </row>
    <row r="108" spans="1:8" ht="13.15" customHeight="1">
      <c r="A108" s="161" t="s">
        <v>355</v>
      </c>
      <c r="B108" s="1050" t="s">
        <v>1131</v>
      </c>
      <c r="C108" s="161">
        <v>1132075586.45</v>
      </c>
      <c r="D108" s="161">
        <v>45346213.090000004</v>
      </c>
      <c r="E108" s="161">
        <v>30094972.18</v>
      </c>
      <c r="F108" s="161">
        <v>169318390.87</v>
      </c>
      <c r="G108" s="161">
        <v>887316010.30999994</v>
      </c>
      <c r="H108" s="161">
        <v>60350215.740000002</v>
      </c>
    </row>
    <row r="109" spans="1:8" ht="24" customHeight="1">
      <c r="A109" s="161" t="s">
        <v>359</v>
      </c>
      <c r="B109" s="1050" t="s">
        <v>1132</v>
      </c>
      <c r="C109" s="224">
        <v>1243587955.7</v>
      </c>
      <c r="D109" s="224">
        <v>56035406.439999998</v>
      </c>
      <c r="E109" s="224">
        <v>36767244.969999999</v>
      </c>
      <c r="F109" s="224">
        <v>200174490.99000001</v>
      </c>
      <c r="G109" s="224">
        <v>950610813.29999995</v>
      </c>
      <c r="H109" s="224">
        <v>65661195.170000002</v>
      </c>
    </row>
    <row r="110" spans="1:8" ht="13.15" customHeight="1">
      <c r="A110" s="161" t="s">
        <v>363</v>
      </c>
      <c r="B110" s="1050" t="s">
        <v>1133</v>
      </c>
      <c r="C110" s="161">
        <v>444070743.35000002</v>
      </c>
      <c r="D110" s="161">
        <v>19515818</v>
      </c>
      <c r="E110" s="161">
        <v>12934380.029999999</v>
      </c>
      <c r="F110" s="161">
        <v>71447848.650000006</v>
      </c>
      <c r="G110" s="161">
        <v>340172696.67000002</v>
      </c>
      <c r="H110" s="161">
        <v>23541923.75</v>
      </c>
    </row>
    <row r="111" spans="1:8" ht="13.15" customHeight="1">
      <c r="A111" s="161" t="s">
        <v>367</v>
      </c>
      <c r="B111" s="1050" t="s">
        <v>1134</v>
      </c>
      <c r="C111" s="161">
        <v>484150407.52999997</v>
      </c>
      <c r="D111" s="161">
        <v>27339269.969999999</v>
      </c>
      <c r="E111" s="161">
        <v>18099290.219999999</v>
      </c>
      <c r="F111" s="161">
        <v>98544443.900000006</v>
      </c>
      <c r="G111" s="161">
        <v>340167403.44</v>
      </c>
      <c r="H111" s="161">
        <v>24977239.609999999</v>
      </c>
    </row>
    <row r="112" spans="1:8" ht="13.15" customHeight="1">
      <c r="A112" s="161" t="s">
        <v>371</v>
      </c>
      <c r="B112" s="1050" t="s">
        <v>1135</v>
      </c>
      <c r="C112" s="161">
        <v>493593636.13999999</v>
      </c>
      <c r="D112" s="161">
        <v>26639711.690000001</v>
      </c>
      <c r="E112" s="161">
        <v>17662668</v>
      </c>
      <c r="F112" s="161">
        <v>97332631.370000005</v>
      </c>
      <c r="G112" s="161">
        <v>351958625.07999998</v>
      </c>
      <c r="H112" s="161">
        <v>25541353.710000001</v>
      </c>
    </row>
    <row r="113" spans="1:8" ht="13.15" customHeight="1">
      <c r="A113" s="161" t="s">
        <v>375</v>
      </c>
      <c r="B113" s="1050" t="s">
        <v>1136</v>
      </c>
      <c r="C113" s="161">
        <v>2343643393.1599998</v>
      </c>
      <c r="D113" s="161">
        <v>72382360</v>
      </c>
      <c r="E113" s="161">
        <v>47923881.82</v>
      </c>
      <c r="F113" s="161">
        <v>270356833.06999999</v>
      </c>
      <c r="G113" s="161">
        <v>1952980318.27</v>
      </c>
      <c r="H113" s="161">
        <v>126632181.69</v>
      </c>
    </row>
    <row r="114" spans="1:8" ht="10.75" customHeight="1">
      <c r="A114" s="161"/>
      <c r="B114" s="1051"/>
      <c r="D114" s="161"/>
      <c r="E114" s="161"/>
      <c r="F114" s="161"/>
      <c r="G114" s="161"/>
      <c r="H114" s="161"/>
    </row>
    <row r="115" spans="1:8" ht="13.15" customHeight="1">
      <c r="A115" s="302" t="s">
        <v>22</v>
      </c>
      <c r="B115" s="1052"/>
      <c r="C115" s="303">
        <f t="shared" ref="C115:H115" si="0">SUM(C7:C113)</f>
        <v>250561952762.17999</v>
      </c>
      <c r="D115" s="303">
        <f t="shared" si="0"/>
        <v>6672246955.6599979</v>
      </c>
      <c r="E115" s="303">
        <f t="shared" si="0"/>
        <v>4423019578.0599995</v>
      </c>
      <c r="F115" s="303">
        <f t="shared" si="0"/>
        <v>24911756191.59</v>
      </c>
      <c r="G115" s="303">
        <f t="shared" si="0"/>
        <v>214554930036.86996</v>
      </c>
      <c r="H115" s="303">
        <f t="shared" si="0"/>
        <v>13682050513.550003</v>
      </c>
    </row>
    <row r="116" spans="1:8" ht="16" customHeight="1">
      <c r="A116" s="1092" t="s">
        <v>606</v>
      </c>
      <c r="B116" s="1055"/>
      <c r="D116" s="161"/>
      <c r="E116" s="161"/>
      <c r="F116" s="161"/>
      <c r="G116" s="161"/>
      <c r="H116" s="161"/>
    </row>
    <row r="117" spans="1:8" ht="14.9" customHeight="1">
      <c r="A117" s="1093" t="s">
        <v>605</v>
      </c>
      <c r="B117" s="1055"/>
      <c r="D117" s="161"/>
      <c r="E117" s="161"/>
      <c r="F117" s="161"/>
      <c r="G117" s="161"/>
      <c r="H117" s="161"/>
    </row>
    <row r="118" spans="1:8" ht="14" customHeight="1">
      <c r="A118" s="1094" t="str">
        <f>A3</f>
        <v>Taxable Year 2021</v>
      </c>
      <c r="B118" s="1055"/>
      <c r="D118" s="161"/>
      <c r="E118" s="161"/>
      <c r="F118" s="161"/>
      <c r="G118" s="161"/>
      <c r="H118" s="161"/>
    </row>
    <row r="119" spans="1:8" ht="6" customHeight="1" thickBot="1">
      <c r="D119" s="161"/>
      <c r="E119" s="161"/>
      <c r="F119" s="161"/>
      <c r="G119" s="161"/>
      <c r="H119" s="161"/>
    </row>
    <row r="120" spans="1:8" ht="25" customHeight="1">
      <c r="A120" s="1080" t="s">
        <v>23</v>
      </c>
      <c r="B120" s="1049" t="s">
        <v>938</v>
      </c>
      <c r="C120" s="1048" t="s">
        <v>904</v>
      </c>
      <c r="D120" s="1048" t="s">
        <v>1038</v>
      </c>
      <c r="E120" s="1048" t="s">
        <v>1039</v>
      </c>
      <c r="F120" s="1048" t="s">
        <v>1040</v>
      </c>
      <c r="G120" s="1048" t="s">
        <v>1041</v>
      </c>
      <c r="H120" s="1048" t="s">
        <v>905</v>
      </c>
    </row>
    <row r="121" spans="1:8" ht="19" customHeight="1">
      <c r="A121" s="159" t="s">
        <v>392</v>
      </c>
      <c r="B121" s="1050" t="s">
        <v>1137</v>
      </c>
      <c r="C121" s="301">
        <v>10444170668.1</v>
      </c>
      <c r="D121" s="301">
        <v>217572221.56999999</v>
      </c>
      <c r="E121" s="301">
        <v>143520645.78999999</v>
      </c>
      <c r="F121" s="301">
        <v>812709316.94000006</v>
      </c>
      <c r="G121" s="301">
        <v>9270368483.7999992</v>
      </c>
      <c r="H121" s="301">
        <v>578630332.36000001</v>
      </c>
    </row>
    <row r="122" spans="1:8" s="1098" customFormat="1" ht="12" customHeight="1">
      <c r="A122" s="1095" t="s">
        <v>397</v>
      </c>
      <c r="B122" s="1096" t="s">
        <v>1138</v>
      </c>
      <c r="C122" s="1097">
        <v>326293024.06</v>
      </c>
      <c r="D122" s="1097">
        <v>23129330.07</v>
      </c>
      <c r="E122" s="1097">
        <v>14793288.83</v>
      </c>
      <c r="F122" s="1097">
        <v>75774394.989999995</v>
      </c>
      <c r="G122" s="1097">
        <v>212596010.16999999</v>
      </c>
      <c r="H122" s="1097">
        <v>16643106.619999999</v>
      </c>
    </row>
    <row r="123" spans="1:8" s="1098" customFormat="1" ht="12" customHeight="1">
      <c r="A123" s="1095" t="s">
        <v>400</v>
      </c>
      <c r="B123" s="1096" t="s">
        <v>1139</v>
      </c>
      <c r="C123" s="1097">
        <v>83636959.400000006</v>
      </c>
      <c r="D123" s="1097">
        <v>5718837</v>
      </c>
      <c r="E123" s="1097">
        <v>3774881.05</v>
      </c>
      <c r="F123" s="1097">
        <v>20560128.039999999</v>
      </c>
      <c r="G123" s="1097">
        <v>53583113.310000002</v>
      </c>
      <c r="H123" s="1097">
        <v>4217199.4400000004</v>
      </c>
    </row>
    <row r="124" spans="1:8" s="1098" customFormat="1" ht="12" customHeight="1">
      <c r="A124" s="1095" t="s">
        <v>403</v>
      </c>
      <c r="B124" s="1096" t="s">
        <v>1140</v>
      </c>
      <c r="C124" s="1097">
        <v>2376911763.9699998</v>
      </c>
      <c r="D124" s="1097">
        <v>49386669.079999998</v>
      </c>
      <c r="E124" s="1097">
        <v>32489720.760000002</v>
      </c>
      <c r="F124" s="1097">
        <v>179861692.18000001</v>
      </c>
      <c r="G124" s="1097">
        <v>2115173681.95</v>
      </c>
      <c r="H124" s="1097">
        <v>131676433.12</v>
      </c>
    </row>
    <row r="125" spans="1:8" s="1098" customFormat="1" ht="12" customHeight="1">
      <c r="A125" s="1095" t="s">
        <v>406</v>
      </c>
      <c r="B125" s="1096" t="s">
        <v>1141</v>
      </c>
      <c r="C125" s="1097">
        <v>6700806510.2700005</v>
      </c>
      <c r="D125" s="1097">
        <v>259867118.88999999</v>
      </c>
      <c r="E125" s="1097">
        <v>171906045.94999999</v>
      </c>
      <c r="F125" s="1097">
        <v>954497689.19000006</v>
      </c>
      <c r="G125" s="1097">
        <v>5314535656.2399998</v>
      </c>
      <c r="H125" s="1097">
        <v>357894369.18000001</v>
      </c>
    </row>
    <row r="126" spans="1:8" ht="19" customHeight="1">
      <c r="A126" s="159" t="s">
        <v>409</v>
      </c>
      <c r="B126" s="1050" t="s">
        <v>1142</v>
      </c>
      <c r="C126" s="161">
        <v>359146861.22000003</v>
      </c>
      <c r="D126" s="161">
        <v>19563637</v>
      </c>
      <c r="E126" s="161">
        <v>12984591</v>
      </c>
      <c r="F126" s="161">
        <v>71753948.849999994</v>
      </c>
      <c r="G126" s="161">
        <v>254844684.37</v>
      </c>
      <c r="H126" s="161">
        <v>18675452.109999999</v>
      </c>
    </row>
    <row r="127" spans="1:8" s="1098" customFormat="1" ht="12" customHeight="1">
      <c r="A127" s="1095" t="s">
        <v>412</v>
      </c>
      <c r="B127" s="1096" t="s">
        <v>1143</v>
      </c>
      <c r="C127" s="1097">
        <v>84983081.359999999</v>
      </c>
      <c r="D127" s="1097">
        <v>5643664.3600000003</v>
      </c>
      <c r="E127" s="1097">
        <v>3724747</v>
      </c>
      <c r="F127" s="1097">
        <v>19989571</v>
      </c>
      <c r="G127" s="1097">
        <v>55625099</v>
      </c>
      <c r="H127" s="1097">
        <v>4327710.03</v>
      </c>
    </row>
    <row r="128" spans="1:8" s="1098" customFormat="1" ht="12" customHeight="1">
      <c r="A128" s="1095" t="s">
        <v>415</v>
      </c>
      <c r="B128" s="1096" t="s">
        <v>1144</v>
      </c>
      <c r="C128" s="1097">
        <v>741551173.17999995</v>
      </c>
      <c r="D128" s="1097">
        <v>40509519.960000001</v>
      </c>
      <c r="E128" s="1097">
        <v>26477504</v>
      </c>
      <c r="F128" s="1097">
        <v>137128150.19</v>
      </c>
      <c r="G128" s="1097">
        <v>537435999.02999997</v>
      </c>
      <c r="H128" s="1097">
        <v>38925963.329999998</v>
      </c>
    </row>
    <row r="129" spans="1:8" s="1098" customFormat="1" ht="12" customHeight="1">
      <c r="A129" s="1095" t="s">
        <v>418</v>
      </c>
      <c r="B129" s="1096" t="s">
        <v>1145</v>
      </c>
      <c r="C129" s="1097">
        <v>62606125.390000001</v>
      </c>
      <c r="D129" s="1097">
        <v>4999051</v>
      </c>
      <c r="E129" s="1097">
        <v>3254840</v>
      </c>
      <c r="F129" s="1097">
        <v>16259360.84</v>
      </c>
      <c r="G129" s="1097">
        <v>38092873.549999997</v>
      </c>
      <c r="H129" s="1097">
        <v>3161871.73</v>
      </c>
    </row>
    <row r="130" spans="1:8" s="1098" customFormat="1" ht="12" customHeight="1">
      <c r="A130" s="1095" t="s">
        <v>413</v>
      </c>
      <c r="B130" s="1096" t="s">
        <v>1146</v>
      </c>
      <c r="C130" s="1097">
        <v>1508560230.54</v>
      </c>
      <c r="D130" s="1097">
        <v>36615874.119999997</v>
      </c>
      <c r="E130" s="1097">
        <v>24031724.43</v>
      </c>
      <c r="F130" s="1097">
        <v>134059117.90000001</v>
      </c>
      <c r="G130" s="1097">
        <v>1313853514.0899999</v>
      </c>
      <c r="H130" s="1097">
        <v>82857030.560000002</v>
      </c>
    </row>
    <row r="131" spans="1:8" ht="19" customHeight="1">
      <c r="A131" s="159" t="s">
        <v>423</v>
      </c>
      <c r="B131" s="1050" t="s">
        <v>1147</v>
      </c>
      <c r="C131" s="161">
        <v>1353885114.6199999</v>
      </c>
      <c r="D131" s="161">
        <v>20494655.57</v>
      </c>
      <c r="E131" s="161">
        <v>13476987.27</v>
      </c>
      <c r="F131" s="161">
        <v>76897445.060000002</v>
      </c>
      <c r="G131" s="161">
        <v>1243016026.72</v>
      </c>
      <c r="H131" s="161">
        <v>75589596.930000007</v>
      </c>
    </row>
    <row r="132" spans="1:8" s="1098" customFormat="1" ht="12" customHeight="1">
      <c r="A132" s="1095" t="s">
        <v>24</v>
      </c>
      <c r="B132" s="1096" t="s">
        <v>1148</v>
      </c>
      <c r="C132" s="1097">
        <v>133098524.22</v>
      </c>
      <c r="D132" s="1097">
        <v>7672498.5599999996</v>
      </c>
      <c r="E132" s="1097">
        <v>5014817.37</v>
      </c>
      <c r="F132" s="1097">
        <v>26327606.800000001</v>
      </c>
      <c r="G132" s="1097">
        <v>94083601.489999995</v>
      </c>
      <c r="H132" s="1097">
        <v>6933372.9900000002</v>
      </c>
    </row>
    <row r="133" spans="1:8" s="1098" customFormat="1" ht="12" customHeight="1">
      <c r="A133" s="1095" t="s">
        <v>428</v>
      </c>
      <c r="B133" s="1096" t="s">
        <v>1149</v>
      </c>
      <c r="C133" s="1097">
        <v>1207782410.9400001</v>
      </c>
      <c r="D133" s="1097">
        <v>33624019.759999998</v>
      </c>
      <c r="E133" s="1097">
        <v>22185797</v>
      </c>
      <c r="F133" s="1097">
        <v>122300524.94</v>
      </c>
      <c r="G133" s="1097">
        <v>1029672069.24</v>
      </c>
      <c r="H133" s="1097">
        <v>66133534</v>
      </c>
    </row>
    <row r="134" spans="1:8" s="1098" customFormat="1" ht="12" customHeight="1">
      <c r="A134" s="1095" t="s">
        <v>431</v>
      </c>
      <c r="B134" s="1096" t="s">
        <v>1150</v>
      </c>
      <c r="C134" s="1097">
        <v>110402345.55</v>
      </c>
      <c r="D134" s="1097">
        <v>6961401</v>
      </c>
      <c r="E134" s="1097">
        <v>4567665</v>
      </c>
      <c r="F134" s="1097">
        <v>24088786.199999999</v>
      </c>
      <c r="G134" s="1097">
        <v>74784493.349999994</v>
      </c>
      <c r="H134" s="1097">
        <v>5658994.8499999996</v>
      </c>
    </row>
    <row r="135" spans="1:8" s="1098" customFormat="1" ht="12" customHeight="1">
      <c r="A135" s="1095" t="s">
        <v>433</v>
      </c>
      <c r="B135" s="1096" t="s">
        <v>1151</v>
      </c>
      <c r="C135" s="1097">
        <v>2443425018.3600001</v>
      </c>
      <c r="D135" s="1097">
        <v>131322006.66</v>
      </c>
      <c r="E135" s="1097">
        <v>86873224.010000005</v>
      </c>
      <c r="F135" s="1097">
        <v>472857781.39999998</v>
      </c>
      <c r="G135" s="1097">
        <v>1752372006.29</v>
      </c>
      <c r="H135" s="1097">
        <v>127701759.91</v>
      </c>
    </row>
    <row r="136" spans="1:8" ht="19" customHeight="1">
      <c r="A136" s="159" t="s">
        <v>435</v>
      </c>
      <c r="B136" s="1050" t="s">
        <v>1152</v>
      </c>
      <c r="C136" s="161">
        <v>825880130.32000005</v>
      </c>
      <c r="D136" s="161">
        <v>41702298.039999999</v>
      </c>
      <c r="E136" s="161">
        <v>27600322</v>
      </c>
      <c r="F136" s="161">
        <v>150799672.31</v>
      </c>
      <c r="G136" s="161">
        <v>605777837.97000003</v>
      </c>
      <c r="H136" s="161">
        <v>43330058</v>
      </c>
    </row>
    <row r="137" spans="1:8" s="1098" customFormat="1" ht="12" customHeight="1">
      <c r="A137" s="1095" t="s">
        <v>438</v>
      </c>
      <c r="B137" s="1096" t="s">
        <v>1153</v>
      </c>
      <c r="C137" s="1097">
        <v>297915641.11000001</v>
      </c>
      <c r="D137" s="1097">
        <v>21619866</v>
      </c>
      <c r="E137" s="1097">
        <v>14296777</v>
      </c>
      <c r="F137" s="1097">
        <v>75926723.079999998</v>
      </c>
      <c r="G137" s="1097">
        <v>186072275.03</v>
      </c>
      <c r="H137" s="1097">
        <v>15143119.75</v>
      </c>
    </row>
    <row r="138" spans="1:8" s="1098" customFormat="1" ht="12" customHeight="1">
      <c r="A138" s="1095" t="s">
        <v>441</v>
      </c>
      <c r="B138" s="1096" t="s">
        <v>1154</v>
      </c>
      <c r="C138" s="1099">
        <v>175007124.19</v>
      </c>
      <c r="D138" s="1099">
        <v>5814470</v>
      </c>
      <c r="E138" s="1099">
        <v>3789165</v>
      </c>
      <c r="F138" s="1099">
        <v>20955416.100000001</v>
      </c>
      <c r="G138" s="1099">
        <v>144448073.09</v>
      </c>
      <c r="H138" s="1099">
        <v>9445767.6500000004</v>
      </c>
    </row>
    <row r="139" spans="1:8" s="1098" customFormat="1" ht="12" customHeight="1">
      <c r="A139" s="1100" t="s">
        <v>444</v>
      </c>
      <c r="B139" s="1096" t="s">
        <v>1155</v>
      </c>
      <c r="C139" s="1097">
        <v>1619298185.1300001</v>
      </c>
      <c r="D139" s="1097">
        <v>72050415.290000007</v>
      </c>
      <c r="E139" s="1097">
        <v>47516063.200000003</v>
      </c>
      <c r="F139" s="1097">
        <v>257153481.31999999</v>
      </c>
      <c r="G139" s="1097">
        <v>1242578225.3199999</v>
      </c>
      <c r="H139" s="1097">
        <v>85841181.260000005</v>
      </c>
    </row>
    <row r="140" spans="1:8" s="1098" customFormat="1" ht="12" customHeight="1">
      <c r="A140" s="1100" t="s">
        <v>320</v>
      </c>
      <c r="B140" s="1096" t="s">
        <v>1156</v>
      </c>
      <c r="C140" s="1097">
        <v>1175107075.0899999</v>
      </c>
      <c r="D140" s="1097">
        <v>51934275.399999999</v>
      </c>
      <c r="E140" s="1097">
        <v>34424559</v>
      </c>
      <c r="F140" s="1097">
        <v>190662956.43000001</v>
      </c>
      <c r="G140" s="1097">
        <v>898085284.25999999</v>
      </c>
      <c r="H140" s="1097">
        <v>62362862.609999999</v>
      </c>
    </row>
    <row r="141" spans="1:8" ht="19" customHeight="1">
      <c r="A141" s="159" t="s">
        <v>324</v>
      </c>
      <c r="B141" s="1050" t="s">
        <v>1157</v>
      </c>
      <c r="C141" s="161">
        <v>440753271.85000002</v>
      </c>
      <c r="D141" s="161">
        <v>21506784</v>
      </c>
      <c r="E141" s="161">
        <v>14289875</v>
      </c>
      <c r="F141" s="161">
        <v>79310777.129999995</v>
      </c>
      <c r="G141" s="161">
        <v>325645835.72000003</v>
      </c>
      <c r="H141" s="161">
        <v>23203736.059999999</v>
      </c>
    </row>
    <row r="142" spans="1:8" s="1098" customFormat="1" ht="12" customHeight="1">
      <c r="A142" s="1095" t="s">
        <v>328</v>
      </c>
      <c r="B142" s="1096" t="s">
        <v>1158</v>
      </c>
      <c r="C142" s="1097">
        <v>220729592.08000001</v>
      </c>
      <c r="D142" s="1097">
        <v>12802547.18</v>
      </c>
      <c r="E142" s="1097">
        <v>8400552</v>
      </c>
      <c r="F142" s="1097">
        <v>44388701.479999997</v>
      </c>
      <c r="G142" s="1097">
        <v>155137791.41999999</v>
      </c>
      <c r="H142" s="1097">
        <v>11502793.4</v>
      </c>
    </row>
    <row r="143" spans="1:8" s="1098" customFormat="1" ht="12" customHeight="1">
      <c r="A143" s="1095" t="s">
        <v>332</v>
      </c>
      <c r="B143" s="1096" t="s">
        <v>1159</v>
      </c>
      <c r="C143" s="1097">
        <v>3417374433.4400001</v>
      </c>
      <c r="D143" s="1097">
        <v>178577890.25999999</v>
      </c>
      <c r="E143" s="1097">
        <v>118146834.43000001</v>
      </c>
      <c r="F143" s="1097">
        <v>642369788.95000005</v>
      </c>
      <c r="G143" s="1097">
        <v>2478279919.8000002</v>
      </c>
      <c r="H143" s="1097">
        <v>179114143.00999999</v>
      </c>
    </row>
    <row r="144" spans="1:8" s="1098" customFormat="1" ht="12" customHeight="1">
      <c r="A144" s="1095" t="s">
        <v>336</v>
      </c>
      <c r="B144" s="1096" t="s">
        <v>1160</v>
      </c>
      <c r="C144" s="1097">
        <v>4470317003.21</v>
      </c>
      <c r="D144" s="1097">
        <v>203183524.31999999</v>
      </c>
      <c r="E144" s="1097">
        <v>133884239.69</v>
      </c>
      <c r="F144" s="1097">
        <v>719153476.82000005</v>
      </c>
      <c r="G144" s="1097">
        <v>3414095762.3800001</v>
      </c>
      <c r="H144" s="1097">
        <v>237678615.72</v>
      </c>
    </row>
    <row r="145" spans="1:8" s="1098" customFormat="1" ht="12" customHeight="1">
      <c r="A145" s="1095" t="s">
        <v>340</v>
      </c>
      <c r="B145" s="1096" t="s">
        <v>1161</v>
      </c>
      <c r="C145" s="1097">
        <v>54652204.689999998</v>
      </c>
      <c r="D145" s="1097">
        <v>3515960</v>
      </c>
      <c r="E145" s="1097">
        <v>2313428</v>
      </c>
      <c r="F145" s="1097">
        <v>12478831.560000001</v>
      </c>
      <c r="G145" s="1097">
        <v>36343985.130000003</v>
      </c>
      <c r="H145" s="1097">
        <v>2784881.97</v>
      </c>
    </row>
    <row r="146" spans="1:8" ht="18" customHeight="1">
      <c r="A146" s="159" t="s">
        <v>344</v>
      </c>
      <c r="B146" s="1050" t="s">
        <v>1162</v>
      </c>
      <c r="C146" s="161">
        <v>356968218.92000002</v>
      </c>
      <c r="D146" s="161">
        <v>28982747</v>
      </c>
      <c r="E146" s="161">
        <v>19091552</v>
      </c>
      <c r="F146" s="161">
        <v>98616893.780000001</v>
      </c>
      <c r="G146" s="161">
        <v>210277026.13999999</v>
      </c>
      <c r="H146" s="161">
        <v>17987083.129999999</v>
      </c>
    </row>
    <row r="147" spans="1:8" s="1098" customFormat="1" ht="12" customHeight="1">
      <c r="A147" s="1095" t="s">
        <v>348</v>
      </c>
      <c r="B147" s="1096" t="s">
        <v>1163</v>
      </c>
      <c r="C147" s="1097">
        <v>474709566.94</v>
      </c>
      <c r="D147" s="1097">
        <v>13605790.609999999</v>
      </c>
      <c r="E147" s="1097">
        <v>9041976</v>
      </c>
      <c r="F147" s="1097">
        <v>51611487.759999998</v>
      </c>
      <c r="G147" s="1097">
        <v>400450312.56999999</v>
      </c>
      <c r="H147" s="1097">
        <v>25711301.350000001</v>
      </c>
    </row>
    <row r="148" spans="1:8" s="1098" customFormat="1" ht="12" customHeight="1">
      <c r="A148" s="1095" t="s">
        <v>352</v>
      </c>
      <c r="B148" s="1096" t="s">
        <v>1164</v>
      </c>
      <c r="C148" s="1097">
        <v>1497279982.1800001</v>
      </c>
      <c r="D148" s="1097">
        <v>91149962.670000002</v>
      </c>
      <c r="E148" s="1097">
        <v>60261691.07</v>
      </c>
      <c r="F148" s="1097">
        <v>324584833.23000002</v>
      </c>
      <c r="G148" s="1097">
        <v>1021283495.21</v>
      </c>
      <c r="H148" s="1097">
        <v>77482527.670000002</v>
      </c>
    </row>
    <row r="149" spans="1:8" s="1098" customFormat="1" ht="12" customHeight="1">
      <c r="A149" s="1095" t="s">
        <v>356</v>
      </c>
      <c r="B149" s="1096" t="s">
        <v>1165</v>
      </c>
      <c r="C149" s="1097">
        <v>246426350.53</v>
      </c>
      <c r="D149" s="1097">
        <v>13015730.949999999</v>
      </c>
      <c r="E149" s="1097">
        <v>8596039</v>
      </c>
      <c r="F149" s="1097">
        <v>46326760.439999998</v>
      </c>
      <c r="G149" s="1097">
        <v>178487820.13999999</v>
      </c>
      <c r="H149" s="1097">
        <v>12835800.76</v>
      </c>
    </row>
    <row r="150" spans="1:8" s="1098" customFormat="1" ht="12" customHeight="1">
      <c r="A150" s="1095" t="s">
        <v>360</v>
      </c>
      <c r="B150" s="1096" t="s">
        <v>1166</v>
      </c>
      <c r="C150" s="1099">
        <v>9194215363.1900005</v>
      </c>
      <c r="D150" s="1099">
        <v>247094319.06999999</v>
      </c>
      <c r="E150" s="1099">
        <v>163088776.88</v>
      </c>
      <c r="F150" s="1099">
        <v>888967716.00999999</v>
      </c>
      <c r="G150" s="1099">
        <v>7895064551.2299995</v>
      </c>
      <c r="H150" s="1099">
        <v>505085342.38999999</v>
      </c>
    </row>
    <row r="151" spans="1:8" ht="18" customHeight="1">
      <c r="A151" s="159" t="s">
        <v>25</v>
      </c>
      <c r="B151" s="1050" t="s">
        <v>1167</v>
      </c>
      <c r="C151" s="161">
        <v>2301415966.0799999</v>
      </c>
      <c r="D151" s="161">
        <v>99550999.849999994</v>
      </c>
      <c r="E151" s="161">
        <v>65969707.799999997</v>
      </c>
      <c r="F151" s="161">
        <v>357076301.79000002</v>
      </c>
      <c r="G151" s="161">
        <v>1778818956.6400001</v>
      </c>
      <c r="H151" s="161">
        <v>122657819.98999999</v>
      </c>
    </row>
    <row r="152" spans="1:8" s="1098" customFormat="1" ht="12" customHeight="1">
      <c r="A152" s="1095" t="s">
        <v>368</v>
      </c>
      <c r="B152" s="1096" t="s">
        <v>1168</v>
      </c>
      <c r="C152" s="1097">
        <v>726407405.97000003</v>
      </c>
      <c r="D152" s="1097">
        <v>28050322.149999999</v>
      </c>
      <c r="E152" s="1097">
        <v>18604843</v>
      </c>
      <c r="F152" s="1097">
        <v>103531457.42</v>
      </c>
      <c r="G152" s="1097">
        <v>576220783.39999998</v>
      </c>
      <c r="H152" s="1097">
        <v>38749462.840000004</v>
      </c>
    </row>
    <row r="153" spans="1:8" s="1098" customFormat="1" ht="12" customHeight="1">
      <c r="A153" s="1095" t="s">
        <v>372</v>
      </c>
      <c r="B153" s="1096" t="s">
        <v>1169</v>
      </c>
      <c r="C153" s="1097">
        <v>578680865.75</v>
      </c>
      <c r="D153" s="1097">
        <v>27617290.629999999</v>
      </c>
      <c r="E153" s="1097">
        <v>18338055</v>
      </c>
      <c r="F153" s="1097">
        <v>101937739.15000001</v>
      </c>
      <c r="G153" s="1097">
        <v>430787780.97000003</v>
      </c>
      <c r="H153" s="1097">
        <v>30406682.550000001</v>
      </c>
    </row>
    <row r="154" spans="1:8" s="1098" customFormat="1" ht="12" customHeight="1">
      <c r="A154" s="1095" t="s">
        <v>376</v>
      </c>
      <c r="B154" s="1096" t="s">
        <v>1170</v>
      </c>
      <c r="C154" s="1097">
        <v>2571745985.5300002</v>
      </c>
      <c r="D154" s="1097">
        <v>98565616.530000001</v>
      </c>
      <c r="E154" s="1097">
        <v>65136537.880000003</v>
      </c>
      <c r="F154" s="1097">
        <v>359438065.60000002</v>
      </c>
      <c r="G154" s="1097">
        <v>2048605765.52</v>
      </c>
      <c r="H154" s="1097">
        <v>137544025.49000001</v>
      </c>
    </row>
    <row r="155" spans="1:8" ht="18" customHeight="1">
      <c r="A155" s="159" t="s">
        <v>26</v>
      </c>
      <c r="B155" s="1050" t="s">
        <v>1171</v>
      </c>
      <c r="C155" s="161">
        <v>15888671254.969999</v>
      </c>
      <c r="D155" s="161">
        <v>486474507.55000001</v>
      </c>
      <c r="E155" s="161">
        <v>321927627.73000002</v>
      </c>
      <c r="F155" s="161">
        <v>1790908293.21</v>
      </c>
      <c r="G155" s="161">
        <v>13289360826.48</v>
      </c>
      <c r="H155" s="161">
        <v>862853338.12</v>
      </c>
    </row>
    <row r="156" spans="1:8" s="1098" customFormat="1" ht="12" customHeight="1">
      <c r="A156" s="1095" t="s">
        <v>381</v>
      </c>
      <c r="B156" s="1096" t="s">
        <v>1172</v>
      </c>
      <c r="C156" s="1097">
        <v>457249848.67000002</v>
      </c>
      <c r="D156" s="1097">
        <v>24176358.359999999</v>
      </c>
      <c r="E156" s="1097">
        <v>16072383</v>
      </c>
      <c r="F156" s="1097">
        <v>88684197.049999997</v>
      </c>
      <c r="G156" s="1097">
        <v>328316910.25999999</v>
      </c>
      <c r="H156" s="1097">
        <v>23824324.91</v>
      </c>
    </row>
    <row r="157" spans="1:8" s="1098" customFormat="1" ht="12" customHeight="1">
      <c r="A157" s="1095" t="s">
        <v>384</v>
      </c>
      <c r="B157" s="1096" t="s">
        <v>1173</v>
      </c>
      <c r="C157" s="1097">
        <v>529022369.06999999</v>
      </c>
      <c r="D157" s="1097">
        <v>14626485.6</v>
      </c>
      <c r="E157" s="1097">
        <v>9501682.3800000008</v>
      </c>
      <c r="F157" s="1097">
        <v>51307442.780000001</v>
      </c>
      <c r="G157" s="1097">
        <v>453586758.31</v>
      </c>
      <c r="H157" s="1097">
        <v>28976959.859999999</v>
      </c>
    </row>
    <row r="158" spans="1:8" s="1098" customFormat="1" ht="12" customHeight="1">
      <c r="A158" s="1095" t="s">
        <v>387</v>
      </c>
      <c r="B158" s="1096" t="s">
        <v>1174</v>
      </c>
      <c r="C158" s="1097">
        <v>759225911.60000002</v>
      </c>
      <c r="D158" s="1097">
        <v>31665548.260000002</v>
      </c>
      <c r="E158" s="1097">
        <v>20908924</v>
      </c>
      <c r="F158" s="1097">
        <v>114622279.72</v>
      </c>
      <c r="G158" s="1097">
        <v>592029159.62</v>
      </c>
      <c r="H158" s="1097">
        <v>40528277.670000002</v>
      </c>
    </row>
    <row r="159" spans="1:8" ht="4" customHeight="1">
      <c r="A159" s="304"/>
      <c r="B159" s="1053"/>
      <c r="C159" s="304"/>
      <c r="D159" s="304"/>
      <c r="E159" s="304"/>
      <c r="F159" s="304"/>
      <c r="G159" s="304"/>
      <c r="H159" s="304"/>
    </row>
    <row r="160" spans="1:8" s="1098" customFormat="1" ht="12.65" customHeight="1">
      <c r="A160" s="1101" t="s">
        <v>27</v>
      </c>
      <c r="B160" s="1102"/>
      <c r="C160" s="1103">
        <f t="shared" ref="C160:H160" si="1">SUM(C121:C158)</f>
        <v>76216313561.690018</v>
      </c>
      <c r="D160" s="1103">
        <f t="shared" si="1"/>
        <v>2680364214.3200002</v>
      </c>
      <c r="E160" s="1103">
        <f t="shared" si="1"/>
        <v>1770278090.5200005</v>
      </c>
      <c r="F160" s="1103">
        <f t="shared" si="1"/>
        <v>9715878807.6399994</v>
      </c>
      <c r="G160" s="1103">
        <f t="shared" si="1"/>
        <v>62049792449.209991</v>
      </c>
      <c r="H160" s="1103">
        <f t="shared" si="1"/>
        <v>4114076833.3200002</v>
      </c>
    </row>
    <row r="161" spans="1:8" s="1098" customFormat="1" ht="12.65" customHeight="1">
      <c r="A161" s="1101" t="s">
        <v>22</v>
      </c>
      <c r="B161" s="1102"/>
      <c r="C161" s="1103">
        <f t="shared" ref="C161:H161" si="2">C115</f>
        <v>250561952762.17999</v>
      </c>
      <c r="D161" s="1103">
        <f t="shared" si="2"/>
        <v>6672246955.6599979</v>
      </c>
      <c r="E161" s="1103">
        <f t="shared" si="2"/>
        <v>4423019578.0599995</v>
      </c>
      <c r="F161" s="1103">
        <f t="shared" si="2"/>
        <v>24911756191.59</v>
      </c>
      <c r="G161" s="1103">
        <f t="shared" si="2"/>
        <v>214554930036.86996</v>
      </c>
      <c r="H161" s="1103">
        <f t="shared" si="2"/>
        <v>13682050513.550003</v>
      </c>
    </row>
    <row r="162" spans="1:8" s="1098" customFormat="1" ht="12.65" customHeight="1">
      <c r="A162" s="1101" t="s">
        <v>597</v>
      </c>
      <c r="B162" s="1104" t="s">
        <v>1175</v>
      </c>
      <c r="C162" s="1100">
        <v>13558944051.030001</v>
      </c>
      <c r="D162" s="1100">
        <v>324983250.81999999</v>
      </c>
      <c r="E162" s="1100">
        <v>201617263.93000001</v>
      </c>
      <c r="F162" s="1100">
        <v>1066421892.09</v>
      </c>
      <c r="G162" s="1100">
        <v>11965921644.190001</v>
      </c>
      <c r="H162" s="1100">
        <v>752167909.32000005</v>
      </c>
    </row>
    <row r="163" spans="1:8" ht="6" customHeight="1">
      <c r="A163" s="302"/>
      <c r="B163" s="1052"/>
      <c r="C163" s="302"/>
      <c r="D163" s="302"/>
      <c r="E163" s="302"/>
      <c r="F163" s="302"/>
      <c r="G163" s="302"/>
      <c r="H163" s="302"/>
    </row>
    <row r="164" spans="1:8" s="1098" customFormat="1" ht="12.65" customHeight="1">
      <c r="A164" s="1101" t="s">
        <v>28</v>
      </c>
      <c r="B164" s="1102"/>
      <c r="C164" s="1103">
        <f t="shared" ref="C164:H164" si="3">SUM(C160:C162)</f>
        <v>340337210374.90002</v>
      </c>
      <c r="D164" s="1103">
        <f t="shared" si="3"/>
        <v>9677594420.7999973</v>
      </c>
      <c r="E164" s="1103">
        <f t="shared" si="3"/>
        <v>6394914932.5100002</v>
      </c>
      <c r="F164" s="1103">
        <f t="shared" si="3"/>
        <v>35694056891.319992</v>
      </c>
      <c r="G164" s="1103">
        <f t="shared" si="3"/>
        <v>288570644130.26996</v>
      </c>
      <c r="H164" s="1103">
        <f t="shared" si="3"/>
        <v>18548295256.190002</v>
      </c>
    </row>
    <row r="165" spans="1:8" s="188" customFormat="1" ht="6" customHeight="1">
      <c r="A165" s="550"/>
      <c r="B165" s="1055"/>
      <c r="C165" s="551"/>
      <c r="D165" s="551"/>
      <c r="E165" s="551"/>
      <c r="F165" s="551"/>
      <c r="G165" s="551"/>
      <c r="H165" s="551"/>
    </row>
    <row r="166" spans="1:8" s="1170" customFormat="1" ht="10" customHeight="1">
      <c r="A166" s="1169" t="s">
        <v>1</v>
      </c>
      <c r="C166" s="1171"/>
      <c r="H166" s="1172"/>
    </row>
    <row r="167" spans="1:8" s="1174" customFormat="1" ht="10" customHeight="1">
      <c r="A167" s="1173" t="s">
        <v>986</v>
      </c>
      <c r="C167" s="1175"/>
    </row>
    <row r="168" spans="1:8" s="1174" customFormat="1" ht="10" customHeight="1">
      <c r="A168" s="1173" t="s">
        <v>758</v>
      </c>
      <c r="C168" s="1175"/>
    </row>
    <row r="169" spans="1:8" s="1174" customFormat="1" ht="10" customHeight="1">
      <c r="A169" s="1173" t="str">
        <f>'1.5'!A174</f>
        <v>* Returns not assigned to a locality are generally nonresident returns.  In these cases, the taxpayer did not report a locality in which the Virginia portion of income was earned.</v>
      </c>
      <c r="C169" s="1175"/>
    </row>
    <row r="170" spans="1:8" s="705" customFormat="1" ht="12.75" customHeight="1">
      <c r="A170" s="788" t="s">
        <v>959</v>
      </c>
      <c r="B170" s="788"/>
      <c r="C170" s="706"/>
      <c r="D170" s="706"/>
      <c r="E170" s="706"/>
      <c r="F170" s="707"/>
    </row>
    <row r="173" spans="1:8">
      <c r="D173" s="161"/>
      <c r="E173" s="161"/>
      <c r="F173" s="161"/>
      <c r="G173" s="161"/>
      <c r="H173" s="161"/>
    </row>
    <row r="180" spans="3:3" s="1385" customFormat="1" ht="11.5">
      <c r="C180" s="1386"/>
    </row>
    <row r="181" spans="3:3" s="1387" customFormat="1" ht="10" customHeight="1">
      <c r="C181" s="1388"/>
    </row>
  </sheetData>
  <customSheetViews>
    <customSheetView guid="{E6BBE5A7-0B25-4EE8-BA45-5EA5DBAF3AD4}" showPageBreaks="1" outlineSymbols="0" printArea="1">
      <pane xSplit="1" topLeftCell="B1" activePane="topRight" state="frozen"/>
      <selection pane="topRight" activeCell="A3" sqref="A3"/>
      <rowBreaks count="4" manualBreakCount="4">
        <brk id="42" max="6" man="1"/>
        <brk id="84" max="6" man="1"/>
        <brk id="126" max="6" man="1"/>
        <brk id="168" max="6" man="1"/>
      </rowBreaks>
      <pageMargins left="0.5" right="0.5" top="0.5" bottom="1" header="0.5" footer="0.5"/>
      <printOptions horizontalCentered="1"/>
      <pageSetup scale="84" firstPageNumber="17" fitToHeight="6" orientation="landscape" useFirstPageNumber="1" r:id="rId1"/>
      <headerFooter alignWithMargins="0"/>
    </customSheetView>
  </customSheetViews>
  <hyperlinks>
    <hyperlink ref="I1" location="TOC!A1" display="Back" xr:uid="{00000000-0004-0000-0B00-000000000000}"/>
  </hyperlinks>
  <pageMargins left="0.6" right="0.25" top="0.25" bottom="0.1" header="0.25" footer="0.25"/>
  <pageSetup scale="83" firstPageNumber="17" fitToHeight="6" orientation="landscape" r:id="rId2"/>
  <headerFooter scaleWithDoc="0">
    <oddHeader>&amp;R&amp;P</oddHeader>
  </headerFooter>
  <rowBreaks count="3" manualBreakCount="3">
    <brk id="41" max="6" man="1"/>
    <brk id="82" max="6" man="1"/>
    <brk id="115"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P44"/>
  <sheetViews>
    <sheetView zoomScaleNormal="100" workbookViewId="0"/>
  </sheetViews>
  <sheetFormatPr defaultColWidth="9.26953125" defaultRowHeight="13"/>
  <cols>
    <col min="1" max="1" width="6.6328125" style="92" customWidth="1"/>
    <col min="2" max="2" width="17.6328125" style="92" customWidth="1"/>
    <col min="3" max="3" width="12.6328125" style="94" customWidth="1"/>
    <col min="4" max="4" width="12.6328125" style="92" customWidth="1"/>
    <col min="5" max="5" width="2.6328125" style="92" customWidth="1"/>
    <col min="6" max="6" width="12.6328125" style="94" customWidth="1"/>
    <col min="7" max="7" width="12.6328125" style="92" customWidth="1"/>
    <col min="8" max="8" width="2.6328125" style="92" customWidth="1"/>
    <col min="9" max="9" width="12.6328125" style="94" customWidth="1"/>
    <col min="10" max="10" width="12.6328125" style="92" customWidth="1"/>
    <col min="11" max="11" width="2.6328125" style="95" customWidth="1"/>
    <col min="12" max="12" width="12.6328125" style="94" customWidth="1"/>
    <col min="13" max="13" width="12.6328125" style="92" customWidth="1"/>
    <col min="14" max="14" width="4.6328125" style="92" customWidth="1"/>
    <col min="15" max="16" width="9.26953125" style="392"/>
    <col min="17" max="16384" width="9.26953125" style="92"/>
  </cols>
  <sheetData>
    <row r="1" spans="1:15" ht="16" customHeight="1">
      <c r="A1" s="358" t="s">
        <v>607</v>
      </c>
      <c r="C1" s="93"/>
      <c r="O1" s="855" t="s">
        <v>984</v>
      </c>
    </row>
    <row r="2" spans="1:15" ht="15.5">
      <c r="A2" s="96" t="s">
        <v>608</v>
      </c>
    </row>
    <row r="3" spans="1:15" ht="6" customHeight="1" thickBot="1">
      <c r="B3" s="97"/>
      <c r="C3" s="98"/>
      <c r="D3" s="97"/>
      <c r="E3" s="97"/>
      <c r="F3" s="98"/>
      <c r="G3" s="97"/>
      <c r="H3" s="97"/>
    </row>
    <row r="4" spans="1:15" ht="15.5">
      <c r="A4" s="1599"/>
      <c r="B4" s="1600"/>
      <c r="C4" s="99">
        <v>2018</v>
      </c>
      <c r="D4" s="99"/>
      <c r="E4" s="100"/>
      <c r="F4" s="99">
        <v>2019</v>
      </c>
      <c r="G4" s="99"/>
      <c r="H4" s="100"/>
      <c r="I4" s="99">
        <v>2020</v>
      </c>
      <c r="J4" s="99"/>
      <c r="K4" s="100"/>
      <c r="L4" s="99">
        <v>2021</v>
      </c>
      <c r="M4" s="99"/>
    </row>
    <row r="5" spans="1:15" ht="26">
      <c r="A5" s="1601" t="s">
        <v>609</v>
      </c>
      <c r="B5" s="1602"/>
      <c r="C5" s="1046" t="s">
        <v>1036</v>
      </c>
      <c r="D5" s="1039" t="s">
        <v>19</v>
      </c>
      <c r="E5" s="101"/>
      <c r="F5" s="1046" t="s">
        <v>1036</v>
      </c>
      <c r="G5" s="1342" t="s">
        <v>1249</v>
      </c>
      <c r="H5" s="101"/>
      <c r="I5" s="1046" t="s">
        <v>1036</v>
      </c>
      <c r="J5" s="1342" t="s">
        <v>19</v>
      </c>
      <c r="K5" s="101"/>
      <c r="L5" s="1046" t="s">
        <v>1036</v>
      </c>
      <c r="M5" s="1039" t="s">
        <v>19</v>
      </c>
    </row>
    <row r="6" spans="1:15" ht="21" customHeight="1">
      <c r="A6" s="1598" t="s">
        <v>610</v>
      </c>
      <c r="B6" s="1598"/>
      <c r="C6" s="102">
        <v>183835</v>
      </c>
      <c r="D6" s="103">
        <v>29014380.25</v>
      </c>
      <c r="F6" s="102">
        <v>118572</v>
      </c>
      <c r="G6" s="103">
        <v>25116360.699999999</v>
      </c>
      <c r="I6" s="102">
        <v>67765</v>
      </c>
      <c r="J6" s="103">
        <v>14986156.43</v>
      </c>
      <c r="K6" s="92"/>
      <c r="L6" s="102">
        <v>98692</v>
      </c>
      <c r="M6" s="103">
        <v>19194586.969999999</v>
      </c>
    </row>
    <row r="7" spans="1:15" ht="12.5">
      <c r="A7" s="1598" t="s">
        <v>611</v>
      </c>
      <c r="B7" s="1598"/>
      <c r="C7" s="102">
        <v>5840</v>
      </c>
      <c r="D7" s="105">
        <v>1095441.3999999999</v>
      </c>
      <c r="F7" s="102">
        <v>6625</v>
      </c>
      <c r="G7" s="105">
        <v>1439198.43</v>
      </c>
      <c r="I7" s="102">
        <v>6783</v>
      </c>
      <c r="J7" s="105">
        <v>1396821.2</v>
      </c>
      <c r="K7" s="92"/>
      <c r="L7" s="102">
        <v>8885</v>
      </c>
      <c r="M7" s="105">
        <v>1895465.07</v>
      </c>
    </row>
    <row r="8" spans="1:15" ht="12.75" customHeight="1">
      <c r="A8" s="1598" t="s">
        <v>612</v>
      </c>
      <c r="B8" s="1602"/>
      <c r="C8" s="102">
        <v>19788</v>
      </c>
      <c r="D8" s="105">
        <v>2601852.65</v>
      </c>
      <c r="F8" s="102">
        <v>37262</v>
      </c>
      <c r="G8" s="105">
        <v>5244447.8099999996</v>
      </c>
      <c r="I8" s="102">
        <v>40491</v>
      </c>
      <c r="J8" s="105">
        <v>5211471.6500000004</v>
      </c>
      <c r="K8" s="92"/>
      <c r="L8" s="102">
        <v>53749</v>
      </c>
      <c r="M8" s="105">
        <v>7130779.8200000003</v>
      </c>
    </row>
    <row r="9" spans="1:15" ht="12.5">
      <c r="A9" s="1598" t="s">
        <v>613</v>
      </c>
      <c r="B9" s="1598"/>
      <c r="C9" s="102">
        <v>2272</v>
      </c>
      <c r="D9" s="105">
        <v>309898.15000000002</v>
      </c>
      <c r="F9" s="102">
        <v>2314</v>
      </c>
      <c r="G9" s="105">
        <v>351093.01</v>
      </c>
      <c r="I9" s="102">
        <v>2410</v>
      </c>
      <c r="J9" s="105">
        <v>359644.59</v>
      </c>
      <c r="K9" s="92"/>
      <c r="L9" s="102">
        <v>3053</v>
      </c>
      <c r="M9" s="105">
        <v>449772.62</v>
      </c>
    </row>
    <row r="10" spans="1:15" ht="12.5">
      <c r="A10" s="1598" t="s">
        <v>614</v>
      </c>
      <c r="B10" s="1598"/>
      <c r="C10" s="102">
        <v>2226</v>
      </c>
      <c r="D10" s="105">
        <v>286306.44</v>
      </c>
      <c r="F10" s="102">
        <v>3919</v>
      </c>
      <c r="G10" s="105">
        <v>548832.85</v>
      </c>
      <c r="I10" s="102">
        <v>4805</v>
      </c>
      <c r="J10" s="105">
        <v>606549.03</v>
      </c>
      <c r="K10" s="92"/>
      <c r="L10" s="102">
        <v>7097</v>
      </c>
      <c r="M10" s="105">
        <v>942396.44</v>
      </c>
    </row>
    <row r="11" spans="1:15" ht="12.5">
      <c r="A11" s="104" t="s">
        <v>615</v>
      </c>
      <c r="C11" s="102">
        <v>27635</v>
      </c>
      <c r="D11" s="105">
        <v>8688268.6300000008</v>
      </c>
      <c r="F11" s="102">
        <v>6781</v>
      </c>
      <c r="G11" s="105">
        <v>2487295.6800000002</v>
      </c>
      <c r="I11" s="343">
        <v>2306</v>
      </c>
      <c r="J11" s="344">
        <v>1869537.17</v>
      </c>
      <c r="K11" s="92"/>
      <c r="L11" s="343">
        <v>1</v>
      </c>
      <c r="M11" s="344">
        <v>19868.689999999999</v>
      </c>
    </row>
    <row r="12" spans="1:15" ht="12.5">
      <c r="A12" s="1603" t="s">
        <v>274</v>
      </c>
      <c r="B12" s="1603"/>
      <c r="C12" s="343">
        <v>151382</v>
      </c>
      <c r="D12" s="344">
        <v>20855570.129999999</v>
      </c>
      <c r="E12" s="392"/>
      <c r="F12" s="343">
        <v>124032</v>
      </c>
      <c r="G12" s="344">
        <v>20694617.34</v>
      </c>
      <c r="H12" s="392"/>
      <c r="I12" s="343">
        <v>91175</v>
      </c>
      <c r="J12" s="105">
        <v>14788383.75</v>
      </c>
      <c r="K12" s="92"/>
      <c r="L12" s="102">
        <v>148722</v>
      </c>
      <c r="M12" s="105">
        <v>24417481.780000001</v>
      </c>
    </row>
    <row r="13" spans="1:15" ht="12.5">
      <c r="A13" s="1603" t="s">
        <v>275</v>
      </c>
      <c r="B13" s="1603"/>
      <c r="C13" s="343">
        <v>149958</v>
      </c>
      <c r="D13" s="344">
        <v>20369801.940000001</v>
      </c>
      <c r="E13" s="392"/>
      <c r="F13" s="343">
        <v>114900</v>
      </c>
      <c r="G13" s="344">
        <v>18338563.329999998</v>
      </c>
      <c r="H13" s="392"/>
      <c r="I13" s="343">
        <v>93039</v>
      </c>
      <c r="J13" s="105">
        <v>15437520.27</v>
      </c>
      <c r="K13" s="92"/>
      <c r="L13" s="102">
        <v>157530</v>
      </c>
      <c r="M13" s="105">
        <v>26124952.140000001</v>
      </c>
    </row>
    <row r="14" spans="1:15" ht="12.5">
      <c r="A14" s="1603" t="s">
        <v>616</v>
      </c>
      <c r="B14" s="1603"/>
      <c r="C14" s="343">
        <v>8267</v>
      </c>
      <c r="D14" s="344">
        <v>686459.6</v>
      </c>
      <c r="E14" s="392"/>
      <c r="F14" s="343">
        <v>6190</v>
      </c>
      <c r="G14" s="344">
        <v>537884.18999999994</v>
      </c>
      <c r="H14" s="392"/>
      <c r="I14" s="343">
        <v>5960</v>
      </c>
      <c r="J14" s="105">
        <v>478133.7</v>
      </c>
      <c r="K14" s="92"/>
      <c r="L14" s="102">
        <v>9585</v>
      </c>
      <c r="M14" s="105">
        <v>890070.45</v>
      </c>
    </row>
    <row r="15" spans="1:15" ht="12.5">
      <c r="A15" s="1598" t="s">
        <v>617</v>
      </c>
      <c r="B15" s="1598"/>
      <c r="C15" s="102">
        <v>1732</v>
      </c>
      <c r="D15" s="105">
        <v>373367.39</v>
      </c>
      <c r="F15" s="102">
        <v>1379</v>
      </c>
      <c r="G15" s="105">
        <v>404823.16</v>
      </c>
      <c r="I15" s="102">
        <v>1086</v>
      </c>
      <c r="J15" s="105">
        <v>294920.27</v>
      </c>
      <c r="K15" s="92"/>
      <c r="L15" s="102">
        <v>1629</v>
      </c>
      <c r="M15" s="105">
        <v>459460.28</v>
      </c>
    </row>
    <row r="16" spans="1:15" ht="21" customHeight="1">
      <c r="A16" s="1040" t="s">
        <v>869</v>
      </c>
      <c r="B16" s="1041"/>
      <c r="C16" s="1431">
        <v>27894</v>
      </c>
      <c r="D16" s="1432">
        <v>8682639.4900000002</v>
      </c>
      <c r="E16" s="1041"/>
      <c r="F16" s="1042">
        <v>17215</v>
      </c>
      <c r="G16" s="1043">
        <v>5057115.0199999996</v>
      </c>
      <c r="H16" s="1041"/>
      <c r="I16" s="1042">
        <v>2566</v>
      </c>
      <c r="J16" s="1043">
        <v>813724.61</v>
      </c>
      <c r="K16" s="1041"/>
      <c r="L16" s="1042">
        <v>3390</v>
      </c>
      <c r="M16" s="1043">
        <v>1109008.49</v>
      </c>
    </row>
    <row r="17" spans="1:13" ht="15" customHeight="1">
      <c r="A17" s="1044"/>
      <c r="B17" s="1045" t="s">
        <v>618</v>
      </c>
      <c r="C17" s="1516">
        <f>SUM(C6:C16)</f>
        <v>580829</v>
      </c>
      <c r="D17" s="1517">
        <f>SUM(D6:D16)</f>
        <v>92963986.069999978</v>
      </c>
      <c r="E17" s="1518"/>
      <c r="F17" s="1516">
        <f>SUM(F6:F16)</f>
        <v>439189</v>
      </c>
      <c r="G17" s="1517">
        <f>SUM(G6:G16)</f>
        <v>80220231.519999996</v>
      </c>
      <c r="H17" s="1518"/>
      <c r="I17" s="1516">
        <f>SUM(I6:I16)</f>
        <v>318386</v>
      </c>
      <c r="J17" s="1517">
        <f>SUM(J6:J16)</f>
        <v>56242862.670000009</v>
      </c>
      <c r="K17" s="1518"/>
      <c r="L17" s="1516">
        <f>SUM(L6:L16)</f>
        <v>492333</v>
      </c>
      <c r="M17" s="1517">
        <f>SUM(M6:M16)</f>
        <v>82633842.75</v>
      </c>
    </row>
    <row r="18" spans="1:13" ht="6" customHeight="1">
      <c r="G18" s="106"/>
      <c r="J18" s="106"/>
      <c r="L18" s="233"/>
      <c r="M18" s="103"/>
    </row>
    <row r="19" spans="1:13" s="558" customFormat="1">
      <c r="A19" s="558" t="s">
        <v>18</v>
      </c>
      <c r="C19" s="798"/>
      <c r="F19" s="798"/>
      <c r="I19" s="798"/>
      <c r="K19" s="799"/>
      <c r="L19" s="798"/>
    </row>
    <row r="20" spans="1:13" s="558" customFormat="1" ht="13" customHeight="1">
      <c r="A20" s="558" t="s">
        <v>757</v>
      </c>
      <c r="C20" s="798"/>
      <c r="F20" s="798"/>
      <c r="I20" s="798"/>
      <c r="K20" s="799"/>
      <c r="L20" s="798"/>
    </row>
    <row r="21" spans="1:13" s="558" customFormat="1" ht="13" customHeight="1">
      <c r="A21" s="559" t="s">
        <v>875</v>
      </c>
      <c r="B21" s="704"/>
      <c r="C21" s="704"/>
      <c r="D21" s="704"/>
      <c r="E21" s="704"/>
      <c r="F21" s="704"/>
      <c r="G21" s="704"/>
      <c r="H21" s="704"/>
      <c r="I21" s="704"/>
      <c r="J21" s="704"/>
      <c r="K21" s="704"/>
      <c r="L21" s="704"/>
      <c r="M21" s="704"/>
    </row>
    <row r="22" spans="1:13" ht="13" customHeight="1">
      <c r="A22" s="1353" t="s">
        <v>1250</v>
      </c>
    </row>
    <row r="23" spans="1:13" ht="8" customHeight="1">
      <c r="A23" s="107"/>
    </row>
    <row r="24" spans="1:13" ht="8" customHeight="1"/>
    <row r="25" spans="1:13" ht="18">
      <c r="A25" s="108" t="s">
        <v>619</v>
      </c>
      <c r="C25" s="109"/>
    </row>
    <row r="26" spans="1:13" ht="15.5">
      <c r="A26" s="110" t="s">
        <v>620</v>
      </c>
      <c r="C26" s="109"/>
    </row>
    <row r="27" spans="1:13" ht="13.5" thickBot="1">
      <c r="B27" s="109"/>
      <c r="C27" s="109"/>
    </row>
    <row r="28" spans="1:13">
      <c r="B28" s="111" t="s">
        <v>621</v>
      </c>
      <c r="C28" s="1038" t="s">
        <v>16</v>
      </c>
      <c r="F28" s="555"/>
      <c r="G28" s="555"/>
    </row>
    <row r="29" spans="1:13">
      <c r="B29" s="112">
        <v>2010</v>
      </c>
      <c r="C29" s="113">
        <v>18578293.82</v>
      </c>
      <c r="F29" s="556"/>
      <c r="G29" s="557"/>
    </row>
    <row r="30" spans="1:13" ht="12.75" customHeight="1">
      <c r="B30" s="112">
        <v>2011</v>
      </c>
      <c r="C30" s="114">
        <v>18104923.309999999</v>
      </c>
      <c r="F30" s="556"/>
      <c r="G30" s="557"/>
    </row>
    <row r="31" spans="1:13" ht="12.75" customHeight="1">
      <c r="B31" s="112">
        <v>2012</v>
      </c>
      <c r="C31" s="114">
        <v>17368776.620000001</v>
      </c>
      <c r="F31" s="556"/>
      <c r="G31" s="557"/>
    </row>
    <row r="32" spans="1:13" ht="12.75" customHeight="1">
      <c r="B32" s="112">
        <v>2013</v>
      </c>
      <c r="C32" s="115">
        <v>18211926.469999999</v>
      </c>
      <c r="F32" s="556"/>
      <c r="G32" s="557"/>
    </row>
    <row r="33" spans="1:14" ht="12.75" customHeight="1">
      <c r="B33" s="112">
        <v>2014</v>
      </c>
      <c r="C33" s="115">
        <v>19469019.920000002</v>
      </c>
      <c r="F33" s="556"/>
      <c r="G33" s="557"/>
    </row>
    <row r="34" spans="1:14" ht="12.75" customHeight="1">
      <c r="B34" s="112">
        <v>2015</v>
      </c>
      <c r="C34" s="105">
        <v>19206043.66</v>
      </c>
      <c r="F34" s="556"/>
      <c r="G34" s="557"/>
    </row>
    <row r="35" spans="1:14" ht="12.75" customHeight="1">
      <c r="B35" s="112">
        <v>2016</v>
      </c>
      <c r="C35" s="105">
        <v>16359793.289999999</v>
      </c>
      <c r="F35" s="556"/>
      <c r="G35" s="557"/>
    </row>
    <row r="36" spans="1:14" ht="12.75" customHeight="1">
      <c r="B36" s="116">
        <v>2017</v>
      </c>
      <c r="C36" s="105">
        <v>17431562.34</v>
      </c>
      <c r="F36" s="556"/>
      <c r="G36" s="557"/>
    </row>
    <row r="37" spans="1:14" ht="12.75" customHeight="1">
      <c r="B37" s="112">
        <v>2018</v>
      </c>
      <c r="C37" s="105">
        <v>16204019.57</v>
      </c>
      <c r="F37" s="556"/>
      <c r="G37" s="557"/>
    </row>
    <row r="38" spans="1:14" ht="12.75" customHeight="1">
      <c r="B38" s="112">
        <v>2019</v>
      </c>
      <c r="C38" s="105">
        <v>17428289.379999999</v>
      </c>
      <c r="F38" s="556"/>
      <c r="G38" s="557"/>
    </row>
    <row r="39" spans="1:14">
      <c r="B39" s="116">
        <v>2020</v>
      </c>
      <c r="C39" s="105">
        <v>18570711.949999999</v>
      </c>
      <c r="F39" s="556"/>
    </row>
    <row r="40" spans="1:14" ht="12.75" customHeight="1">
      <c r="B40" s="112">
        <v>2021</v>
      </c>
      <c r="C40" s="105">
        <v>19281706.66</v>
      </c>
      <c r="I40" s="117"/>
      <c r="J40" s="117"/>
    </row>
    <row r="41" spans="1:14" ht="12.75" customHeight="1">
      <c r="D41" s="485"/>
      <c r="I41" s="117"/>
      <c r="J41" s="117"/>
    </row>
    <row r="42" spans="1:14" s="1205" customFormat="1" ht="10" customHeight="1">
      <c r="A42" s="1205" t="s">
        <v>18</v>
      </c>
      <c r="B42" s="1206"/>
      <c r="C42" s="1206"/>
      <c r="D42" s="1207"/>
      <c r="F42" s="1208"/>
      <c r="G42" s="1209"/>
      <c r="H42" s="1209"/>
      <c r="I42" s="1208"/>
      <c r="K42" s="1209"/>
      <c r="L42" s="1209"/>
      <c r="M42" s="1209"/>
      <c r="N42" s="1209"/>
    </row>
    <row r="43" spans="1:14" s="1205" customFormat="1" ht="10" customHeight="1">
      <c r="A43" s="1211" t="s">
        <v>1037</v>
      </c>
      <c r="B43" s="1213"/>
      <c r="C43" s="1213"/>
      <c r="D43" s="1213"/>
      <c r="E43" s="1210"/>
      <c r="F43" s="1211"/>
      <c r="I43" s="1208"/>
      <c r="K43" s="1212"/>
      <c r="L43" s="1208"/>
    </row>
    <row r="44" spans="1:14" s="705" customFormat="1" ht="12.75" customHeight="1">
      <c r="A44" s="788" t="s">
        <v>960</v>
      </c>
      <c r="B44" s="706"/>
      <c r="C44" s="706"/>
      <c r="D44" s="706"/>
      <c r="E44" s="707"/>
    </row>
  </sheetData>
  <customSheetViews>
    <customSheetView guid="{E6BBE5A7-0B25-4EE8-BA45-5EA5DBAF3AD4}" showPageBreaks="1" printArea="1">
      <selection activeCell="F24" sqref="F24"/>
      <pageMargins left="0.5" right="0.5" top="0.5" bottom="1" header="0.5" footer="0.5"/>
      <printOptions horizontalCentered="1"/>
      <pageSetup scale="82" firstPageNumber="22" orientation="landscape" useFirstPageNumber="1" r:id="rId1"/>
      <headerFooter alignWithMargins="0"/>
    </customSheetView>
  </customSheetViews>
  <mergeCells count="11">
    <mergeCell ref="A7:B7"/>
    <mergeCell ref="A4:B4"/>
    <mergeCell ref="A5:B5"/>
    <mergeCell ref="A6:B6"/>
    <mergeCell ref="A15:B15"/>
    <mergeCell ref="A14:B14"/>
    <mergeCell ref="A8:B8"/>
    <mergeCell ref="A9:B9"/>
    <mergeCell ref="A10:B10"/>
    <mergeCell ref="A12:B12"/>
    <mergeCell ref="A13:B13"/>
  </mergeCells>
  <hyperlinks>
    <hyperlink ref="O1" location="TOC!A1" display="Back" xr:uid="{00000000-0004-0000-0C00-000000000000}"/>
  </hyperlinks>
  <pageMargins left="0.5" right="0.25" top="0.4" bottom="0.25" header="0.25" footer="0"/>
  <pageSetup scale="96" firstPageNumber="22" orientation="landscape" r:id="rId2"/>
  <headerFooter scaleWithDoc="0">
    <oddHeader>&amp;R&amp;P</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O54"/>
  <sheetViews>
    <sheetView zoomScale="85" zoomScaleNormal="85" workbookViewId="0"/>
  </sheetViews>
  <sheetFormatPr defaultColWidth="9.54296875" defaultRowHeight="11.5"/>
  <cols>
    <col min="1" max="1" width="58.7265625" style="121" customWidth="1"/>
    <col min="2" max="2" width="14.90625" style="121" hidden="1" customWidth="1"/>
    <col min="3" max="3" width="12.1796875" style="121" hidden="1" customWidth="1"/>
    <col min="4" max="4" width="2.6328125" style="121" hidden="1" customWidth="1"/>
    <col min="5" max="5" width="10.7265625" style="121" customWidth="1"/>
    <col min="6" max="6" width="12.7265625" style="121" customWidth="1"/>
    <col min="7" max="7" width="2.54296875" style="121" customWidth="1"/>
    <col min="8" max="8" width="10.7265625" style="135" customWidth="1"/>
    <col min="9" max="9" width="12.7265625" style="121" customWidth="1"/>
    <col min="10" max="10" width="2.54296875" style="121" customWidth="1"/>
    <col min="11" max="11" width="10.7265625" style="135" customWidth="1"/>
    <col min="12" max="12" width="12.7265625" style="121" customWidth="1"/>
    <col min="13" max="14" width="11.6328125" style="121" customWidth="1"/>
    <col min="15" max="16384" width="9.54296875" style="121"/>
  </cols>
  <sheetData>
    <row r="1" spans="1:15" ht="17.149999999999999" customHeight="1">
      <c r="A1" s="359" t="s">
        <v>622</v>
      </c>
      <c r="B1" s="118"/>
      <c r="C1" s="118"/>
      <c r="D1" s="118"/>
      <c r="E1" s="118"/>
      <c r="F1" s="118"/>
      <c r="G1" s="118"/>
      <c r="H1" s="119"/>
      <c r="I1" s="118"/>
      <c r="J1" s="118"/>
      <c r="K1" s="119"/>
      <c r="L1" s="118"/>
      <c r="M1" s="120"/>
      <c r="O1" s="855" t="s">
        <v>984</v>
      </c>
    </row>
    <row r="2" spans="1:15" ht="15" customHeight="1">
      <c r="A2" s="122" t="s">
        <v>1210</v>
      </c>
      <c r="C2" s="118"/>
      <c r="D2" s="118"/>
      <c r="E2" s="118"/>
      <c r="F2" s="118"/>
      <c r="G2" s="118"/>
      <c r="H2" s="119"/>
      <c r="I2" s="118"/>
      <c r="J2" s="118"/>
      <c r="K2" s="119"/>
      <c r="L2" s="118"/>
      <c r="M2" s="120"/>
    </row>
    <row r="3" spans="1:15" ht="6" customHeight="1" thickBot="1">
      <c r="A3" s="123"/>
      <c r="B3" s="123"/>
      <c r="C3" s="123"/>
      <c r="D3" s="123"/>
      <c r="E3" s="123"/>
      <c r="F3" s="123"/>
      <c r="G3" s="123"/>
      <c r="H3" s="124"/>
      <c r="I3" s="123"/>
      <c r="J3" s="123"/>
      <c r="K3" s="124"/>
      <c r="L3" s="123"/>
      <c r="M3" s="120"/>
    </row>
    <row r="4" spans="1:15" ht="14.15" customHeight="1">
      <c r="A4" s="1215"/>
      <c r="B4" s="1216">
        <v>2019</v>
      </c>
      <c r="C4" s="1217"/>
      <c r="D4" s="1218"/>
      <c r="E4" s="1221">
        <v>2020</v>
      </c>
      <c r="F4" s="1222"/>
      <c r="G4" s="1218"/>
      <c r="H4" s="1221" t="s" vm="1">
        <v>1024</v>
      </c>
      <c r="I4" s="1222"/>
      <c r="J4" s="1218"/>
      <c r="K4" s="1221" t="s" vm="2">
        <v>1305</v>
      </c>
      <c r="L4" s="1222"/>
      <c r="M4" s="120"/>
    </row>
    <row r="5" spans="1:15" s="125" customFormat="1" ht="14.15" customHeight="1">
      <c r="A5" s="1219" t="s">
        <v>623</v>
      </c>
      <c r="B5" s="1220" t="s">
        <v>624</v>
      </c>
      <c r="C5" s="1220" t="s">
        <v>19</v>
      </c>
      <c r="D5" s="1220"/>
      <c r="E5" s="1220" t="s">
        <v>624</v>
      </c>
      <c r="F5" s="1220" t="s">
        <v>19</v>
      </c>
      <c r="G5" s="1220"/>
      <c r="H5" s="1220" t="s">
        <v>624</v>
      </c>
      <c r="I5" s="1220" t="s">
        <v>19</v>
      </c>
      <c r="J5" s="1220"/>
      <c r="K5" s="1220" t="s">
        <v>624</v>
      </c>
      <c r="L5" s="1220" t="s">
        <v>19</v>
      </c>
      <c r="M5" s="123"/>
      <c r="N5" s="121"/>
      <c r="O5" s="121"/>
    </row>
    <row r="6" spans="1:15" ht="21" customHeight="1">
      <c r="A6" s="801" t="s">
        <v>625</v>
      </c>
      <c r="B6" s="124">
        <v>2890</v>
      </c>
      <c r="C6" s="126">
        <v>56719.53</v>
      </c>
      <c r="D6" s="126"/>
      <c r="E6" s="124">
        <v>2385</v>
      </c>
      <c r="F6" s="126">
        <v>47376.68</v>
      </c>
      <c r="H6" s="124">
        <v>1928</v>
      </c>
      <c r="I6" s="126">
        <v>38982.79</v>
      </c>
      <c r="K6" s="124">
        <v>2047</v>
      </c>
      <c r="L6" s="126">
        <v>42576.42</v>
      </c>
      <c r="M6" s="120"/>
      <c r="N6" s="125"/>
      <c r="O6" s="125"/>
    </row>
    <row r="7" spans="1:15" ht="14.15" customHeight="1">
      <c r="A7" s="802" t="s">
        <v>626</v>
      </c>
      <c r="B7" s="124">
        <v>1051</v>
      </c>
      <c r="C7" s="124">
        <v>19978.64</v>
      </c>
      <c r="D7" s="124"/>
      <c r="E7" s="124">
        <v>709</v>
      </c>
      <c r="F7" s="124">
        <v>14091.07</v>
      </c>
      <c r="H7" s="124">
        <v>690</v>
      </c>
      <c r="I7" s="124">
        <v>13071.22</v>
      </c>
      <c r="K7" s="124">
        <v>691</v>
      </c>
      <c r="L7" s="124">
        <v>15438</v>
      </c>
      <c r="M7" s="120"/>
    </row>
    <row r="8" spans="1:15" ht="14.15" customHeight="1">
      <c r="A8" s="395" t="s">
        <v>627</v>
      </c>
      <c r="B8" s="124">
        <v>5012</v>
      </c>
      <c r="C8" s="124">
        <v>108343.52</v>
      </c>
      <c r="D8" s="124"/>
      <c r="E8" s="124">
        <v>5024</v>
      </c>
      <c r="F8" s="124">
        <v>115598.51</v>
      </c>
      <c r="H8" s="124">
        <v>3942</v>
      </c>
      <c r="I8" s="124">
        <v>88010.3</v>
      </c>
      <c r="K8" s="124">
        <v>4496</v>
      </c>
      <c r="L8" s="124">
        <v>112371.43</v>
      </c>
      <c r="M8" s="120"/>
    </row>
    <row r="9" spans="1:15" ht="14.15" customHeight="1">
      <c r="A9" s="802" t="s">
        <v>628</v>
      </c>
      <c r="B9" s="15">
        <v>3108</v>
      </c>
      <c r="C9" s="124">
        <v>66219.72</v>
      </c>
      <c r="D9" s="124"/>
      <c r="E9" s="15">
        <v>3361</v>
      </c>
      <c r="F9" s="124">
        <v>83134.070000000007</v>
      </c>
      <c r="H9" s="15">
        <v>2469</v>
      </c>
      <c r="I9" s="124">
        <v>56612.87</v>
      </c>
      <c r="K9" s="124">
        <v>2862</v>
      </c>
      <c r="L9" s="124">
        <v>76428.210000000006</v>
      </c>
      <c r="M9" s="120"/>
    </row>
    <row r="10" spans="1:15" ht="14.15" customHeight="1">
      <c r="A10" s="802" t="s">
        <v>629</v>
      </c>
      <c r="B10" s="15">
        <v>2501</v>
      </c>
      <c r="C10" s="124">
        <v>47135.12</v>
      </c>
      <c r="D10" s="124"/>
      <c r="E10" s="15">
        <v>2551</v>
      </c>
      <c r="F10" s="124">
        <v>59776.17</v>
      </c>
      <c r="H10" s="15">
        <v>1931</v>
      </c>
      <c r="I10" s="124">
        <v>40458.980000000003</v>
      </c>
      <c r="K10" s="124">
        <v>2272</v>
      </c>
      <c r="L10" s="124">
        <v>53881.23</v>
      </c>
      <c r="M10" s="120"/>
    </row>
    <row r="11" spans="1:15" ht="14.15" customHeight="1">
      <c r="A11" s="802" t="s">
        <v>630</v>
      </c>
      <c r="B11" s="124">
        <v>1455</v>
      </c>
      <c r="C11" s="124">
        <v>30981.59</v>
      </c>
      <c r="D11" s="124"/>
      <c r="E11" s="124">
        <v>1760</v>
      </c>
      <c r="F11" s="124">
        <v>45925</v>
      </c>
      <c r="H11" s="124">
        <v>1395</v>
      </c>
      <c r="I11" s="124">
        <v>32444.66</v>
      </c>
      <c r="K11" s="124">
        <v>1323</v>
      </c>
      <c r="L11" s="124">
        <v>32017.52</v>
      </c>
      <c r="M11" s="120"/>
    </row>
    <row r="12" spans="1:15" ht="14.15" customHeight="1">
      <c r="A12" s="802" t="s">
        <v>631</v>
      </c>
      <c r="B12" s="124">
        <v>4157</v>
      </c>
      <c r="C12" s="124">
        <v>85910.32</v>
      </c>
      <c r="D12" s="124"/>
      <c r="E12" s="124">
        <v>4125</v>
      </c>
      <c r="F12" s="124">
        <v>92703.73</v>
      </c>
      <c r="H12" s="124">
        <v>3260</v>
      </c>
      <c r="I12" s="124">
        <v>73213.77</v>
      </c>
      <c r="K12" s="124">
        <v>3637</v>
      </c>
      <c r="L12" s="124">
        <v>85280.59</v>
      </c>
      <c r="M12" s="120"/>
    </row>
    <row r="13" spans="1:15" ht="14.15" customHeight="1">
      <c r="A13" s="802" t="s">
        <v>779</v>
      </c>
      <c r="B13" s="124">
        <v>1</v>
      </c>
      <c r="C13" s="124">
        <v>10</v>
      </c>
      <c r="D13" s="124"/>
      <c r="E13" s="124">
        <v>1</v>
      </c>
      <c r="F13" s="124">
        <v>25</v>
      </c>
      <c r="H13" s="124">
        <v>0</v>
      </c>
      <c r="I13" s="124">
        <v>0</v>
      </c>
      <c r="K13" s="124">
        <v>0</v>
      </c>
      <c r="L13" s="124">
        <v>0</v>
      </c>
      <c r="M13" s="120"/>
    </row>
    <row r="14" spans="1:15" ht="14.15" customHeight="1">
      <c r="A14" s="395" t="s">
        <v>780</v>
      </c>
      <c r="B14" s="124">
        <v>1</v>
      </c>
      <c r="C14" s="124">
        <v>10</v>
      </c>
      <c r="D14" s="124"/>
      <c r="E14" s="124">
        <v>2</v>
      </c>
      <c r="F14" s="124">
        <v>50</v>
      </c>
      <c r="H14" s="124">
        <v>0</v>
      </c>
      <c r="I14" s="124">
        <v>0</v>
      </c>
      <c r="K14" s="124">
        <v>0</v>
      </c>
      <c r="L14" s="124">
        <v>0</v>
      </c>
      <c r="M14" s="120"/>
    </row>
    <row r="15" spans="1:15" ht="14.15" customHeight="1">
      <c r="A15" s="802" t="s">
        <v>632</v>
      </c>
      <c r="B15" s="124">
        <v>3120</v>
      </c>
      <c r="C15" s="124">
        <v>54681.599999999999</v>
      </c>
      <c r="D15" s="124"/>
      <c r="E15" s="124">
        <v>3094</v>
      </c>
      <c r="F15" s="124">
        <v>63368.07</v>
      </c>
      <c r="H15" s="124">
        <v>2339</v>
      </c>
      <c r="I15" s="124">
        <v>44696.44</v>
      </c>
      <c r="K15" s="124">
        <v>2675</v>
      </c>
      <c r="L15" s="124">
        <v>52821.64</v>
      </c>
      <c r="M15" s="120"/>
    </row>
    <row r="16" spans="1:15" ht="14.15" customHeight="1">
      <c r="A16" s="802" t="s">
        <v>633</v>
      </c>
      <c r="B16" s="124">
        <v>3872</v>
      </c>
      <c r="C16" s="124">
        <v>91734.78</v>
      </c>
      <c r="D16" s="124"/>
      <c r="E16" s="124">
        <v>4198</v>
      </c>
      <c r="F16" s="124">
        <v>113372.05</v>
      </c>
      <c r="H16" s="124">
        <v>3573</v>
      </c>
      <c r="I16" s="124">
        <v>96239.74</v>
      </c>
      <c r="K16" s="124">
        <v>3340</v>
      </c>
      <c r="L16" s="124">
        <v>89584.19</v>
      </c>
      <c r="M16" s="120"/>
    </row>
    <row r="17" spans="1:13" ht="14.15" customHeight="1">
      <c r="A17" s="395" t="s">
        <v>781</v>
      </c>
      <c r="B17" s="124">
        <v>0</v>
      </c>
      <c r="C17" s="124">
        <v>0</v>
      </c>
      <c r="D17" s="124"/>
      <c r="E17" s="124">
        <v>0</v>
      </c>
      <c r="F17" s="124">
        <v>0</v>
      </c>
      <c r="H17" s="124">
        <v>0</v>
      </c>
      <c r="I17" s="124">
        <v>0</v>
      </c>
      <c r="K17" s="124">
        <v>0</v>
      </c>
      <c r="L17" s="124">
        <v>0</v>
      </c>
      <c r="M17" s="120"/>
    </row>
    <row r="18" spans="1:13" ht="14.15" customHeight="1">
      <c r="A18" s="395" t="s">
        <v>686</v>
      </c>
      <c r="B18" s="124">
        <v>2691</v>
      </c>
      <c r="C18" s="124">
        <v>48422.58</v>
      </c>
      <c r="D18" s="124"/>
      <c r="E18" s="124">
        <v>3049</v>
      </c>
      <c r="F18" s="124">
        <v>65984.47</v>
      </c>
      <c r="H18" s="124">
        <v>2527</v>
      </c>
      <c r="I18" s="124">
        <v>53769.68</v>
      </c>
      <c r="K18" s="124">
        <v>2477</v>
      </c>
      <c r="L18" s="124">
        <v>51003.83</v>
      </c>
      <c r="M18" s="120"/>
    </row>
    <row r="19" spans="1:13" ht="14.15" customHeight="1">
      <c r="A19" s="397" t="s">
        <v>782</v>
      </c>
      <c r="B19" s="124">
        <v>0</v>
      </c>
      <c r="C19" s="124">
        <v>0</v>
      </c>
      <c r="D19" s="124"/>
      <c r="E19" s="124">
        <v>1</v>
      </c>
      <c r="F19" s="124">
        <v>10</v>
      </c>
      <c r="H19" s="124">
        <v>0</v>
      </c>
      <c r="I19" s="124">
        <v>0</v>
      </c>
      <c r="K19" s="124">
        <v>0</v>
      </c>
      <c r="L19" s="124">
        <v>0</v>
      </c>
      <c r="M19" s="120"/>
    </row>
    <row r="20" spans="1:13" ht="14.15" customHeight="1">
      <c r="A20" s="395" t="s">
        <v>893</v>
      </c>
      <c r="B20" s="124">
        <v>1651</v>
      </c>
      <c r="C20" s="124">
        <v>32090.91</v>
      </c>
      <c r="D20" s="124"/>
      <c r="E20" s="124">
        <v>1751</v>
      </c>
      <c r="F20" s="124">
        <v>37142.35</v>
      </c>
      <c r="H20" s="124">
        <v>1320</v>
      </c>
      <c r="I20" s="124">
        <v>26706.69</v>
      </c>
      <c r="K20" s="124">
        <v>1402</v>
      </c>
      <c r="L20" s="124">
        <v>28691.1</v>
      </c>
      <c r="M20" s="120"/>
    </row>
    <row r="21" spans="1:13" ht="14.15" customHeight="1">
      <c r="A21" s="123" t="s">
        <v>634</v>
      </c>
      <c r="B21" s="124">
        <v>1599</v>
      </c>
      <c r="C21" s="124">
        <v>50293.58</v>
      </c>
      <c r="D21" s="124"/>
      <c r="E21" s="124">
        <v>1586</v>
      </c>
      <c r="F21" s="124">
        <v>52515.030000000006</v>
      </c>
      <c r="H21" s="124">
        <v>1334</v>
      </c>
      <c r="I21" s="124">
        <v>45103.350000000006</v>
      </c>
      <c r="K21" s="124">
        <v>1292</v>
      </c>
      <c r="L21" s="124">
        <v>41900.310000000005</v>
      </c>
      <c r="M21" s="120"/>
    </row>
    <row r="22" spans="1:13" ht="14.15" customHeight="1">
      <c r="A22" s="802" t="s">
        <v>874</v>
      </c>
      <c r="B22" s="124">
        <v>5</v>
      </c>
      <c r="C22" s="124">
        <v>140</v>
      </c>
      <c r="D22" s="124"/>
      <c r="E22" s="124">
        <v>1</v>
      </c>
      <c r="F22" s="124">
        <v>10</v>
      </c>
      <c r="H22" s="124">
        <v>0</v>
      </c>
      <c r="I22" s="124">
        <v>0</v>
      </c>
      <c r="K22" s="124">
        <v>0</v>
      </c>
      <c r="L22" s="124">
        <v>0</v>
      </c>
      <c r="M22" s="120"/>
    </row>
    <row r="23" spans="1:13" ht="14.15" customHeight="1">
      <c r="A23" s="395" t="s">
        <v>783</v>
      </c>
      <c r="B23" s="124">
        <v>0</v>
      </c>
      <c r="C23" s="124">
        <v>0</v>
      </c>
      <c r="D23" s="124"/>
      <c r="E23" s="124">
        <v>1</v>
      </c>
      <c r="F23" s="124">
        <v>10</v>
      </c>
      <c r="H23" s="124">
        <v>0</v>
      </c>
      <c r="I23" s="124">
        <v>0</v>
      </c>
      <c r="K23" s="124">
        <v>0</v>
      </c>
      <c r="L23" s="124">
        <v>0</v>
      </c>
      <c r="M23" s="120"/>
    </row>
    <row r="24" spans="1:13" ht="14.15" customHeight="1">
      <c r="A24" s="802" t="s">
        <v>635</v>
      </c>
      <c r="B24" s="124">
        <v>2410</v>
      </c>
      <c r="C24" s="124">
        <v>47489.87</v>
      </c>
      <c r="D24" s="124"/>
      <c r="E24" s="124">
        <v>2392</v>
      </c>
      <c r="F24" s="124">
        <v>50355.51</v>
      </c>
      <c r="H24" s="124">
        <v>1963</v>
      </c>
      <c r="I24" s="124">
        <v>43041.58</v>
      </c>
      <c r="K24" s="124">
        <v>2221</v>
      </c>
      <c r="L24" s="124">
        <v>51228.5</v>
      </c>
      <c r="M24" s="120"/>
    </row>
    <row r="25" spans="1:13" ht="14.15" customHeight="1">
      <c r="A25" s="395" t="s">
        <v>784</v>
      </c>
      <c r="B25" s="124">
        <v>1</v>
      </c>
      <c r="C25" s="124">
        <v>10</v>
      </c>
      <c r="D25" s="127"/>
      <c r="E25" s="124">
        <v>1</v>
      </c>
      <c r="F25" s="124">
        <v>10</v>
      </c>
      <c r="H25" s="124">
        <v>0</v>
      </c>
      <c r="I25" s="124">
        <v>0</v>
      </c>
      <c r="K25" s="124">
        <v>0</v>
      </c>
      <c r="L25" s="124">
        <v>0</v>
      </c>
      <c r="M25" s="120"/>
    </row>
    <row r="26" spans="1:13" ht="14.15" customHeight="1">
      <c r="A26" s="802" t="s">
        <v>636</v>
      </c>
      <c r="B26" s="124">
        <v>1922</v>
      </c>
      <c r="C26" s="124">
        <v>36849.47</v>
      </c>
      <c r="D26" s="127"/>
      <c r="E26" s="124">
        <v>1804</v>
      </c>
      <c r="F26" s="124">
        <v>40715.35</v>
      </c>
      <c r="H26" s="124">
        <v>1489</v>
      </c>
      <c r="I26" s="124">
        <v>32770.019999999997</v>
      </c>
      <c r="K26" s="124">
        <v>1718</v>
      </c>
      <c r="L26" s="124">
        <v>38062.43</v>
      </c>
      <c r="M26" s="120"/>
    </row>
    <row r="27" spans="1:13" ht="14.15" customHeight="1">
      <c r="A27" s="802" t="s">
        <v>637</v>
      </c>
      <c r="B27" s="124">
        <v>2659</v>
      </c>
      <c r="C27" s="124">
        <v>57833.66</v>
      </c>
      <c r="D27" s="127"/>
      <c r="E27" s="124">
        <v>2591</v>
      </c>
      <c r="F27" s="124">
        <v>63442.44</v>
      </c>
      <c r="H27" s="124">
        <v>2074</v>
      </c>
      <c r="I27" s="124">
        <v>49021.760000000002</v>
      </c>
      <c r="K27" s="124">
        <v>2342</v>
      </c>
      <c r="L27" s="124">
        <v>53713.9</v>
      </c>
      <c r="M27" s="120"/>
    </row>
    <row r="28" spans="1:13" ht="14.15" customHeight="1">
      <c r="A28" s="395" t="s">
        <v>785</v>
      </c>
      <c r="B28" s="124">
        <v>0</v>
      </c>
      <c r="C28" s="124">
        <v>0</v>
      </c>
      <c r="D28" s="127"/>
      <c r="E28" s="124">
        <v>1</v>
      </c>
      <c r="F28" s="124">
        <v>25</v>
      </c>
      <c r="H28" s="124">
        <v>0</v>
      </c>
      <c r="I28" s="124">
        <v>0</v>
      </c>
      <c r="K28" s="124">
        <v>0</v>
      </c>
      <c r="L28" s="124">
        <v>0</v>
      </c>
      <c r="M28" s="120"/>
    </row>
    <row r="29" spans="1:13" ht="14.15" customHeight="1">
      <c r="A29" s="802" t="s">
        <v>638</v>
      </c>
      <c r="B29" s="124">
        <v>2224</v>
      </c>
      <c r="C29" s="124">
        <v>51726.78</v>
      </c>
      <c r="D29" s="127"/>
      <c r="E29" s="124">
        <v>2198</v>
      </c>
      <c r="F29" s="124">
        <v>60345.96</v>
      </c>
      <c r="H29" s="124">
        <v>1971</v>
      </c>
      <c r="I29" s="124">
        <v>53863.61</v>
      </c>
      <c r="K29" s="124">
        <v>1841</v>
      </c>
      <c r="L29" s="124">
        <v>48734.49</v>
      </c>
      <c r="M29" s="120"/>
    </row>
    <row r="30" spans="1:13" ht="14.15" customHeight="1">
      <c r="A30" s="395" t="s">
        <v>639</v>
      </c>
      <c r="B30" s="124">
        <v>2634</v>
      </c>
      <c r="C30" s="124">
        <v>64875.37</v>
      </c>
      <c r="D30" s="127"/>
      <c r="E30" s="124">
        <v>2667</v>
      </c>
      <c r="F30" s="124">
        <v>81092.09</v>
      </c>
      <c r="H30" s="124">
        <v>2194</v>
      </c>
      <c r="I30" s="124">
        <v>62230.15</v>
      </c>
      <c r="K30" s="124">
        <v>2666</v>
      </c>
      <c r="L30" s="124">
        <v>76358.090000000011</v>
      </c>
      <c r="M30" s="120"/>
    </row>
    <row r="31" spans="1:13" ht="14.15" customHeight="1">
      <c r="A31" s="395" t="s">
        <v>786</v>
      </c>
      <c r="B31" s="124">
        <v>0</v>
      </c>
      <c r="C31" s="124">
        <v>0</v>
      </c>
      <c r="D31" s="127"/>
      <c r="E31" s="124">
        <v>0</v>
      </c>
      <c r="F31" s="124">
        <v>0</v>
      </c>
      <c r="H31" s="124">
        <v>0</v>
      </c>
      <c r="I31" s="124">
        <v>0</v>
      </c>
      <c r="K31" s="124">
        <v>0</v>
      </c>
      <c r="L31" s="124">
        <v>0</v>
      </c>
      <c r="M31" s="120"/>
    </row>
    <row r="32" spans="1:13" ht="14.15" customHeight="1">
      <c r="A32" s="395" t="s">
        <v>740</v>
      </c>
      <c r="B32" s="124">
        <v>1024</v>
      </c>
      <c r="C32" s="124">
        <v>637076.97</v>
      </c>
      <c r="D32" s="129"/>
      <c r="E32" s="124">
        <v>995</v>
      </c>
      <c r="F32" s="124">
        <v>604040.1</v>
      </c>
      <c r="G32" s="126"/>
      <c r="H32" s="124">
        <v>990</v>
      </c>
      <c r="I32" s="124">
        <v>539147.93999999994</v>
      </c>
      <c r="J32" s="126"/>
      <c r="K32" s="124">
        <v>1120</v>
      </c>
      <c r="L32" s="124">
        <v>776164.14</v>
      </c>
      <c r="M32" s="120"/>
    </row>
    <row r="33" spans="1:14" ht="14.15" customHeight="1">
      <c r="A33" s="395" t="s">
        <v>795</v>
      </c>
      <c r="B33" s="124">
        <v>8</v>
      </c>
      <c r="C33" s="124">
        <v>236</v>
      </c>
      <c r="D33" s="129"/>
      <c r="E33" s="124">
        <v>11</v>
      </c>
      <c r="F33" s="124">
        <v>111</v>
      </c>
      <c r="G33" s="126"/>
      <c r="H33" s="124">
        <v>0</v>
      </c>
      <c r="I33" s="124">
        <v>0</v>
      </c>
      <c r="J33" s="126"/>
      <c r="K33" s="124">
        <v>1</v>
      </c>
      <c r="L33" s="124">
        <v>1</v>
      </c>
      <c r="M33" s="120"/>
    </row>
    <row r="34" spans="1:14" ht="14.15" customHeight="1">
      <c r="A34" s="395" t="s">
        <v>787</v>
      </c>
      <c r="B34" s="124">
        <v>25</v>
      </c>
      <c r="C34" s="124">
        <v>2541</v>
      </c>
      <c r="D34" s="129"/>
      <c r="E34" s="124">
        <v>11</v>
      </c>
      <c r="F34" s="124">
        <v>422</v>
      </c>
      <c r="G34" s="126"/>
      <c r="H34" s="124">
        <v>11</v>
      </c>
      <c r="I34" s="124">
        <v>1206</v>
      </c>
      <c r="J34" s="126"/>
      <c r="K34" s="124">
        <v>9</v>
      </c>
      <c r="L34" s="124">
        <v>593</v>
      </c>
      <c r="M34" s="120"/>
    </row>
    <row r="35" spans="1:14" ht="14.15" customHeight="1">
      <c r="A35" s="395" t="s">
        <v>788</v>
      </c>
      <c r="B35" s="124">
        <v>23</v>
      </c>
      <c r="C35" s="124">
        <v>654</v>
      </c>
      <c r="D35" s="129"/>
      <c r="E35" s="124">
        <v>12</v>
      </c>
      <c r="F35" s="124">
        <v>167</v>
      </c>
      <c r="G35" s="126"/>
      <c r="H35" s="124">
        <v>1</v>
      </c>
      <c r="I35" s="124">
        <v>50</v>
      </c>
      <c r="J35" s="126"/>
      <c r="K35" s="124">
        <v>1</v>
      </c>
      <c r="L35" s="124">
        <v>1</v>
      </c>
      <c r="M35" s="120"/>
    </row>
    <row r="36" spans="1:14" ht="14.15" customHeight="1">
      <c r="A36" s="395" t="s">
        <v>790</v>
      </c>
      <c r="B36" s="124">
        <v>12</v>
      </c>
      <c r="C36" s="124">
        <v>144</v>
      </c>
      <c r="D36" s="129"/>
      <c r="E36" s="124">
        <v>7</v>
      </c>
      <c r="F36" s="124">
        <v>20</v>
      </c>
      <c r="G36" s="126"/>
      <c r="H36" s="124">
        <v>0</v>
      </c>
      <c r="I36" s="124">
        <v>0</v>
      </c>
      <c r="J36" s="126"/>
      <c r="K36" s="124">
        <v>1</v>
      </c>
      <c r="L36" s="124">
        <v>1</v>
      </c>
      <c r="M36" s="120"/>
    </row>
    <row r="37" spans="1:14" ht="14.15" customHeight="1">
      <c r="A37" s="395" t="s">
        <v>789</v>
      </c>
      <c r="B37" s="124">
        <v>20</v>
      </c>
      <c r="C37" s="124">
        <v>369</v>
      </c>
      <c r="D37" s="129"/>
      <c r="E37" s="124">
        <v>21</v>
      </c>
      <c r="F37" s="124">
        <v>295</v>
      </c>
      <c r="G37" s="126"/>
      <c r="H37" s="124">
        <v>2</v>
      </c>
      <c r="I37" s="124">
        <v>105</v>
      </c>
      <c r="J37" s="126"/>
      <c r="K37" s="124">
        <v>4</v>
      </c>
      <c r="L37" s="124">
        <v>131</v>
      </c>
      <c r="M37" s="120"/>
    </row>
    <row r="38" spans="1:14" ht="14.15" customHeight="1">
      <c r="A38" s="395" t="s">
        <v>791</v>
      </c>
      <c r="B38" s="124">
        <v>22</v>
      </c>
      <c r="C38" s="124">
        <v>1065</v>
      </c>
      <c r="D38" s="129"/>
      <c r="E38" s="124">
        <v>12</v>
      </c>
      <c r="F38" s="124">
        <v>126</v>
      </c>
      <c r="G38" s="126"/>
      <c r="H38" s="124">
        <v>0</v>
      </c>
      <c r="I38" s="124">
        <v>0</v>
      </c>
      <c r="J38" s="126"/>
      <c r="K38" s="124">
        <v>1</v>
      </c>
      <c r="L38" s="124">
        <v>1</v>
      </c>
      <c r="M38" s="120"/>
    </row>
    <row r="39" spans="1:14" ht="14.15" customHeight="1">
      <c r="A39" s="395" t="s">
        <v>792</v>
      </c>
      <c r="B39" s="124">
        <v>3</v>
      </c>
      <c r="C39" s="124">
        <v>36</v>
      </c>
      <c r="D39" s="129"/>
      <c r="E39" s="124">
        <v>3</v>
      </c>
      <c r="F39" s="124">
        <v>4</v>
      </c>
      <c r="G39" s="126"/>
      <c r="H39" s="124">
        <v>0</v>
      </c>
      <c r="I39" s="124">
        <v>0</v>
      </c>
      <c r="J39" s="126"/>
      <c r="K39" s="124">
        <v>1</v>
      </c>
      <c r="L39" s="124">
        <v>1</v>
      </c>
      <c r="M39" s="120"/>
    </row>
    <row r="40" spans="1:14" ht="14.15" customHeight="1">
      <c r="A40" s="395" t="s">
        <v>793</v>
      </c>
      <c r="B40" s="124">
        <v>33</v>
      </c>
      <c r="C40" s="124">
        <v>1047</v>
      </c>
      <c r="D40" s="129"/>
      <c r="E40" s="124">
        <v>24</v>
      </c>
      <c r="F40" s="124">
        <v>384</v>
      </c>
      <c r="G40" s="126"/>
      <c r="H40" s="124">
        <v>3</v>
      </c>
      <c r="I40" s="124">
        <v>55</v>
      </c>
      <c r="J40" s="126"/>
      <c r="K40" s="124">
        <v>3</v>
      </c>
      <c r="L40" s="124">
        <v>61</v>
      </c>
      <c r="M40" s="120"/>
    </row>
    <row r="41" spans="1:14" ht="14.15" customHeight="1">
      <c r="A41" s="395" t="s">
        <v>794</v>
      </c>
      <c r="B41" s="124">
        <v>4269</v>
      </c>
      <c r="C41" s="124">
        <v>136938.82</v>
      </c>
      <c r="D41" s="129"/>
      <c r="E41" s="124">
        <v>5121</v>
      </c>
      <c r="F41" s="124">
        <v>185866.94</v>
      </c>
      <c r="G41" s="126"/>
      <c r="H41" s="124">
        <v>3749</v>
      </c>
      <c r="I41" s="124">
        <v>125141.78</v>
      </c>
      <c r="J41" s="126"/>
      <c r="K41" s="124">
        <v>3598</v>
      </c>
      <c r="L41" s="124">
        <v>116249.9</v>
      </c>
      <c r="M41" s="120"/>
    </row>
    <row r="42" spans="1:14" ht="6" customHeight="1">
      <c r="A42" s="395"/>
      <c r="B42" s="124"/>
      <c r="C42" s="126"/>
      <c r="D42" s="129"/>
      <c r="E42" s="124"/>
      <c r="F42" s="126"/>
      <c r="G42" s="126"/>
      <c r="H42" s="124"/>
      <c r="I42" s="126"/>
      <c r="J42" s="126"/>
      <c r="K42" s="124"/>
      <c r="L42" s="126"/>
      <c r="M42" s="120"/>
    </row>
    <row r="43" spans="1:14" ht="14.5" customHeight="1">
      <c r="A43" s="396" t="s">
        <v>16</v>
      </c>
      <c r="B43" s="130">
        <f>SUM(B6:B41)</f>
        <v>50403</v>
      </c>
      <c r="C43" s="130">
        <f t="shared" ref="C43:L43" si="0">SUM(C6:C41)</f>
        <v>1731564.83</v>
      </c>
      <c r="D43" s="130"/>
      <c r="E43" s="130">
        <f t="shared" si="0"/>
        <v>51470</v>
      </c>
      <c r="F43" s="130">
        <f t="shared" si="0"/>
        <v>1878514.5899999999</v>
      </c>
      <c r="G43" s="130"/>
      <c r="H43" s="130">
        <f t="shared" ref="H43:I43" si="1">SUM(H6:H41)</f>
        <v>41155</v>
      </c>
      <c r="I43" s="130">
        <f t="shared" si="1"/>
        <v>1515943.3299999998</v>
      </c>
      <c r="J43" s="130"/>
      <c r="K43" s="130">
        <f t="shared" si="0"/>
        <v>44041</v>
      </c>
      <c r="L43" s="130">
        <f t="shared" si="0"/>
        <v>1843295.92</v>
      </c>
      <c r="M43" s="120"/>
    </row>
    <row r="44" spans="1:14" ht="9" customHeight="1">
      <c r="A44" s="128"/>
      <c r="B44" s="131"/>
      <c r="C44" s="132"/>
      <c r="D44" s="133"/>
      <c r="E44" s="131"/>
      <c r="F44" s="134"/>
      <c r="G44" s="134"/>
      <c r="H44" s="131"/>
      <c r="I44" s="131"/>
      <c r="J44" s="134"/>
      <c r="K44" s="131"/>
      <c r="L44" s="131"/>
      <c r="M44" s="120"/>
    </row>
    <row r="45" spans="1:14" s="1214" customFormat="1">
      <c r="A45" s="1223" t="s">
        <v>1</v>
      </c>
      <c r="B45" s="1224"/>
      <c r="C45" s="1225"/>
      <c r="D45" s="1225"/>
      <c r="E45" s="1224"/>
      <c r="F45" s="1226"/>
      <c r="G45" s="1226"/>
      <c r="H45" s="1224"/>
      <c r="I45" s="1226"/>
      <c r="J45" s="1226"/>
      <c r="K45" s="1224"/>
      <c r="L45" s="1226"/>
      <c r="M45" s="1223"/>
      <c r="N45" s="1223"/>
    </row>
    <row r="46" spans="1:14" s="1214" customFormat="1" ht="13">
      <c r="A46" s="1604" t="s">
        <v>1321</v>
      </c>
      <c r="B46" s="1604"/>
      <c r="C46" s="1604"/>
      <c r="D46" s="1604"/>
      <c r="E46" s="1604"/>
      <c r="F46" s="1604"/>
      <c r="G46" s="1604"/>
      <c r="H46" s="1604"/>
      <c r="I46" s="1604"/>
      <c r="J46" s="1604"/>
      <c r="K46" s="1604"/>
      <c r="L46" s="1604"/>
      <c r="M46" s="1605"/>
      <c r="N46" s="1605"/>
    </row>
    <row r="47" spans="1:14" s="1214" customFormat="1" ht="26" customHeight="1">
      <c r="A47" s="1604" t="s">
        <v>1320</v>
      </c>
      <c r="B47" s="1604"/>
      <c r="C47" s="1604"/>
      <c r="D47" s="1604"/>
      <c r="E47" s="1604"/>
      <c r="F47" s="1604"/>
      <c r="G47" s="1604"/>
      <c r="H47" s="1604"/>
      <c r="I47" s="1604"/>
      <c r="J47" s="1604"/>
      <c r="K47" s="1604"/>
      <c r="L47" s="1604"/>
      <c r="M47" s="1605"/>
      <c r="N47" s="1605"/>
    </row>
    <row r="48" spans="1:14" s="1214" customFormat="1" ht="13">
      <c r="A48" s="1604" t="s">
        <v>1213</v>
      </c>
      <c r="B48" s="1604"/>
      <c r="C48" s="1604"/>
      <c r="D48" s="1604"/>
      <c r="E48" s="1604"/>
      <c r="F48" s="1604"/>
      <c r="G48" s="1604"/>
      <c r="H48" s="1604"/>
      <c r="I48" s="1604"/>
      <c r="J48" s="1604"/>
      <c r="K48" s="1604"/>
      <c r="L48" s="1604"/>
      <c r="M48" s="1605"/>
      <c r="N48" s="1605"/>
    </row>
    <row r="49" spans="1:15" s="1214" customFormat="1" ht="13">
      <c r="A49" s="1606" t="s">
        <v>1322</v>
      </c>
      <c r="B49" s="1606"/>
      <c r="C49" s="1606"/>
      <c r="D49" s="1606"/>
      <c r="E49" s="1606"/>
      <c r="F49" s="1606"/>
      <c r="G49" s="1606"/>
      <c r="H49" s="1606"/>
      <c r="I49" s="1606"/>
      <c r="J49" s="1606"/>
      <c r="K49" s="1606"/>
      <c r="L49" s="1606"/>
      <c r="M49" s="1605"/>
      <c r="N49" s="1605"/>
    </row>
    <row r="50" spans="1:15" s="1214" customFormat="1" ht="26" customHeight="1">
      <c r="A50" s="1607" t="s">
        <v>1323</v>
      </c>
      <c r="B50" s="1604"/>
      <c r="C50" s="1604"/>
      <c r="D50" s="1604"/>
      <c r="E50" s="1604"/>
      <c r="F50" s="1604"/>
      <c r="G50" s="1604"/>
      <c r="H50" s="1604"/>
      <c r="I50" s="1604"/>
      <c r="J50" s="1604"/>
      <c r="K50" s="1604"/>
      <c r="L50" s="1604"/>
      <c r="M50" s="1605"/>
      <c r="N50" s="1605"/>
    </row>
    <row r="51" spans="1:15" s="1214" customFormat="1" ht="13">
      <c r="A51" s="1604" t="s">
        <v>894</v>
      </c>
      <c r="B51" s="1604"/>
      <c r="C51" s="1604"/>
      <c r="D51" s="1604"/>
      <c r="E51" s="1604"/>
      <c r="F51" s="1604"/>
      <c r="G51" s="1604"/>
      <c r="H51" s="1604"/>
      <c r="I51" s="1604"/>
      <c r="J51" s="1604"/>
      <c r="K51" s="1604"/>
      <c r="L51" s="1604"/>
      <c r="M51" s="1605"/>
      <c r="N51" s="1605"/>
    </row>
    <row r="52" spans="1:15" s="1214" customFormat="1" ht="13">
      <c r="A52" s="1604" t="s">
        <v>796</v>
      </c>
      <c r="B52" s="1604"/>
      <c r="C52" s="1604"/>
      <c r="D52" s="1604"/>
      <c r="E52" s="1604"/>
      <c r="F52" s="1604"/>
      <c r="G52" s="1604"/>
      <c r="H52" s="1604"/>
      <c r="I52" s="1604"/>
      <c r="J52" s="1604"/>
      <c r="K52" s="1604"/>
      <c r="L52" s="1604"/>
      <c r="M52" s="1605"/>
      <c r="N52" s="1605"/>
    </row>
    <row r="53" spans="1:15" s="705" customFormat="1" ht="12.75" customHeight="1">
      <c r="A53" s="788" t="s">
        <v>963</v>
      </c>
      <c r="B53" s="706"/>
      <c r="C53" s="706"/>
      <c r="D53" s="706"/>
      <c r="E53" s="707"/>
      <c r="O53" s="125"/>
    </row>
    <row r="54" spans="1:15" ht="13">
      <c r="O54" s="705"/>
    </row>
  </sheetData>
  <customSheetViews>
    <customSheetView guid="{E6BBE5A7-0B25-4EE8-BA45-5EA5DBAF3AD4}" showPageBreaks="1" printArea="1">
      <selection activeCell="I9" sqref="I9"/>
      <pageMargins left="0.5" right="0.5" top="0.5" bottom="1" header="0.5" footer="0.5"/>
      <printOptions horizontalCentered="1"/>
      <pageSetup scale="63" firstPageNumber="23" orientation="landscape" useFirstPageNumber="1" r:id="rId1"/>
      <headerFooter alignWithMargins="0"/>
    </customSheetView>
  </customSheetViews>
  <mergeCells count="7">
    <mergeCell ref="A52:N52"/>
    <mergeCell ref="A48:N48"/>
    <mergeCell ref="A47:N47"/>
    <mergeCell ref="A46:N46"/>
    <mergeCell ref="A49:N49"/>
    <mergeCell ref="A50:N50"/>
    <mergeCell ref="A51:N51"/>
  </mergeCells>
  <conditionalFormatting sqref="M6:M31">
    <cfRule type="cellIs" dxfId="2" priority="2" stopIfTrue="1" operator="equal">
      <formula>0</formula>
    </cfRule>
  </conditionalFormatting>
  <hyperlinks>
    <hyperlink ref="O1" location="TOC!A1" display="Back" xr:uid="{00000000-0004-0000-0D00-000000000000}"/>
  </hyperlinks>
  <pageMargins left="0.6" right="0.25" top="0.35" bottom="0.25" header="0.25" footer="0.25"/>
  <pageSetup scale="77" firstPageNumber="23" orientation="landscape" r:id="rId2"/>
  <headerFooter scaleWithDoc="0">
    <oddHeader>&amp;R&amp;P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45"/>
  <sheetViews>
    <sheetView zoomScaleNormal="100" workbookViewId="0"/>
  </sheetViews>
  <sheetFormatPr defaultColWidth="11.453125" defaultRowHeight="15.5"/>
  <cols>
    <col min="1" max="1" width="18.7265625" style="64" customWidth="1"/>
    <col min="2" max="3" width="3.7265625" style="64" customWidth="1"/>
    <col min="4" max="4" width="18.7265625" style="64" customWidth="1"/>
    <col min="5" max="12" width="10.7265625" style="64" customWidth="1"/>
    <col min="13" max="16384" width="11.453125" style="64"/>
  </cols>
  <sheetData>
    <row r="1" spans="1:13" ht="18">
      <c r="A1" s="355" t="s">
        <v>270</v>
      </c>
      <c r="M1" s="855" t="s">
        <v>984</v>
      </c>
    </row>
    <row r="2" spans="1:13">
      <c r="A2" s="65" t="s">
        <v>271</v>
      </c>
    </row>
    <row r="3" spans="1:13" ht="16" thickBot="1"/>
    <row r="4" spans="1:13" ht="16" thickTop="1">
      <c r="A4" s="66" t="s">
        <v>29</v>
      </c>
      <c r="B4" s="66"/>
      <c r="C4" s="66"/>
      <c r="D4" s="66" t="s">
        <v>19</v>
      </c>
    </row>
    <row r="5" spans="1:13" hidden="1">
      <c r="A5" s="67">
        <v>2010</v>
      </c>
      <c r="B5" s="67"/>
      <c r="C5" s="67"/>
      <c r="D5" s="209">
        <v>806472760</v>
      </c>
      <c r="E5" s="68"/>
    </row>
    <row r="6" spans="1:13" hidden="1">
      <c r="A6" s="67">
        <v>2011</v>
      </c>
      <c r="B6" s="67"/>
      <c r="C6" s="67"/>
      <c r="D6" s="69">
        <v>822258802.83999991</v>
      </c>
      <c r="E6" s="68"/>
    </row>
    <row r="7" spans="1:13" hidden="1">
      <c r="A7" s="67">
        <v>2012</v>
      </c>
      <c r="B7" s="67"/>
      <c r="C7" s="67"/>
      <c r="D7" s="69">
        <v>859922839.54999995</v>
      </c>
      <c r="E7" s="68"/>
    </row>
    <row r="8" spans="1:13">
      <c r="A8" s="67">
        <v>2013</v>
      </c>
      <c r="B8" s="67"/>
      <c r="C8" s="67"/>
      <c r="D8" s="69">
        <v>796728154.4000001</v>
      </c>
      <c r="E8" s="68"/>
      <c r="F8" s="69"/>
    </row>
    <row r="9" spans="1:13">
      <c r="A9" s="67">
        <v>2014</v>
      </c>
      <c r="B9" s="67"/>
      <c r="C9" s="67"/>
      <c r="D9" s="69">
        <v>757490742.09000015</v>
      </c>
      <c r="E9" s="68"/>
    </row>
    <row r="10" spans="1:13">
      <c r="A10" s="67">
        <v>2015</v>
      </c>
      <c r="D10" s="69">
        <v>831906887.15999985</v>
      </c>
      <c r="E10" s="68"/>
    </row>
    <row r="11" spans="1:13">
      <c r="A11" s="67">
        <v>2016</v>
      </c>
      <c r="D11" s="69">
        <v>764948013.7700001</v>
      </c>
      <c r="E11" s="68"/>
    </row>
    <row r="12" spans="1:13">
      <c r="A12" s="67">
        <v>2017</v>
      </c>
      <c r="D12" s="69">
        <v>826960822.31000006</v>
      </c>
      <c r="E12" s="68"/>
    </row>
    <row r="13" spans="1:13">
      <c r="A13" s="67">
        <v>2018</v>
      </c>
      <c r="D13" s="69">
        <v>861897138.17999983</v>
      </c>
      <c r="E13" s="364">
        <f>D13/D12-1</f>
        <v>4.2246639656289942E-2</v>
      </c>
    </row>
    <row r="14" spans="1:13">
      <c r="A14" s="67">
        <v>2019</v>
      </c>
      <c r="D14" s="69">
        <v>943390660.94999993</v>
      </c>
      <c r="E14" s="398"/>
    </row>
    <row r="15" spans="1:13">
      <c r="A15" s="67">
        <v>2020</v>
      </c>
      <c r="D15" s="349">
        <f>1456048948.77-254758722.16-189640608.54</f>
        <v>1011649618.0699999</v>
      </c>
      <c r="E15" s="523"/>
    </row>
    <row r="16" spans="1:13">
      <c r="A16" s="67">
        <v>2021</v>
      </c>
      <c r="D16" s="349">
        <v>1515692110.6500001</v>
      </c>
      <c r="E16" s="523"/>
    </row>
    <row r="17" spans="1:5">
      <c r="A17" s="67">
        <v>2022</v>
      </c>
      <c r="D17" s="349">
        <v>1978697205.29</v>
      </c>
      <c r="E17" s="348"/>
    </row>
    <row r="18" spans="1:5">
      <c r="A18" s="67">
        <v>2023</v>
      </c>
      <c r="D18" s="349">
        <v>2031120170.5999999</v>
      </c>
      <c r="E18" s="348"/>
    </row>
    <row r="19" spans="1:5">
      <c r="D19" s="481"/>
      <c r="E19" s="348"/>
    </row>
    <row r="20" spans="1:5" s="1227" customFormat="1" ht="10" customHeight="1">
      <c r="A20" s="1228" t="s">
        <v>1</v>
      </c>
      <c r="B20" s="1228"/>
      <c r="C20" s="1228"/>
      <c r="D20" s="1228"/>
    </row>
    <row r="21" spans="1:5" s="1227" customFormat="1" ht="10" customHeight="1">
      <c r="A21" s="1228" t="s">
        <v>272</v>
      </c>
      <c r="B21" s="1228"/>
      <c r="C21" s="1228"/>
      <c r="D21" s="1228"/>
    </row>
    <row r="22" spans="1:5" s="1227" customFormat="1" ht="47" customHeight="1">
      <c r="A22" s="1608" t="s">
        <v>1244</v>
      </c>
      <c r="B22" s="1609"/>
      <c r="C22" s="1609"/>
      <c r="D22" s="1609"/>
    </row>
    <row r="23" spans="1:5" s="705" customFormat="1" ht="12.75" customHeight="1">
      <c r="A23" s="788" t="s">
        <v>956</v>
      </c>
      <c r="B23" s="706"/>
      <c r="C23" s="706"/>
      <c r="D23" s="706"/>
      <c r="E23" s="707"/>
    </row>
    <row r="44" spans="1:4">
      <c r="A44" s="67"/>
      <c r="B44" s="67"/>
      <c r="C44" s="67"/>
      <c r="D44" s="70"/>
    </row>
    <row r="45" spans="1:4">
      <c r="A45" s="67"/>
      <c r="B45" s="67"/>
      <c r="C45" s="67"/>
      <c r="D45" s="70"/>
    </row>
  </sheetData>
  <customSheetViews>
    <customSheetView guid="{E6BBE5A7-0B25-4EE8-BA45-5EA5DBAF3AD4}" showPageBreaks="1" printArea="1">
      <pageMargins left="0.75" right="0.75" top="1" bottom="1" header="0.5" footer="0.5"/>
      <printOptions horizontalCentered="1"/>
      <pageSetup scale="70" orientation="landscape" r:id="rId1"/>
      <headerFooter alignWithMargins="0"/>
    </customSheetView>
  </customSheetViews>
  <mergeCells count="1">
    <mergeCell ref="A22:D22"/>
  </mergeCells>
  <hyperlinks>
    <hyperlink ref="M1" location="TOC!A1" display="Back" xr:uid="{00000000-0004-0000-0E00-000000000000}"/>
  </hyperlinks>
  <pageMargins left="0.6" right="0.25" top="0.5" bottom="0.5" header="0.25" footer="0.5"/>
  <pageSetup orientation="landscape" r:id="rId2"/>
  <headerFooter scaleWithDoc="0">
    <oddHeader>&amp;R&amp;P</oddHead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L26"/>
  <sheetViews>
    <sheetView zoomScaleNormal="100" workbookViewId="0"/>
  </sheetViews>
  <sheetFormatPr defaultColWidth="9.1796875" defaultRowHeight="12.5"/>
  <cols>
    <col min="1" max="1" width="23.6328125" style="20" customWidth="1"/>
    <col min="2" max="2" width="17.6328125" style="20" customWidth="1"/>
    <col min="3" max="3" width="8.6328125" style="20" customWidth="1"/>
    <col min="4" max="4" width="2.7265625" style="20" customWidth="1"/>
    <col min="5" max="5" width="15.6328125" style="20" customWidth="1"/>
    <col min="6" max="6" width="8.6328125" style="20" customWidth="1"/>
    <col min="7" max="7" width="2.7265625" style="20" customWidth="1"/>
    <col min="8" max="8" width="14.6328125" style="20" customWidth="1"/>
    <col min="9" max="9" width="8.6328125" style="20" customWidth="1"/>
    <col min="10" max="10" width="6.6328125" style="20" customWidth="1"/>
    <col min="11" max="11" width="9.1796875" style="20"/>
    <col min="12" max="12" width="12.453125" style="20" bestFit="1" customWidth="1"/>
    <col min="13" max="16384" width="9.1796875" style="20"/>
  </cols>
  <sheetData>
    <row r="1" spans="1:12" ht="18">
      <c r="A1" s="356" t="s">
        <v>30</v>
      </c>
      <c r="B1" s="18"/>
      <c r="C1" s="19"/>
      <c r="D1" s="19"/>
      <c r="E1" s="18"/>
      <c r="F1" s="19"/>
      <c r="G1" s="19"/>
      <c r="H1" s="18"/>
      <c r="I1" s="19"/>
      <c r="J1" s="19"/>
      <c r="K1" s="855" t="s">
        <v>984</v>
      </c>
    </row>
    <row r="2" spans="1:12" ht="15.5">
      <c r="A2" s="17" t="s">
        <v>1295</v>
      </c>
      <c r="B2" s="18"/>
      <c r="C2" s="19"/>
      <c r="D2" s="19"/>
      <c r="E2" s="18"/>
      <c r="F2" s="19"/>
      <c r="G2" s="19"/>
      <c r="H2" s="18"/>
      <c r="I2" s="19"/>
      <c r="J2" s="19"/>
    </row>
    <row r="3" spans="1:12">
      <c r="A3" s="1435" t="s">
        <v>1296</v>
      </c>
      <c r="B3" s="21"/>
      <c r="C3" s="22"/>
      <c r="D3" s="22"/>
      <c r="E3" s="21"/>
      <c r="F3" s="22"/>
      <c r="G3" s="22"/>
      <c r="H3" s="21"/>
      <c r="I3" s="22"/>
      <c r="J3" s="22"/>
    </row>
    <row r="4" spans="1:12" ht="6" customHeight="1" thickBot="1">
      <c r="A4" s="561"/>
      <c r="B4" s="21"/>
      <c r="C4" s="22"/>
      <c r="D4" s="22"/>
      <c r="E4" s="21"/>
      <c r="F4" s="22"/>
      <c r="G4" s="22"/>
      <c r="H4" s="21"/>
      <c r="I4" s="22"/>
      <c r="J4" s="22"/>
    </row>
    <row r="5" spans="1:12" ht="28" customHeight="1">
      <c r="A5" s="1020" t="s">
        <v>1034</v>
      </c>
      <c r="B5" s="1021" t="s">
        <v>1297</v>
      </c>
      <c r="C5" s="1022" t="s">
        <v>1035</v>
      </c>
      <c r="D5" s="1436"/>
      <c r="E5" s="1024" t="s">
        <v>1298</v>
      </c>
      <c r="F5" s="1022" t="s">
        <v>1035</v>
      </c>
      <c r="G5" s="1022"/>
      <c r="H5" s="1023" t="s">
        <v>1299</v>
      </c>
      <c r="I5" s="1022" t="s">
        <v>1035</v>
      </c>
      <c r="J5" s="1229"/>
    </row>
    <row r="6" spans="1:12" ht="21" customHeight="1">
      <c r="A6" s="207" t="s">
        <v>32</v>
      </c>
      <c r="B6" s="23">
        <v>44391</v>
      </c>
      <c r="C6" s="560">
        <f t="shared" ref="C6:C14" si="0">B6/$B$15</f>
        <v>0.62990975139062322</v>
      </c>
      <c r="D6" s="24"/>
      <c r="E6" s="25">
        <v>0</v>
      </c>
      <c r="F6" s="560">
        <f t="shared" ref="F6:F14" si="1">E6/$E$15</f>
        <v>0</v>
      </c>
      <c r="G6" s="26"/>
      <c r="H6" s="25">
        <v>21383207.399999999</v>
      </c>
      <c r="I6" s="560">
        <f>H6/$H$15</f>
        <v>1.6945874258051406E-2</v>
      </c>
      <c r="J6" s="560"/>
      <c r="K6" s="13"/>
      <c r="L6" s="158"/>
    </row>
    <row r="7" spans="1:12">
      <c r="A7" s="562" t="s">
        <v>33</v>
      </c>
      <c r="B7" s="23">
        <v>13758</v>
      </c>
      <c r="C7" s="560">
        <f t="shared" si="0"/>
        <v>0.1952264729254172</v>
      </c>
      <c r="D7" s="24"/>
      <c r="E7" s="27">
        <v>90214464.519999996</v>
      </c>
      <c r="F7" s="560">
        <f t="shared" si="1"/>
        <v>4.3968749603233862E-3</v>
      </c>
      <c r="G7" s="26"/>
      <c r="H7" s="27">
        <v>5430481.5300000003</v>
      </c>
      <c r="I7" s="560">
        <f t="shared" ref="I7:I14" si="2">H7/$H$15</f>
        <v>4.3035759531589559E-3</v>
      </c>
      <c r="J7" s="560"/>
      <c r="K7" s="13"/>
      <c r="L7" s="158"/>
    </row>
    <row r="8" spans="1:12">
      <c r="A8" s="562" t="s">
        <v>34</v>
      </c>
      <c r="B8" s="23">
        <v>2837</v>
      </c>
      <c r="C8" s="560">
        <f t="shared" si="0"/>
        <v>4.0257123396526283E-2</v>
      </c>
      <c r="D8" s="24"/>
      <c r="E8" s="27">
        <v>101821463.76000001</v>
      </c>
      <c r="F8" s="560">
        <f t="shared" si="1"/>
        <v>4.9625771965932097E-3</v>
      </c>
      <c r="G8" s="26"/>
      <c r="H8" s="27">
        <v>6113144.79</v>
      </c>
      <c r="I8" s="560">
        <f t="shared" si="2"/>
        <v>4.8445764470582686E-3</v>
      </c>
      <c r="J8" s="560"/>
      <c r="K8" s="13"/>
      <c r="L8" s="158"/>
    </row>
    <row r="9" spans="1:12">
      <c r="A9" s="562" t="s">
        <v>35</v>
      </c>
      <c r="B9" s="23">
        <v>2475</v>
      </c>
      <c r="C9" s="560">
        <f t="shared" si="0"/>
        <v>3.5120331479169029E-2</v>
      </c>
      <c r="D9" s="24"/>
      <c r="E9" s="27">
        <v>177772002.66</v>
      </c>
      <c r="F9" s="560">
        <f t="shared" si="1"/>
        <v>8.6642565723926823E-3</v>
      </c>
      <c r="G9" s="26"/>
      <c r="H9" s="27">
        <v>10666334</v>
      </c>
      <c r="I9" s="560">
        <f t="shared" si="2"/>
        <v>8.4529112671085302E-3</v>
      </c>
      <c r="J9" s="560"/>
      <c r="K9" s="13"/>
      <c r="L9" s="158"/>
    </row>
    <row r="10" spans="1:12">
      <c r="A10" s="562" t="s">
        <v>36</v>
      </c>
      <c r="B10" s="23">
        <v>4157</v>
      </c>
      <c r="C10" s="560">
        <f t="shared" si="0"/>
        <v>5.8987966852083094E-2</v>
      </c>
      <c r="D10" s="24"/>
      <c r="E10" s="27">
        <v>962754931.65999997</v>
      </c>
      <c r="F10" s="560">
        <f t="shared" si="1"/>
        <v>4.692277534945908E-2</v>
      </c>
      <c r="G10" s="26"/>
      <c r="H10" s="27">
        <v>57765334</v>
      </c>
      <c r="I10" s="560">
        <f t="shared" si="2"/>
        <v>4.5778169201985193E-2</v>
      </c>
      <c r="J10" s="560"/>
      <c r="K10" s="13"/>
      <c r="L10" s="158"/>
    </row>
    <row r="11" spans="1:12">
      <c r="A11" s="562" t="s">
        <v>37</v>
      </c>
      <c r="B11" s="23">
        <v>1028</v>
      </c>
      <c r="C11" s="560">
        <f t="shared" si="0"/>
        <v>1.4587353842660916E-2</v>
      </c>
      <c r="D11" s="24"/>
      <c r="E11" s="27">
        <v>727107081</v>
      </c>
      <c r="F11" s="560">
        <f t="shared" si="1"/>
        <v>3.5437764164902547E-2</v>
      </c>
      <c r="G11" s="26"/>
      <c r="H11" s="27">
        <v>43639222</v>
      </c>
      <c r="I11" s="560">
        <f t="shared" si="2"/>
        <v>3.458343525822935E-2</v>
      </c>
      <c r="J11" s="560"/>
      <c r="K11" s="13"/>
      <c r="L11" s="158"/>
    </row>
    <row r="12" spans="1:12">
      <c r="A12" s="562" t="s">
        <v>38</v>
      </c>
      <c r="B12" s="23">
        <v>705</v>
      </c>
      <c r="C12" s="560">
        <f t="shared" si="0"/>
        <v>1.0003973209217846E-2</v>
      </c>
      <c r="D12" s="24"/>
      <c r="E12" s="27">
        <v>985498541.66999996</v>
      </c>
      <c r="F12" s="560">
        <f t="shared" si="1"/>
        <v>4.8031254016293705E-2</v>
      </c>
      <c r="G12" s="26"/>
      <c r="H12" s="27">
        <v>59141584</v>
      </c>
      <c r="I12" s="560">
        <f t="shared" si="2"/>
        <v>4.6868826885436518E-2</v>
      </c>
      <c r="J12" s="560"/>
      <c r="K12" s="13"/>
      <c r="L12" s="158"/>
    </row>
    <row r="13" spans="1:12">
      <c r="A13" s="562" t="s">
        <v>39</v>
      </c>
      <c r="B13" s="23">
        <v>835</v>
      </c>
      <c r="C13" s="560">
        <f t="shared" si="0"/>
        <v>1.1848677488931774E-2</v>
      </c>
      <c r="D13" s="24"/>
      <c r="E13" s="27">
        <v>3586973584.0100002</v>
      </c>
      <c r="F13" s="560">
        <f t="shared" si="1"/>
        <v>0.17482201350736348</v>
      </c>
      <c r="G13" s="26"/>
      <c r="H13" s="27">
        <v>215563799</v>
      </c>
      <c r="I13" s="560">
        <f t="shared" si="2"/>
        <v>0.1708311089215675</v>
      </c>
      <c r="J13" s="560"/>
      <c r="K13" s="13"/>
      <c r="L13" s="158"/>
    </row>
    <row r="14" spans="1:12" ht="21" customHeight="1">
      <c r="A14" s="1025" t="s">
        <v>40</v>
      </c>
      <c r="B14" s="1026">
        <v>286</v>
      </c>
      <c r="C14" s="1027">
        <f t="shared" si="0"/>
        <v>4.0583494153706434E-3</v>
      </c>
      <c r="D14" s="1028"/>
      <c r="E14" s="1029">
        <v>13885717850.34</v>
      </c>
      <c r="F14" s="1027">
        <f t="shared" si="1"/>
        <v>0.67676248423267182</v>
      </c>
      <c r="G14" s="1030"/>
      <c r="H14" s="1029">
        <v>842150196</v>
      </c>
      <c r="I14" s="1027">
        <f t="shared" si="2"/>
        <v>0.66739152180740424</v>
      </c>
      <c r="J14" s="1027"/>
      <c r="K14" s="13"/>
      <c r="L14" s="158"/>
    </row>
    <row r="15" spans="1:12" ht="14" customHeight="1">
      <c r="A15" s="1036" t="s">
        <v>41</v>
      </c>
      <c r="B15" s="978">
        <f>SUM(B6:B14)</f>
        <v>70472</v>
      </c>
      <c r="C15" s="980">
        <f>SUM(C6:C14)</f>
        <v>1</v>
      </c>
      <c r="D15" s="1037"/>
      <c r="E15" s="979">
        <f>SUM(E6:E14)</f>
        <v>20517859919.620003</v>
      </c>
      <c r="F15" s="980">
        <f>SUM(F6:F14)</f>
        <v>0.99999999999999989</v>
      </c>
      <c r="G15" s="980"/>
      <c r="H15" s="979">
        <f>SUM(H6:H14)</f>
        <v>1261853302.72</v>
      </c>
      <c r="I15" s="980">
        <f>SUM(I6:I14)</f>
        <v>1</v>
      </c>
      <c r="J15" s="1230"/>
    </row>
    <row r="16" spans="1:12" ht="21" customHeight="1">
      <c r="A16" s="1031" t="s">
        <v>42</v>
      </c>
      <c r="B16" s="1032"/>
      <c r="C16" s="1033"/>
      <c r="D16" s="1034"/>
      <c r="E16" s="1032">
        <v>-107909203.75000399</v>
      </c>
      <c r="F16" s="1035">
        <f>E16/E17</f>
        <v>-5.2870879137448343E-3</v>
      </c>
      <c r="G16" s="1033"/>
      <c r="H16" s="1032">
        <v>-6474563.71000004</v>
      </c>
      <c r="I16" s="1035">
        <f>H16/H17</f>
        <v>-5.1574584695499338E-3</v>
      </c>
      <c r="J16" s="1035"/>
    </row>
    <row r="17" spans="1:12" ht="14.5" customHeight="1">
      <c r="A17" s="28" t="s">
        <v>43</v>
      </c>
      <c r="B17" s="29"/>
      <c r="C17" s="30"/>
      <c r="D17" s="30"/>
      <c r="E17" s="1017">
        <f>SUM(E15,E16)</f>
        <v>20409950715.869999</v>
      </c>
      <c r="F17" s="1018">
        <f>E17/E17</f>
        <v>1</v>
      </c>
      <c r="G17" s="1019"/>
      <c r="H17" s="1017">
        <f>SUM(H15,H16)</f>
        <v>1255378739.01</v>
      </c>
      <c r="I17" s="1018">
        <f>H17/H17</f>
        <v>1</v>
      </c>
      <c r="J17" s="1231"/>
      <c r="K17" s="1429"/>
      <c r="L17" s="1430"/>
    </row>
    <row r="18" spans="1:12" ht="6" customHeight="1">
      <c r="A18" s="218"/>
      <c r="B18" s="31"/>
      <c r="C18" s="32"/>
      <c r="D18" s="32"/>
      <c r="E18" s="33"/>
      <c r="F18" s="32"/>
      <c r="G18" s="32"/>
      <c r="H18" s="33"/>
      <c r="I18" s="32"/>
      <c r="J18" s="32"/>
    </row>
    <row r="19" spans="1:12" s="1233" customFormat="1" ht="13.15" customHeight="1">
      <c r="A19" s="1444" t="s">
        <v>1</v>
      </c>
      <c r="B19" s="1445"/>
      <c r="C19" s="1446"/>
      <c r="D19" s="1446"/>
      <c r="E19" s="1447"/>
      <c r="F19" s="1446"/>
      <c r="G19" s="1446"/>
      <c r="H19" s="1447"/>
      <c r="I19" s="1446"/>
      <c r="J19" s="1232"/>
    </row>
    <row r="20" spans="1:12" s="1233" customFormat="1" ht="26" customHeight="1">
      <c r="A20" s="1610" t="s">
        <v>1302</v>
      </c>
      <c r="B20" s="1610"/>
      <c r="C20" s="1610"/>
      <c r="D20" s="1610"/>
      <c r="E20" s="1610"/>
      <c r="F20" s="1610"/>
      <c r="G20" s="1610"/>
      <c r="H20" s="1610"/>
      <c r="I20" s="1610"/>
      <c r="J20" s="60"/>
    </row>
    <row r="21" spans="1:12" s="1233" customFormat="1" ht="13" customHeight="1">
      <c r="A21" s="1611" t="s">
        <v>755</v>
      </c>
      <c r="B21" s="1612"/>
      <c r="C21" s="1612"/>
      <c r="D21" s="1612"/>
      <c r="E21" s="1612"/>
      <c r="F21" s="1612"/>
      <c r="G21" s="1612"/>
      <c r="H21" s="1612"/>
      <c r="I21" s="1612"/>
      <c r="J21" s="60"/>
    </row>
    <row r="22" spans="1:12" s="1233" customFormat="1" ht="13" customHeight="1">
      <c r="A22" s="1437" t="s">
        <v>756</v>
      </c>
      <c r="B22" s="1438"/>
      <c r="C22" s="1438"/>
      <c r="D22" s="1438"/>
      <c r="E22" s="1438"/>
      <c r="F22" s="1438"/>
      <c r="G22" s="1438"/>
      <c r="H22" s="1438"/>
      <c r="I22" s="1438"/>
      <c r="J22" s="1234"/>
    </row>
    <row r="23" spans="1:12" s="1233" customFormat="1" ht="13" customHeight="1">
      <c r="A23" s="1438" t="s">
        <v>1300</v>
      </c>
      <c r="B23" s="1438"/>
      <c r="C23" s="1438"/>
      <c r="D23" s="1438"/>
      <c r="E23" s="1438"/>
      <c r="F23" s="1438"/>
      <c r="G23" s="1438"/>
      <c r="H23" s="1438"/>
      <c r="I23" s="1438"/>
      <c r="J23" s="1234"/>
    </row>
    <row r="24" spans="1:12" s="1233" customFormat="1" ht="26" customHeight="1">
      <c r="A24" s="1613" t="s">
        <v>1301</v>
      </c>
      <c r="B24" s="1612"/>
      <c r="C24" s="1612"/>
      <c r="D24" s="1612"/>
      <c r="E24" s="1612"/>
      <c r="F24" s="1612"/>
      <c r="G24" s="1612"/>
      <c r="H24" s="1612"/>
      <c r="I24" s="1612"/>
      <c r="J24" s="60"/>
    </row>
    <row r="25" spans="1:12" s="1233" customFormat="1" ht="13" customHeight="1">
      <c r="A25" s="1439"/>
      <c r="B25" s="1440" t="str">
        <f>"Number of pass-through entity returns in Taxable Year "&amp;N2&amp;" =  "</f>
        <v xml:space="preserve">Number of pass-through entity returns in Taxable Year  =  </v>
      </c>
      <c r="C25" s="1441">
        <v>277023</v>
      </c>
      <c r="D25" s="1442"/>
      <c r="E25" s="1443"/>
      <c r="F25" s="1442"/>
      <c r="G25" s="1442"/>
      <c r="H25" s="1443"/>
      <c r="I25" s="1442"/>
      <c r="J25" s="1234"/>
    </row>
    <row r="26" spans="1:12" s="705" customFormat="1" ht="12.75" customHeight="1">
      <c r="A26" s="788" t="s">
        <v>961</v>
      </c>
      <c r="B26" s="706"/>
      <c r="C26" s="706"/>
      <c r="D26" s="707"/>
    </row>
  </sheetData>
  <customSheetViews>
    <customSheetView guid="{E6BBE5A7-0B25-4EE8-BA45-5EA5DBAF3AD4}" showPageBreaks="1" printArea="1">
      <selection activeCell="A33" sqref="A33"/>
      <pageMargins left="0.5" right="0.5" top="1" bottom="1" header="0.5" footer="0.5"/>
      <printOptions horizontalCentered="1"/>
      <pageSetup scale="94" firstPageNumber="25" orientation="landscape" useFirstPageNumber="1" r:id="rId1"/>
      <headerFooter alignWithMargins="0"/>
    </customSheetView>
  </customSheetViews>
  <mergeCells count="3">
    <mergeCell ref="A20:I20"/>
    <mergeCell ref="A21:I21"/>
    <mergeCell ref="A24:I24"/>
  </mergeCells>
  <phoneticPr fontId="15" type="noConversion"/>
  <hyperlinks>
    <hyperlink ref="K1" location="TOC!A1" display="Back" xr:uid="{00000000-0004-0000-0F00-000000000000}"/>
  </hyperlinks>
  <pageMargins left="0.5" right="0.25" top="0.5" bottom="0.5" header="0.25" footer="0.25"/>
  <pageSetup firstPageNumber="25" orientation="landscape" r:id="rId2"/>
  <headerFooter scaleWithDoc="0">
    <oddHeader>&amp;R&amp;P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6">
    <pageSetUpPr fitToPage="1"/>
  </sheetPr>
  <dimension ref="A1:H69"/>
  <sheetViews>
    <sheetView zoomScale="95" zoomScaleNormal="95" workbookViewId="0"/>
  </sheetViews>
  <sheetFormatPr defaultRowHeight="12.5"/>
  <cols>
    <col min="1" max="1" width="25.7265625" style="60" customWidth="1"/>
    <col min="2" max="2" width="64.7265625" style="60" customWidth="1"/>
    <col min="3" max="3" width="25.6328125" style="60" customWidth="1"/>
    <col min="4" max="4" width="33.54296875" style="60" bestFit="1" customWidth="1"/>
    <col min="5" max="5" width="11.6328125" customWidth="1"/>
    <col min="6" max="6" width="11.7265625" style="60" customWidth="1"/>
    <col min="7" max="7" width="1.6328125" customWidth="1"/>
  </cols>
  <sheetData>
    <row r="1" spans="1:8" ht="17.149999999999999" customHeight="1">
      <c r="A1" s="354" t="s">
        <v>44</v>
      </c>
      <c r="H1" s="855" t="s">
        <v>984</v>
      </c>
    </row>
    <row r="2" spans="1:8" ht="15" customHeight="1">
      <c r="A2" s="61" t="s">
        <v>1206</v>
      </c>
    </row>
    <row r="3" spans="1:8" ht="12.75" customHeight="1">
      <c r="A3" s="1433" t="s">
        <v>1294</v>
      </c>
    </row>
    <row r="4" spans="1:8" ht="6" customHeight="1" thickBot="1">
      <c r="A4" s="62"/>
      <c r="B4" s="62"/>
      <c r="C4" s="62"/>
      <c r="D4" s="62"/>
      <c r="E4" s="63"/>
      <c r="F4" s="62"/>
    </row>
    <row r="5" spans="1:8" ht="26.15" customHeight="1" thickTop="1">
      <c r="A5" s="800" t="s">
        <v>229</v>
      </c>
      <c r="B5" s="800" t="s">
        <v>185</v>
      </c>
      <c r="C5" s="800" t="s">
        <v>186</v>
      </c>
      <c r="D5" s="800" t="s">
        <v>230</v>
      </c>
      <c r="E5" s="345" t="s">
        <v>231</v>
      </c>
      <c r="F5" s="345" t="s">
        <v>19</v>
      </c>
    </row>
    <row r="6" spans="1:8" ht="21" customHeight="1">
      <c r="A6" s="184" t="s">
        <v>187</v>
      </c>
      <c r="B6" s="1345" t="s">
        <v>728</v>
      </c>
      <c r="C6" s="1346" t="s">
        <v>188</v>
      </c>
      <c r="D6" s="1345" t="s">
        <v>1358</v>
      </c>
      <c r="E6" s="1348">
        <v>3939</v>
      </c>
      <c r="F6" s="1348">
        <v>17050226.559999995</v>
      </c>
    </row>
    <row r="7" spans="1:8">
      <c r="A7" s="184" t="s">
        <v>189</v>
      </c>
      <c r="B7" s="1345" t="s">
        <v>1377</v>
      </c>
      <c r="C7" s="1346" t="s">
        <v>190</v>
      </c>
      <c r="D7" s="1345" t="s">
        <v>1359</v>
      </c>
      <c r="E7" s="1348">
        <v>47</v>
      </c>
      <c r="F7" s="1348">
        <v>620590.43999999994</v>
      </c>
    </row>
    <row r="8" spans="1:8">
      <c r="A8" s="6" t="s">
        <v>1285</v>
      </c>
      <c r="B8" s="492" t="s">
        <v>1378</v>
      </c>
      <c r="C8" s="858" t="s">
        <v>1286</v>
      </c>
      <c r="D8" s="492" t="s">
        <v>1360</v>
      </c>
      <c r="E8" s="859" t="s">
        <v>1248</v>
      </c>
      <c r="F8" s="859">
        <v>239</v>
      </c>
    </row>
    <row r="9" spans="1:8">
      <c r="A9" s="184" t="s">
        <v>191</v>
      </c>
      <c r="B9" s="1345" t="s">
        <v>1205</v>
      </c>
      <c r="C9" s="1346" t="s">
        <v>192</v>
      </c>
      <c r="D9" s="1345" t="s">
        <v>1359</v>
      </c>
      <c r="E9" s="1347">
        <v>125</v>
      </c>
      <c r="F9" s="1349">
        <v>955946</v>
      </c>
    </row>
    <row r="10" spans="1:8" ht="27" customHeight="1">
      <c r="A10" s="1417" t="s">
        <v>193</v>
      </c>
      <c r="B10" s="1418" t="s">
        <v>194</v>
      </c>
      <c r="C10" s="1419" t="s">
        <v>195</v>
      </c>
      <c r="D10" s="1418" t="s">
        <v>1359</v>
      </c>
      <c r="E10" s="1420">
        <v>356</v>
      </c>
      <c r="F10" s="1420">
        <v>689073</v>
      </c>
    </row>
    <row r="11" spans="1:8" ht="21" customHeight="1">
      <c r="A11" s="184" t="s">
        <v>196</v>
      </c>
      <c r="B11" s="1345" t="s">
        <v>287</v>
      </c>
      <c r="C11" s="1346" t="s">
        <v>197</v>
      </c>
      <c r="D11" s="1345" t="s">
        <v>1358</v>
      </c>
      <c r="E11" s="1348">
        <v>11</v>
      </c>
      <c r="F11" s="1348">
        <v>4030574.43</v>
      </c>
    </row>
    <row r="12" spans="1:8" ht="12.75" customHeight="1">
      <c r="A12" s="6" t="s">
        <v>198</v>
      </c>
      <c r="B12" s="492" t="s">
        <v>1379</v>
      </c>
      <c r="C12" s="1346" t="s">
        <v>199</v>
      </c>
      <c r="D12" s="1345" t="s">
        <v>1359</v>
      </c>
      <c r="E12" s="1348">
        <v>4</v>
      </c>
      <c r="F12" s="1348">
        <v>8912339</v>
      </c>
    </row>
    <row r="13" spans="1:8" ht="12.75" customHeight="1">
      <c r="A13" s="6" t="s">
        <v>200</v>
      </c>
      <c r="B13" s="492" t="s">
        <v>233</v>
      </c>
      <c r="C13" s="1346" t="s">
        <v>201</v>
      </c>
      <c r="D13" s="1434" t="s">
        <v>1362</v>
      </c>
      <c r="E13" s="1348">
        <v>569</v>
      </c>
      <c r="F13" s="1348">
        <v>65061846.519999996</v>
      </c>
    </row>
    <row r="14" spans="1:8" ht="12.75" customHeight="1">
      <c r="A14" s="6" t="s">
        <v>202</v>
      </c>
      <c r="B14" s="492" t="s">
        <v>1202</v>
      </c>
      <c r="C14" s="1346" t="s">
        <v>203</v>
      </c>
      <c r="D14" s="1345" t="s">
        <v>1359</v>
      </c>
      <c r="E14" s="1347">
        <v>104</v>
      </c>
      <c r="F14" s="1349">
        <v>299760.23</v>
      </c>
    </row>
    <row r="15" spans="1:8">
      <c r="A15" s="1425" t="s">
        <v>1287</v>
      </c>
      <c r="B15" s="1426" t="s">
        <v>1288</v>
      </c>
      <c r="C15" s="1427" t="s">
        <v>1289</v>
      </c>
      <c r="D15" s="1426" t="s">
        <v>1363</v>
      </c>
      <c r="E15" s="1428">
        <v>659</v>
      </c>
      <c r="F15" s="1428">
        <v>15767335.459999997</v>
      </c>
    </row>
    <row r="16" spans="1:8" ht="21" customHeight="1">
      <c r="A16" s="6" t="s">
        <v>1290</v>
      </c>
      <c r="B16" s="492" t="s">
        <v>1291</v>
      </c>
      <c r="C16" s="858" t="s">
        <v>207</v>
      </c>
      <c r="D16" s="492" t="s">
        <v>1363</v>
      </c>
      <c r="E16" s="859">
        <v>15</v>
      </c>
      <c r="F16" s="859">
        <v>5792149</v>
      </c>
    </row>
    <row r="17" spans="1:6" ht="12.75" customHeight="1">
      <c r="A17" s="6" t="s">
        <v>205</v>
      </c>
      <c r="B17" s="492" t="s">
        <v>206</v>
      </c>
      <c r="C17" s="1346" t="s">
        <v>207</v>
      </c>
      <c r="D17" s="1345" t="s">
        <v>1360</v>
      </c>
      <c r="E17" s="1348">
        <v>360</v>
      </c>
      <c r="F17" s="1348">
        <v>610352.07999999996</v>
      </c>
    </row>
    <row r="18" spans="1:6" ht="12.75" customHeight="1">
      <c r="A18" s="6" t="s">
        <v>208</v>
      </c>
      <c r="B18" s="492" t="s">
        <v>209</v>
      </c>
      <c r="C18" s="1346" t="s">
        <v>210</v>
      </c>
      <c r="D18" s="1345" t="s">
        <v>1360</v>
      </c>
      <c r="E18" s="1347">
        <v>416</v>
      </c>
      <c r="F18" s="1349">
        <v>4970308.8099999996</v>
      </c>
    </row>
    <row r="19" spans="1:6" ht="12.75" customHeight="1">
      <c r="A19" s="6" t="s">
        <v>211</v>
      </c>
      <c r="B19" s="492" t="s">
        <v>1351</v>
      </c>
      <c r="C19" s="1346" t="s">
        <v>210</v>
      </c>
      <c r="D19" s="1345" t="s">
        <v>1359</v>
      </c>
      <c r="E19" s="1348">
        <v>43</v>
      </c>
      <c r="F19" s="1348">
        <v>96139</v>
      </c>
    </row>
    <row r="20" spans="1:6">
      <c r="A20" s="1425" t="s">
        <v>204</v>
      </c>
      <c r="B20" s="1426" t="s">
        <v>1352</v>
      </c>
      <c r="C20" s="1423" t="s">
        <v>210</v>
      </c>
      <c r="D20" s="1422" t="s">
        <v>1359</v>
      </c>
      <c r="E20" s="1424">
        <v>57</v>
      </c>
      <c r="F20" s="1424">
        <v>1817460.7000000004</v>
      </c>
    </row>
    <row r="21" spans="1:6" ht="21" customHeight="1">
      <c r="A21" s="6" t="s">
        <v>215</v>
      </c>
      <c r="B21" s="492" t="s">
        <v>1384</v>
      </c>
      <c r="C21" s="1346" t="s">
        <v>214</v>
      </c>
      <c r="D21" s="1345" t="s">
        <v>1360</v>
      </c>
      <c r="E21" s="1348">
        <v>18</v>
      </c>
      <c r="F21" s="1348">
        <v>608</v>
      </c>
    </row>
    <row r="22" spans="1:6" ht="12.75" customHeight="1">
      <c r="A22" s="184" t="s">
        <v>216</v>
      </c>
      <c r="B22" s="492" t="s">
        <v>217</v>
      </c>
      <c r="C22" s="1346" t="s">
        <v>214</v>
      </c>
      <c r="D22" s="1345" t="s">
        <v>1359</v>
      </c>
      <c r="E22" s="1349">
        <v>151</v>
      </c>
      <c r="F22" s="1349">
        <v>807951</v>
      </c>
    </row>
    <row r="23" spans="1:6" ht="12.75" customHeight="1">
      <c r="A23" s="184" t="s">
        <v>212</v>
      </c>
      <c r="B23" s="492" t="s">
        <v>213</v>
      </c>
      <c r="C23" s="1346" t="s">
        <v>214</v>
      </c>
      <c r="D23" s="1345" t="s">
        <v>1359</v>
      </c>
      <c r="E23" s="1348">
        <v>5698</v>
      </c>
      <c r="F23" s="1348">
        <v>82694878.579999983</v>
      </c>
    </row>
    <row r="24" spans="1:6">
      <c r="A24" s="184" t="s">
        <v>218</v>
      </c>
      <c r="B24" s="492" t="s">
        <v>1385</v>
      </c>
      <c r="C24" s="1346" t="s">
        <v>219</v>
      </c>
      <c r="D24" s="1345" t="s">
        <v>1361</v>
      </c>
      <c r="E24" s="1348" t="s">
        <v>48</v>
      </c>
      <c r="F24" s="1348">
        <v>0</v>
      </c>
    </row>
    <row r="25" spans="1:6">
      <c r="A25" s="1421" t="s">
        <v>220</v>
      </c>
      <c r="B25" s="1422" t="s">
        <v>221</v>
      </c>
      <c r="C25" s="1423" t="s">
        <v>222</v>
      </c>
      <c r="D25" s="1422" t="s">
        <v>1360</v>
      </c>
      <c r="E25" s="1424">
        <v>470675</v>
      </c>
      <c r="F25" s="1424">
        <v>184285281.62</v>
      </c>
    </row>
    <row r="26" spans="1:6" ht="21" customHeight="1">
      <c r="A26" s="184" t="s">
        <v>223</v>
      </c>
      <c r="B26" s="1345" t="s">
        <v>1203</v>
      </c>
      <c r="C26" s="1346" t="s">
        <v>222</v>
      </c>
      <c r="D26" s="1345" t="s">
        <v>1360</v>
      </c>
      <c r="E26" s="1348">
        <v>121</v>
      </c>
      <c r="F26" s="1348">
        <v>410896.86</v>
      </c>
    </row>
    <row r="27" spans="1:6" ht="12.75" customHeight="1">
      <c r="A27" s="184" t="s">
        <v>224</v>
      </c>
      <c r="B27" s="1591" t="s">
        <v>1383</v>
      </c>
      <c r="C27" s="1346" t="s">
        <v>225</v>
      </c>
      <c r="D27" s="1345" t="s">
        <v>1360</v>
      </c>
      <c r="E27" s="1347" t="s">
        <v>1248</v>
      </c>
      <c r="F27" s="1349">
        <v>7002</v>
      </c>
    </row>
    <row r="28" spans="1:6" ht="12.75" customHeight="1">
      <c r="A28" s="184" t="s">
        <v>226</v>
      </c>
      <c r="B28" s="1345" t="s">
        <v>227</v>
      </c>
      <c r="C28" s="1346" t="s">
        <v>228</v>
      </c>
      <c r="D28" s="1345" t="s">
        <v>1360</v>
      </c>
      <c r="E28" s="1347" t="s">
        <v>1248</v>
      </c>
      <c r="F28" s="1348">
        <v>1332</v>
      </c>
    </row>
    <row r="29" spans="1:6" ht="12.75" customHeight="1">
      <c r="A29" s="184" t="s">
        <v>684</v>
      </c>
      <c r="B29" s="1345" t="s">
        <v>685</v>
      </c>
      <c r="C29" s="1346" t="s">
        <v>683</v>
      </c>
      <c r="D29" s="1345" t="s">
        <v>1360</v>
      </c>
      <c r="E29" s="1348">
        <v>40</v>
      </c>
      <c r="F29" s="1348">
        <v>287064.09999999998</v>
      </c>
    </row>
    <row r="30" spans="1:6">
      <c r="A30" s="1421" t="s">
        <v>681</v>
      </c>
      <c r="B30" s="1422" t="s">
        <v>682</v>
      </c>
      <c r="C30" s="1423" t="s">
        <v>683</v>
      </c>
      <c r="D30" s="1422" t="s">
        <v>1360</v>
      </c>
      <c r="E30" s="1424">
        <v>12</v>
      </c>
      <c r="F30" s="1424">
        <v>2759</v>
      </c>
    </row>
    <row r="31" spans="1:6" ht="21" customHeight="1">
      <c r="A31" s="184" t="s">
        <v>690</v>
      </c>
      <c r="B31" s="1345" t="s">
        <v>691</v>
      </c>
      <c r="C31" s="1346" t="s">
        <v>745</v>
      </c>
      <c r="D31" s="1345" t="s">
        <v>1361</v>
      </c>
      <c r="E31" s="1347" t="s">
        <v>1248</v>
      </c>
      <c r="F31" s="1349">
        <v>6500000</v>
      </c>
    </row>
    <row r="32" spans="1:6" ht="12.75" customHeight="1">
      <c r="A32" s="184" t="s">
        <v>687</v>
      </c>
      <c r="B32" s="1345" t="s">
        <v>688</v>
      </c>
      <c r="C32" s="1346" t="s">
        <v>689</v>
      </c>
      <c r="D32" s="1345" t="s">
        <v>1359</v>
      </c>
      <c r="E32" s="1348">
        <v>57</v>
      </c>
      <c r="F32" s="1348">
        <v>191498.02000000002</v>
      </c>
    </row>
    <row r="33" spans="1:7" ht="12.75" customHeight="1">
      <c r="A33" s="184" t="s">
        <v>692</v>
      </c>
      <c r="B33" s="1345" t="s">
        <v>693</v>
      </c>
      <c r="C33" s="1346" t="s">
        <v>689</v>
      </c>
      <c r="D33" s="1345" t="s">
        <v>1359</v>
      </c>
      <c r="E33" s="1347">
        <v>5</v>
      </c>
      <c r="F33" s="1348">
        <v>97066.5</v>
      </c>
    </row>
    <row r="34" spans="1:7" ht="12.75" customHeight="1">
      <c r="A34" s="184" t="s">
        <v>694</v>
      </c>
      <c r="B34" s="1345" t="s">
        <v>1204</v>
      </c>
      <c r="C34" s="1346" t="s">
        <v>689</v>
      </c>
      <c r="D34" s="1345" t="s">
        <v>1359</v>
      </c>
      <c r="E34" s="1348">
        <v>252</v>
      </c>
      <c r="F34" s="1348">
        <v>2436512</v>
      </c>
    </row>
    <row r="35" spans="1:7">
      <c r="A35" s="1425" t="s">
        <v>695</v>
      </c>
      <c r="B35" s="1426" t="s">
        <v>696</v>
      </c>
      <c r="C35" s="1427" t="s">
        <v>689</v>
      </c>
      <c r="D35" s="1426" t="s">
        <v>1359</v>
      </c>
      <c r="E35" s="1428">
        <v>6</v>
      </c>
      <c r="F35" s="1428">
        <v>385012</v>
      </c>
    </row>
    <row r="36" spans="1:7" ht="21" customHeight="1">
      <c r="A36" s="6" t="s">
        <v>697</v>
      </c>
      <c r="B36" s="492" t="s">
        <v>698</v>
      </c>
      <c r="C36" s="858" t="s">
        <v>689</v>
      </c>
      <c r="D36" s="492" t="s">
        <v>1359</v>
      </c>
      <c r="E36" s="1344">
        <v>35</v>
      </c>
      <c r="F36" s="1343">
        <v>2164406</v>
      </c>
    </row>
    <row r="37" spans="1:7" ht="12.75" customHeight="1">
      <c r="A37" s="6" t="s">
        <v>729</v>
      </c>
      <c r="B37" s="492" t="s">
        <v>730</v>
      </c>
      <c r="C37" s="858" t="s">
        <v>731</v>
      </c>
      <c r="D37" s="492" t="s">
        <v>1359</v>
      </c>
      <c r="E37" s="859">
        <v>1773</v>
      </c>
      <c r="F37" s="859">
        <v>14545188.250000002</v>
      </c>
    </row>
    <row r="38" spans="1:7">
      <c r="A38" s="184" t="s">
        <v>776</v>
      </c>
      <c r="B38" s="1345" t="s">
        <v>777</v>
      </c>
      <c r="C38" s="1346" t="s">
        <v>1353</v>
      </c>
      <c r="D38" s="1345" t="s">
        <v>1359</v>
      </c>
      <c r="E38" s="1347">
        <v>62</v>
      </c>
      <c r="F38" s="1348">
        <v>21280490.5</v>
      </c>
    </row>
    <row r="39" spans="1:7">
      <c r="A39" s="6" t="s">
        <v>778</v>
      </c>
      <c r="B39" s="492" t="s">
        <v>1354</v>
      </c>
      <c r="C39" s="858" t="s">
        <v>1353</v>
      </c>
      <c r="D39" s="492" t="s">
        <v>1360</v>
      </c>
      <c r="E39" s="859">
        <v>35</v>
      </c>
      <c r="F39" s="1343">
        <v>101624.5</v>
      </c>
    </row>
    <row r="40" spans="1:7">
      <c r="A40" s="1425" t="s">
        <v>880</v>
      </c>
      <c r="B40" s="1426" t="s">
        <v>881</v>
      </c>
      <c r="C40" s="1427" t="s">
        <v>1355</v>
      </c>
      <c r="D40" s="1426" t="s">
        <v>1359</v>
      </c>
      <c r="E40" s="1428">
        <v>5</v>
      </c>
      <c r="F40" s="1428">
        <v>100361</v>
      </c>
    </row>
    <row r="41" spans="1:7" ht="21" customHeight="1">
      <c r="A41" s="6" t="s">
        <v>1292</v>
      </c>
      <c r="B41" s="492" t="s">
        <v>1356</v>
      </c>
      <c r="C41" s="858" t="s">
        <v>1293</v>
      </c>
      <c r="D41" s="492" t="s">
        <v>1360</v>
      </c>
      <c r="E41" s="1344">
        <v>11857</v>
      </c>
      <c r="F41" s="1343">
        <v>204239943</v>
      </c>
    </row>
    <row r="42" spans="1:7" ht="3" customHeight="1">
      <c r="A42" s="887"/>
      <c r="B42" s="861"/>
      <c r="C42" s="861"/>
      <c r="D42" s="861"/>
      <c r="E42" s="859"/>
      <c r="F42" s="1343"/>
    </row>
    <row r="43" spans="1:7" ht="3" customHeight="1">
      <c r="A43" s="887"/>
      <c r="B43" s="861"/>
      <c r="C43" s="861"/>
      <c r="D43" s="861"/>
      <c r="E43" s="859"/>
      <c r="F43" s="1343"/>
    </row>
    <row r="44" spans="1:7" s="704" customFormat="1" ht="3" customHeight="1">
      <c r="A44" s="887"/>
      <c r="B44" s="861"/>
      <c r="C44" s="861"/>
      <c r="D44" s="861"/>
      <c r="E44" s="859"/>
      <c r="F44" s="1343"/>
      <c r="G44"/>
    </row>
    <row r="45" spans="1:7" s="704" customFormat="1" ht="3" customHeight="1">
      <c r="A45" s="6"/>
      <c r="B45" s="856"/>
      <c r="C45" s="858"/>
      <c r="D45" s="492"/>
      <c r="E45" s="859"/>
      <c r="F45" s="859"/>
      <c r="G45"/>
    </row>
    <row r="46" spans="1:7" ht="3" customHeight="1">
      <c r="A46" s="6"/>
      <c r="B46" s="492"/>
      <c r="C46" s="858"/>
      <c r="D46" s="492"/>
      <c r="E46" s="1344"/>
      <c r="F46" s="860"/>
    </row>
    <row r="47" spans="1:7" s="704" customFormat="1" ht="3" customHeight="1">
      <c r="A47" s="887"/>
      <c r="B47" s="861"/>
      <c r="C47" s="861"/>
      <c r="D47" s="861"/>
      <c r="E47" s="859"/>
      <c r="F47" s="860"/>
      <c r="G47"/>
    </row>
    <row r="48" spans="1:7" s="704" customFormat="1" ht="3" customHeight="1">
      <c r="A48" s="887"/>
      <c r="B48" s="861"/>
      <c r="C48" s="861"/>
      <c r="D48" s="861"/>
      <c r="E48" s="859"/>
      <c r="F48" s="860"/>
      <c r="G48"/>
    </row>
    <row r="49" spans="1:7" s="1235" customFormat="1" ht="11" customHeight="1">
      <c r="A49" s="1235" t="s">
        <v>1</v>
      </c>
      <c r="E49" s="1358"/>
      <c r="F49" s="1237"/>
    </row>
    <row r="50" spans="1:7" s="1235" customFormat="1" ht="12" customHeight="1">
      <c r="A50" s="1586" t="s">
        <v>1284</v>
      </c>
    </row>
    <row r="51" spans="1:7" s="1239" customFormat="1" ht="12" customHeight="1">
      <c r="A51" s="1585" t="s">
        <v>1357</v>
      </c>
      <c r="B51" s="1238"/>
      <c r="C51" s="1238"/>
      <c r="D51" s="1238"/>
      <c r="E51" s="1238"/>
      <c r="F51" s="1238"/>
      <c r="G51" s="1235"/>
    </row>
    <row r="52" spans="1:7" s="1235" customFormat="1" ht="12" customHeight="1">
      <c r="A52" s="1586" t="s">
        <v>1012</v>
      </c>
    </row>
    <row r="53" spans="1:7" s="1235" customFormat="1" ht="12" customHeight="1">
      <c r="A53" s="1586" t="s">
        <v>1013</v>
      </c>
    </row>
    <row r="54" spans="1:7" s="1235" customFormat="1" ht="12" customHeight="1">
      <c r="A54" s="1586" t="s">
        <v>1014</v>
      </c>
    </row>
    <row r="55" spans="1:7" s="1235" customFormat="1" ht="12" customHeight="1">
      <c r="A55" s="1586" t="s">
        <v>1380</v>
      </c>
    </row>
    <row r="56" spans="1:7" s="1235" customFormat="1" ht="12" customHeight="1">
      <c r="A56" s="1586" t="s">
        <v>1381</v>
      </c>
    </row>
    <row r="57" spans="1:7" s="1235" customFormat="1" ht="12" customHeight="1">
      <c r="A57" s="1587" t="s">
        <v>1386</v>
      </c>
      <c r="B57" s="1236"/>
      <c r="C57" s="1236"/>
      <c r="D57" s="1236"/>
      <c r="E57" s="1236"/>
      <c r="F57" s="1236"/>
    </row>
    <row r="58" spans="1:7" s="1235" customFormat="1" ht="12" customHeight="1">
      <c r="A58" s="1586" t="s">
        <v>1387</v>
      </c>
    </row>
    <row r="59" spans="1:7" s="1235" customFormat="1" ht="12" customHeight="1">
      <c r="A59" s="1587" t="s">
        <v>1382</v>
      </c>
      <c r="B59" s="1236"/>
      <c r="C59" s="1236"/>
      <c r="D59" s="1236"/>
      <c r="E59" s="1236"/>
      <c r="F59" s="1236"/>
    </row>
    <row r="60" spans="1:7" ht="13">
      <c r="A60" s="788" t="s">
        <v>962</v>
      </c>
      <c r="B60" s="706"/>
      <c r="C60" s="706"/>
      <c r="D60" s="706"/>
      <c r="E60" s="707"/>
      <c r="F60" s="705"/>
      <c r="G60" s="705"/>
    </row>
    <row r="61" spans="1:7">
      <c r="E61" s="1138">
        <f>SUM(E6:E49)</f>
        <v>497507</v>
      </c>
      <c r="F61" s="1138">
        <f>SUM(F6:F49)</f>
        <v>647214215.15999997</v>
      </c>
    </row>
    <row r="62" spans="1:7">
      <c r="A62" s="1614"/>
      <c r="B62" s="1615"/>
      <c r="C62" s="1615"/>
      <c r="D62" s="492"/>
      <c r="E62" s="83"/>
      <c r="F62" s="83"/>
    </row>
    <row r="66" spans="1:1" ht="13">
      <c r="A66" s="1590"/>
    </row>
    <row r="67" spans="1:1" ht="13">
      <c r="A67" s="1590"/>
    </row>
    <row r="68" spans="1:1" ht="13">
      <c r="A68" s="1590"/>
    </row>
    <row r="69" spans="1:1" ht="13">
      <c r="A69" s="1590"/>
    </row>
  </sheetData>
  <customSheetViews>
    <customSheetView guid="{E6BBE5A7-0B25-4EE8-BA45-5EA5DBAF3AD4}" showPageBreaks="1" fitToPage="1" printArea="1">
      <pageMargins left="0.6" right="0.64" top="0.75" bottom="0.75" header="0.5" footer="0.5"/>
      <printOptions horizontalCentered="1" verticalCentered="1"/>
      <pageSetup scale="63" orientation="landscape" r:id="rId1"/>
      <headerFooter alignWithMargins="0"/>
    </customSheetView>
  </customSheetViews>
  <mergeCells count="1">
    <mergeCell ref="A62:C62"/>
  </mergeCells>
  <phoneticPr fontId="15" type="noConversion"/>
  <hyperlinks>
    <hyperlink ref="H1" location="TOC!A1" display="Back" xr:uid="{00000000-0004-0000-1000-000000000000}"/>
  </hyperlinks>
  <pageMargins left="0.4" right="0.2" top="0.35" bottom="0" header="0.2" footer="0"/>
  <pageSetup scale="73" orientation="landscape" r:id="rId2"/>
  <headerFooter scaleWithDoc="0">
    <oddHeader>&amp;R&amp;P</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codeName="Sheet18">
    <pageSetUpPr fitToPage="1"/>
  </sheetPr>
  <dimension ref="A1:X73"/>
  <sheetViews>
    <sheetView defaultGridColor="0" colorId="22" zoomScale="95" zoomScaleNormal="95" workbookViewId="0"/>
  </sheetViews>
  <sheetFormatPr defaultColWidth="15.1796875" defaultRowHeight="15.5"/>
  <cols>
    <col min="1" max="1" width="6.6328125" style="34" customWidth="1"/>
    <col min="2" max="2" width="14.54296875" style="34" bestFit="1" customWidth="1"/>
    <col min="3" max="3" width="14.08984375" style="34" bestFit="1" customWidth="1"/>
    <col min="4" max="4" width="12.6328125" style="34" customWidth="1"/>
    <col min="5" max="5" width="16.6328125" style="34" customWidth="1"/>
    <col min="6" max="6" width="15.1796875" style="34" customWidth="1"/>
    <col min="7" max="8" width="13.6328125" style="34" customWidth="1"/>
    <col min="9" max="9" width="12.6328125" style="34" customWidth="1"/>
    <col min="10" max="10" width="11.6328125" style="34" customWidth="1"/>
    <col min="11" max="12" width="12.6328125" style="34" customWidth="1"/>
    <col min="13" max="14" width="14.1796875" style="34" customWidth="1"/>
    <col min="15" max="15" width="17.7265625" style="34" customWidth="1"/>
    <col min="16" max="16" width="14.6328125" style="34" customWidth="1"/>
    <col min="17" max="17" width="8.6328125" style="34" customWidth="1"/>
    <col min="18" max="20" width="8.6328125" style="621" customWidth="1"/>
    <col min="21" max="21" width="8.6328125" style="622" customWidth="1"/>
    <col min="22" max="23" width="8.6328125" style="621" customWidth="1"/>
    <col min="24" max="24" width="8.6328125" style="622" customWidth="1"/>
    <col min="25" max="29" width="8.6328125" style="34" customWidth="1"/>
    <col min="30" max="16384" width="15.1796875" style="34"/>
  </cols>
  <sheetData>
    <row r="1" spans="1:24" ht="17.149999999999999" customHeight="1">
      <c r="A1" s="360" t="s">
        <v>176</v>
      </c>
      <c r="B1" s="816"/>
      <c r="C1" s="816"/>
      <c r="D1" s="816"/>
      <c r="E1" s="817"/>
      <c r="F1" s="817"/>
      <c r="Q1" s="855" t="s">
        <v>984</v>
      </c>
    </row>
    <row r="2" spans="1:24" ht="15" customHeight="1">
      <c r="A2" s="35" t="s">
        <v>45</v>
      </c>
      <c r="F2" s="817"/>
    </row>
    <row r="3" spans="1:24" ht="6" customHeight="1" thickBot="1">
      <c r="A3" s="216"/>
      <c r="B3" s="36"/>
      <c r="C3" s="36"/>
      <c r="D3" s="36"/>
      <c r="E3" s="36"/>
      <c r="F3" s="36"/>
      <c r="G3" s="36"/>
      <c r="H3" s="36"/>
      <c r="I3" s="36"/>
      <c r="J3" s="36"/>
      <c r="K3" s="36"/>
      <c r="L3" s="36"/>
      <c r="M3" s="36"/>
      <c r="N3" s="36"/>
      <c r="O3" s="36"/>
      <c r="P3" s="36"/>
      <c r="Q3" s="37"/>
    </row>
    <row r="4" spans="1:24" ht="15" customHeight="1">
      <c r="A4" s="41"/>
      <c r="B4" s="880" t="s">
        <v>46</v>
      </c>
      <c r="C4" s="880"/>
      <c r="D4" s="880"/>
      <c r="E4" s="881"/>
      <c r="F4" s="881"/>
      <c r="G4" s="881"/>
      <c r="H4" s="881"/>
      <c r="I4" s="881"/>
      <c r="J4" s="881"/>
      <c r="K4" s="881"/>
      <c r="L4" s="881"/>
      <c r="M4" s="41"/>
      <c r="N4" s="880" t="s">
        <v>47</v>
      </c>
      <c r="O4" s="880"/>
      <c r="P4" s="41"/>
      <c r="Q4" s="37"/>
    </row>
    <row r="5" spans="1:24" ht="40" customHeight="1" thickBot="1">
      <c r="A5" s="615" t="s">
        <v>926</v>
      </c>
      <c r="B5" s="615" t="s">
        <v>921</v>
      </c>
      <c r="C5" s="616" t="s">
        <v>1001</v>
      </c>
      <c r="D5" s="874" t="s">
        <v>1002</v>
      </c>
      <c r="E5" s="874" t="s">
        <v>1003</v>
      </c>
      <c r="F5" s="874" t="s">
        <v>1004</v>
      </c>
      <c r="G5" s="874" t="s">
        <v>1005</v>
      </c>
      <c r="H5" s="615" t="s">
        <v>919</v>
      </c>
      <c r="I5" s="615" t="s">
        <v>920</v>
      </c>
      <c r="J5" s="615" t="s">
        <v>918</v>
      </c>
      <c r="K5" s="615" t="s">
        <v>917</v>
      </c>
      <c r="L5" s="882" t="s">
        <v>1006</v>
      </c>
      <c r="M5" s="616" t="s">
        <v>922</v>
      </c>
      <c r="N5" s="615" t="s">
        <v>923</v>
      </c>
      <c r="O5" s="615" t="s">
        <v>924</v>
      </c>
      <c r="P5" s="615" t="s">
        <v>925</v>
      </c>
      <c r="Q5" s="37"/>
    </row>
    <row r="6" spans="1:24" hidden="1">
      <c r="A6" s="38">
        <v>2011</v>
      </c>
      <c r="B6" s="210">
        <v>3012379000</v>
      </c>
      <c r="C6" s="210"/>
      <c r="D6" s="210">
        <v>477329000</v>
      </c>
      <c r="E6" s="347" t="s">
        <v>48</v>
      </c>
      <c r="F6" s="347" t="s">
        <v>48</v>
      </c>
      <c r="G6" s="347" t="s">
        <v>48</v>
      </c>
      <c r="H6" s="347" t="s">
        <v>48</v>
      </c>
      <c r="I6" s="347" t="s">
        <v>48</v>
      </c>
      <c r="J6" s="219"/>
      <c r="K6" s="219"/>
      <c r="L6" s="219"/>
      <c r="M6" s="612">
        <f t="shared" ref="M6:M18" si="0">SUM(B6:L6)</f>
        <v>3489708000</v>
      </c>
      <c r="N6" s="210">
        <v>1010205000</v>
      </c>
      <c r="O6" s="219">
        <v>204027000</v>
      </c>
      <c r="P6" s="619">
        <v>4762261000</v>
      </c>
      <c r="Q6" s="40"/>
      <c r="U6" s="623"/>
      <c r="X6" s="623"/>
    </row>
    <row r="7" spans="1:24" hidden="1">
      <c r="A7" s="38">
        <v>2012</v>
      </c>
      <c r="B7" s="865">
        <v>3121503000</v>
      </c>
      <c r="C7" s="865"/>
      <c r="D7" s="865">
        <v>503070000</v>
      </c>
      <c r="E7" s="867" t="s">
        <v>48</v>
      </c>
      <c r="F7" s="867" t="s">
        <v>48</v>
      </c>
      <c r="G7" s="867" t="s">
        <v>48</v>
      </c>
      <c r="H7" s="867" t="s">
        <v>48</v>
      </c>
      <c r="I7" s="867" t="s">
        <v>48</v>
      </c>
      <c r="J7" s="865"/>
      <c r="K7" s="865"/>
      <c r="L7" s="865"/>
      <c r="M7" s="868">
        <f t="shared" si="0"/>
        <v>3624573000</v>
      </c>
      <c r="N7" s="865">
        <v>1052522000</v>
      </c>
      <c r="O7" s="865">
        <v>214098000</v>
      </c>
      <c r="P7" s="868">
        <f t="shared" ref="P7:P15" si="1">SUM(M7:O7)</f>
        <v>4891193000</v>
      </c>
      <c r="Q7" s="40"/>
      <c r="R7" s="627"/>
      <c r="U7" s="623"/>
      <c r="X7" s="623"/>
    </row>
    <row r="8" spans="1:24" ht="21" hidden="1" customHeight="1">
      <c r="A8" s="38">
        <v>2013</v>
      </c>
      <c r="B8" s="872">
        <v>3219798000</v>
      </c>
      <c r="C8" s="872"/>
      <c r="D8" s="872">
        <v>521180000</v>
      </c>
      <c r="E8" s="867" t="s">
        <v>48</v>
      </c>
      <c r="F8" s="867" t="s">
        <v>48</v>
      </c>
      <c r="G8" s="867" t="s">
        <v>48</v>
      </c>
      <c r="H8" s="867" t="s">
        <v>48</v>
      </c>
      <c r="I8" s="867" t="s">
        <v>48</v>
      </c>
      <c r="J8" s="872"/>
      <c r="K8" s="872"/>
      <c r="L8" s="872"/>
      <c r="M8" s="868">
        <f t="shared" si="0"/>
        <v>3740978000</v>
      </c>
      <c r="N8" s="865">
        <v>1089743000</v>
      </c>
      <c r="O8" s="865">
        <v>221396000</v>
      </c>
      <c r="P8" s="868">
        <f t="shared" si="1"/>
        <v>5052117000</v>
      </c>
      <c r="Q8" s="40"/>
      <c r="R8" s="627"/>
      <c r="U8" s="623"/>
      <c r="X8" s="623"/>
    </row>
    <row r="9" spans="1:24" ht="24" customHeight="1">
      <c r="A9" s="38">
        <v>2014</v>
      </c>
      <c r="B9" s="872">
        <v>3066456000</v>
      </c>
      <c r="C9" s="872"/>
      <c r="D9" s="872">
        <v>492018000</v>
      </c>
      <c r="E9" s="867">
        <v>191217000</v>
      </c>
      <c r="F9" s="867">
        <v>41908000</v>
      </c>
      <c r="G9" s="867">
        <v>62864000</v>
      </c>
      <c r="H9" s="867">
        <v>203933000</v>
      </c>
      <c r="I9" s="867">
        <v>107424000</v>
      </c>
      <c r="J9" s="872"/>
      <c r="K9" s="872"/>
      <c r="L9" s="872"/>
      <c r="M9" s="868">
        <f t="shared" si="0"/>
        <v>4165820000</v>
      </c>
      <c r="N9" s="872">
        <v>1094794000</v>
      </c>
      <c r="O9" s="872">
        <v>334030000</v>
      </c>
      <c r="P9" s="868">
        <f t="shared" si="1"/>
        <v>5594644000</v>
      </c>
      <c r="Q9" s="40"/>
      <c r="R9" s="627"/>
      <c r="U9" s="623"/>
      <c r="X9" s="623"/>
    </row>
    <row r="10" spans="1:24" ht="15" customHeight="1">
      <c r="A10" s="38">
        <v>2015</v>
      </c>
      <c r="B10" s="872">
        <v>3235444000</v>
      </c>
      <c r="C10" s="872"/>
      <c r="D10" s="872">
        <v>590709000</v>
      </c>
      <c r="E10" s="867">
        <v>277880000</v>
      </c>
      <c r="F10" s="867">
        <v>50520000</v>
      </c>
      <c r="G10" s="867">
        <v>75746000</v>
      </c>
      <c r="H10" s="867">
        <v>246324000</v>
      </c>
      <c r="I10" s="867">
        <v>129918000</v>
      </c>
      <c r="J10" s="872"/>
      <c r="K10" s="872"/>
      <c r="L10" s="872"/>
      <c r="M10" s="868">
        <f t="shared" si="0"/>
        <v>4606541000</v>
      </c>
      <c r="N10" s="872">
        <v>1143330000</v>
      </c>
      <c r="O10" s="872">
        <v>352406000</v>
      </c>
      <c r="P10" s="868">
        <f t="shared" si="1"/>
        <v>6102277000</v>
      </c>
      <c r="Q10" s="40"/>
      <c r="R10" s="627"/>
      <c r="U10" s="623"/>
      <c r="X10" s="623"/>
    </row>
    <row r="11" spans="1:24" ht="15" customHeight="1">
      <c r="A11" s="38">
        <v>2016</v>
      </c>
      <c r="B11" s="872">
        <v>3295853000</v>
      </c>
      <c r="C11" s="872"/>
      <c r="D11" s="872">
        <v>599055000</v>
      </c>
      <c r="E11" s="867">
        <v>276849000</v>
      </c>
      <c r="F11" s="867">
        <v>49877000</v>
      </c>
      <c r="G11" s="867">
        <v>74782000</v>
      </c>
      <c r="H11" s="867">
        <v>237314000</v>
      </c>
      <c r="I11" s="867">
        <v>126537000</v>
      </c>
      <c r="J11" s="872"/>
      <c r="K11" s="872"/>
      <c r="L11" s="872"/>
      <c r="M11" s="868">
        <f t="shared" si="0"/>
        <v>4660267000</v>
      </c>
      <c r="N11" s="872">
        <v>1188704000</v>
      </c>
      <c r="O11" s="872">
        <v>355547000</v>
      </c>
      <c r="P11" s="868">
        <f t="shared" si="1"/>
        <v>6204518000</v>
      </c>
      <c r="Q11" s="40"/>
      <c r="R11" s="627"/>
      <c r="U11" s="623"/>
      <c r="X11" s="623"/>
    </row>
    <row r="12" spans="1:24" ht="15" customHeight="1">
      <c r="A12" s="38">
        <v>2017</v>
      </c>
      <c r="B12" s="872">
        <v>3354561000</v>
      </c>
      <c r="C12" s="872"/>
      <c r="D12" s="872">
        <v>615572000</v>
      </c>
      <c r="E12" s="867">
        <v>277061000</v>
      </c>
      <c r="F12" s="867">
        <v>51043000</v>
      </c>
      <c r="G12" s="867">
        <v>76683000</v>
      </c>
      <c r="H12" s="867">
        <v>251601000</v>
      </c>
      <c r="I12" s="867">
        <v>131472000</v>
      </c>
      <c r="J12" s="872"/>
      <c r="K12" s="872"/>
      <c r="L12" s="872"/>
      <c r="M12" s="868">
        <f t="shared" si="0"/>
        <v>4757993000</v>
      </c>
      <c r="N12" s="872">
        <v>1213929000</v>
      </c>
      <c r="O12" s="872">
        <v>365878000</v>
      </c>
      <c r="P12" s="868">
        <f t="shared" si="1"/>
        <v>6337800000</v>
      </c>
      <c r="Q12" s="40"/>
      <c r="R12" s="630"/>
      <c r="U12" s="633"/>
      <c r="V12" s="629"/>
      <c r="W12" s="628"/>
    </row>
    <row r="13" spans="1:24" ht="15" customHeight="1">
      <c r="A13" s="38">
        <v>2018</v>
      </c>
      <c r="B13" s="869">
        <v>3458249000</v>
      </c>
      <c r="C13" s="869"/>
      <c r="D13" s="869">
        <v>618387000</v>
      </c>
      <c r="E13" s="867">
        <v>292518000</v>
      </c>
      <c r="F13" s="867">
        <v>53159000</v>
      </c>
      <c r="G13" s="867">
        <v>79742000</v>
      </c>
      <c r="H13" s="867">
        <v>256443000</v>
      </c>
      <c r="I13" s="867">
        <v>137059000</v>
      </c>
      <c r="J13" s="869"/>
      <c r="K13" s="869"/>
      <c r="L13" s="869"/>
      <c r="M13" s="868">
        <f t="shared" si="0"/>
        <v>4895557000</v>
      </c>
      <c r="N13" s="872">
        <v>1243480000</v>
      </c>
      <c r="O13" s="869">
        <v>376561000</v>
      </c>
      <c r="P13" s="868">
        <f t="shared" si="1"/>
        <v>6515598000</v>
      </c>
      <c r="Q13" s="40"/>
      <c r="R13" s="634"/>
      <c r="U13" s="635"/>
      <c r="V13" s="626"/>
      <c r="W13" s="626"/>
      <c r="X13" s="625"/>
    </row>
    <row r="14" spans="1:24" ht="15" customHeight="1">
      <c r="A14" s="38">
        <v>2019</v>
      </c>
      <c r="B14" s="869">
        <v>3580355000</v>
      </c>
      <c r="C14" s="869"/>
      <c r="D14" s="869">
        <v>649451000</v>
      </c>
      <c r="E14" s="873">
        <v>301429000</v>
      </c>
      <c r="F14" s="873">
        <v>54797000</v>
      </c>
      <c r="G14" s="873">
        <v>82165000</v>
      </c>
      <c r="H14" s="873">
        <v>263031000</v>
      </c>
      <c r="I14" s="873">
        <v>139640000</v>
      </c>
      <c r="J14" s="869">
        <v>20358000</v>
      </c>
      <c r="K14" s="869"/>
      <c r="L14" s="869"/>
      <c r="M14" s="868">
        <f t="shared" si="0"/>
        <v>5091226000</v>
      </c>
      <c r="N14" s="872">
        <v>1292804000</v>
      </c>
      <c r="O14" s="869">
        <v>392605000</v>
      </c>
      <c r="P14" s="868">
        <f t="shared" si="1"/>
        <v>6776635000</v>
      </c>
      <c r="Q14" s="40"/>
      <c r="R14" s="636"/>
      <c r="U14" s="637"/>
      <c r="X14" s="624"/>
    </row>
    <row r="15" spans="1:24" ht="15" customHeight="1">
      <c r="A15" s="38">
        <v>2020</v>
      </c>
      <c r="B15" s="869">
        <v>3706817000</v>
      </c>
      <c r="C15" s="869">
        <v>0</v>
      </c>
      <c r="D15" s="869">
        <v>678024000</v>
      </c>
      <c r="E15" s="873">
        <v>304875000</v>
      </c>
      <c r="F15" s="873">
        <v>56216000</v>
      </c>
      <c r="G15" s="873">
        <v>84325000</v>
      </c>
      <c r="H15" s="873">
        <v>268748000</v>
      </c>
      <c r="I15" s="873">
        <v>142864000</v>
      </c>
      <c r="J15" s="869">
        <v>22731000</v>
      </c>
      <c r="K15" s="869"/>
      <c r="L15" s="869"/>
      <c r="M15" s="868">
        <f t="shared" si="0"/>
        <v>5264600000</v>
      </c>
      <c r="N15" s="872">
        <f>ROUND(1358988340.78,-3)</f>
        <v>1358988000</v>
      </c>
      <c r="O15" s="869">
        <f>ROUND(406044118.99,-3)</f>
        <v>406044000</v>
      </c>
      <c r="P15" s="868">
        <f t="shared" si="1"/>
        <v>7029632000</v>
      </c>
      <c r="R15" s="636"/>
      <c r="S15" s="630"/>
      <c r="T15" s="630"/>
      <c r="U15" s="637"/>
      <c r="X15" s="624"/>
    </row>
    <row r="16" spans="1:24" ht="15" customHeight="1">
      <c r="A16" s="38">
        <v>2021</v>
      </c>
      <c r="B16" s="869">
        <v>4166182000</v>
      </c>
      <c r="C16" s="869">
        <v>1264050000</v>
      </c>
      <c r="D16" s="873">
        <v>0</v>
      </c>
      <c r="E16" s="873">
        <v>0</v>
      </c>
      <c r="F16" s="873">
        <v>0</v>
      </c>
      <c r="G16" s="873">
        <v>0</v>
      </c>
      <c r="H16" s="873">
        <v>286170000</v>
      </c>
      <c r="I16" s="873">
        <v>168804000</v>
      </c>
      <c r="J16" s="869">
        <v>22969000</v>
      </c>
      <c r="K16" s="869">
        <v>89337000</v>
      </c>
      <c r="L16" s="869">
        <v>2689000</v>
      </c>
      <c r="M16" s="868">
        <f t="shared" si="0"/>
        <v>6000201000</v>
      </c>
      <c r="N16" s="872">
        <f>ROUND(1477201024.21,-3)</f>
        <v>1477201000</v>
      </c>
      <c r="O16" s="869">
        <f>ROUND(458362738.92,-3)</f>
        <v>458363000</v>
      </c>
      <c r="P16" s="868">
        <f>SUM(M16:O16)</f>
        <v>7935765000</v>
      </c>
      <c r="R16" s="636"/>
      <c r="S16" s="630"/>
      <c r="T16" s="630"/>
      <c r="U16" s="637"/>
      <c r="X16" s="624"/>
    </row>
    <row r="17" spans="1:24" ht="15" customHeight="1">
      <c r="A17" s="38">
        <v>2022</v>
      </c>
      <c r="B17" s="869">
        <v>4558082000</v>
      </c>
      <c r="C17" s="869">
        <v>1368275000</v>
      </c>
      <c r="D17" s="873">
        <v>0</v>
      </c>
      <c r="E17" s="873">
        <v>0</v>
      </c>
      <c r="F17" s="873">
        <v>0</v>
      </c>
      <c r="G17" s="873">
        <v>0</v>
      </c>
      <c r="H17" s="873">
        <v>321756000</v>
      </c>
      <c r="I17" s="873">
        <v>179779000</v>
      </c>
      <c r="J17" s="869">
        <v>27210000</v>
      </c>
      <c r="K17" s="869">
        <v>152019000</v>
      </c>
      <c r="L17" s="869">
        <v>17784000</v>
      </c>
      <c r="M17" s="868">
        <f t="shared" si="0"/>
        <v>6624905000</v>
      </c>
      <c r="N17" s="872">
        <v>1662897000</v>
      </c>
      <c r="O17" s="869">
        <v>522472000</v>
      </c>
      <c r="P17" s="868">
        <f>SUM(M17:O17)</f>
        <v>8810274000</v>
      </c>
      <c r="R17" s="636"/>
      <c r="S17" s="630"/>
      <c r="T17" s="630"/>
      <c r="U17" s="637"/>
      <c r="X17" s="624"/>
    </row>
    <row r="18" spans="1:24" ht="15" customHeight="1">
      <c r="A18" s="38">
        <v>2023</v>
      </c>
      <c r="B18" s="869">
        <v>4734549000</v>
      </c>
      <c r="C18" s="869">
        <v>1416622000</v>
      </c>
      <c r="D18" s="873">
        <v>0</v>
      </c>
      <c r="E18" s="873">
        <v>0</v>
      </c>
      <c r="F18" s="873">
        <v>0</v>
      </c>
      <c r="G18" s="873">
        <v>0</v>
      </c>
      <c r="H18" s="873">
        <v>346490000</v>
      </c>
      <c r="I18" s="873">
        <v>189311000</v>
      </c>
      <c r="J18" s="869">
        <v>28784000</v>
      </c>
      <c r="K18" s="869">
        <v>156994000</v>
      </c>
      <c r="L18" s="869">
        <v>28442000</v>
      </c>
      <c r="M18" s="868">
        <f t="shared" si="0"/>
        <v>6901192000</v>
      </c>
      <c r="N18" s="872">
        <v>1770842000</v>
      </c>
      <c r="O18" s="869">
        <v>557007000</v>
      </c>
      <c r="P18" s="868">
        <f>SUM(M18:O18)</f>
        <v>9229041000</v>
      </c>
      <c r="R18" s="636"/>
      <c r="S18" s="630"/>
      <c r="T18" s="630"/>
      <c r="U18" s="637"/>
      <c r="X18" s="624"/>
    </row>
    <row r="19" spans="1:24" ht="6" customHeight="1">
      <c r="A19" s="1339"/>
      <c r="B19" s="1340"/>
      <c r="C19" s="1340"/>
      <c r="D19" s="1340"/>
      <c r="E19" s="1340"/>
      <c r="F19" s="1340"/>
      <c r="G19" s="1340"/>
      <c r="H19" s="1340"/>
      <c r="I19" s="1340"/>
      <c r="J19" s="1340"/>
      <c r="K19" s="1340"/>
      <c r="L19" s="1340"/>
      <c r="M19" s="1340"/>
      <c r="N19" s="1340"/>
      <c r="O19" s="1340"/>
      <c r="P19" s="1341"/>
      <c r="R19" s="630"/>
      <c r="S19" s="630"/>
      <c r="T19" s="630"/>
      <c r="U19" s="633"/>
      <c r="V19" s="630"/>
      <c r="W19" s="630"/>
      <c r="X19" s="633"/>
    </row>
    <row r="20" spans="1:24" s="1242" customFormat="1" ht="11" customHeight="1">
      <c r="A20" s="1253" t="s">
        <v>1</v>
      </c>
      <c r="B20" s="1240"/>
      <c r="C20" s="1240"/>
      <c r="D20" s="1240"/>
      <c r="E20" s="1240"/>
      <c r="F20" s="1240"/>
      <c r="G20" s="1240"/>
      <c r="H20" s="1240"/>
      <c r="I20" s="1241"/>
      <c r="J20" s="1241"/>
      <c r="K20" s="1241"/>
      <c r="L20" s="1241"/>
      <c r="M20" s="1240"/>
      <c r="N20" s="1240"/>
      <c r="O20" s="1240"/>
      <c r="P20" s="1240"/>
      <c r="R20" s="1243"/>
      <c r="S20" s="1243"/>
      <c r="T20" s="1243"/>
      <c r="U20" s="1244"/>
      <c r="V20" s="1243"/>
      <c r="W20" s="1243"/>
      <c r="X20" s="1244"/>
    </row>
    <row r="21" spans="1:24" s="1242" customFormat="1" ht="11" customHeight="1">
      <c r="A21" s="1254" t="s">
        <v>966</v>
      </c>
      <c r="R21" s="1243"/>
      <c r="S21" s="1243"/>
      <c r="T21" s="1243"/>
      <c r="U21" s="1244"/>
      <c r="V21" s="1243"/>
      <c r="W21" s="1243"/>
      <c r="X21" s="1244"/>
    </row>
    <row r="22" spans="1:24" s="1242" customFormat="1" ht="11" customHeight="1">
      <c r="A22" s="1254" t="s">
        <v>967</v>
      </c>
      <c r="N22" s="1245"/>
      <c r="O22" s="1245"/>
      <c r="R22" s="1243"/>
      <c r="S22" s="1243"/>
      <c r="T22" s="1243"/>
      <c r="U22" s="1244"/>
      <c r="V22" s="1243"/>
      <c r="W22" s="1243"/>
      <c r="X22" s="1244"/>
    </row>
    <row r="23" spans="1:24" s="1242" customFormat="1" ht="11" customHeight="1">
      <c r="A23" s="1254" t="s">
        <v>968</v>
      </c>
      <c r="B23" s="1246"/>
      <c r="C23" s="1246"/>
      <c r="D23" s="1246"/>
      <c r="E23" s="1246"/>
      <c r="F23" s="1246"/>
      <c r="G23" s="1246"/>
      <c r="H23" s="1246"/>
      <c r="I23" s="1246"/>
      <c r="J23" s="1246"/>
      <c r="K23" s="1246"/>
      <c r="L23" s="1246"/>
      <c r="M23" s="1246"/>
      <c r="N23" s="1246"/>
      <c r="O23" s="1247"/>
      <c r="P23" s="1248"/>
      <c r="R23" s="1243"/>
      <c r="S23" s="1243"/>
      <c r="T23" s="1243"/>
      <c r="U23" s="1244"/>
      <c r="V23" s="1243"/>
      <c r="W23" s="1243"/>
      <c r="X23" s="1244"/>
    </row>
    <row r="24" spans="1:24" s="1242" customFormat="1" ht="11" customHeight="1">
      <c r="A24" s="1254" t="s">
        <v>991</v>
      </c>
      <c r="B24" s="1246"/>
      <c r="C24" s="1246"/>
      <c r="D24" s="1246"/>
      <c r="E24" s="1246"/>
      <c r="F24" s="1246"/>
      <c r="G24" s="1246"/>
      <c r="H24" s="1246"/>
      <c r="I24" s="1246"/>
      <c r="J24" s="1246"/>
      <c r="K24" s="1246"/>
      <c r="L24" s="1246"/>
      <c r="M24" s="1246"/>
      <c r="N24" s="1246"/>
      <c r="O24" s="1247"/>
      <c r="P24" s="1248"/>
      <c r="R24" s="1243"/>
      <c r="S24" s="1243"/>
      <c r="T24" s="1243"/>
      <c r="U24" s="1244"/>
      <c r="V24" s="1243"/>
      <c r="W24" s="1243"/>
      <c r="X24" s="1244"/>
    </row>
    <row r="25" spans="1:24" s="1242" customFormat="1" ht="11" customHeight="1">
      <c r="A25" s="1254" t="s">
        <v>992</v>
      </c>
      <c r="B25" s="1246"/>
      <c r="C25" s="1246"/>
      <c r="D25" s="1246"/>
      <c r="E25" s="1246"/>
      <c r="F25" s="1246"/>
      <c r="G25" s="1246"/>
      <c r="H25" s="1246"/>
      <c r="I25" s="1246"/>
      <c r="J25" s="1246"/>
      <c r="K25" s="1246"/>
      <c r="L25" s="1246"/>
      <c r="M25" s="1246"/>
      <c r="N25" s="1246"/>
      <c r="O25" s="1246"/>
      <c r="P25" s="1246"/>
      <c r="R25" s="1243"/>
      <c r="S25" s="1243"/>
      <c r="T25" s="1243"/>
      <c r="U25" s="1244"/>
      <c r="V25" s="1243"/>
      <c r="W25" s="1243"/>
      <c r="X25" s="1244"/>
    </row>
    <row r="26" spans="1:24" s="1242" customFormat="1" ht="11" customHeight="1">
      <c r="A26" s="1254" t="s">
        <v>1214</v>
      </c>
      <c r="B26" s="1246"/>
      <c r="C26" s="1246"/>
      <c r="D26" s="1246"/>
      <c r="E26" s="1246"/>
      <c r="F26" s="1246"/>
      <c r="G26" s="1246"/>
      <c r="H26" s="1246"/>
      <c r="I26" s="1246"/>
      <c r="J26" s="1246"/>
      <c r="K26" s="1246"/>
      <c r="L26" s="1246"/>
      <c r="M26" s="1246"/>
      <c r="N26" s="1246"/>
      <c r="O26" s="1246"/>
      <c r="P26" s="1246"/>
      <c r="R26" s="1243"/>
      <c r="S26" s="1243"/>
      <c r="T26" s="1243"/>
      <c r="U26" s="1244"/>
      <c r="V26" s="1243"/>
      <c r="W26" s="1243"/>
      <c r="X26" s="1244"/>
    </row>
    <row r="27" spans="1:24" s="1242" customFormat="1" ht="11" customHeight="1">
      <c r="A27" s="1254" t="s">
        <v>994</v>
      </c>
      <c r="B27" s="1249"/>
      <c r="C27" s="1249"/>
      <c r="D27" s="1249"/>
      <c r="E27" s="1249"/>
      <c r="F27" s="1249"/>
      <c r="G27" s="1249"/>
      <c r="H27" s="1249"/>
      <c r="I27" s="1249"/>
      <c r="J27" s="1249"/>
      <c r="K27" s="1249"/>
      <c r="L27" s="1249"/>
      <c r="M27" s="1249"/>
      <c r="N27" s="1249"/>
      <c r="O27" s="1249"/>
      <c r="P27" s="1249"/>
      <c r="R27" s="1243"/>
      <c r="S27" s="1243"/>
      <c r="T27" s="1243"/>
      <c r="U27" s="1244"/>
      <c r="V27" s="1243"/>
      <c r="W27" s="1243"/>
      <c r="X27" s="1244"/>
    </row>
    <row r="28" spans="1:24" s="1242" customFormat="1" ht="11" customHeight="1">
      <c r="A28" s="1254" t="s">
        <v>995</v>
      </c>
      <c r="B28" s="1246"/>
      <c r="C28" s="1246"/>
      <c r="D28" s="1246"/>
      <c r="E28" s="1246"/>
      <c r="F28" s="1246"/>
      <c r="G28" s="1246"/>
      <c r="H28" s="1246"/>
      <c r="I28" s="1246"/>
      <c r="J28" s="1246"/>
      <c r="K28" s="1246"/>
      <c r="L28" s="1246"/>
      <c r="M28" s="1246"/>
      <c r="N28" s="1246"/>
      <c r="O28" s="1246"/>
      <c r="P28" s="1246"/>
      <c r="R28" s="1243"/>
      <c r="S28" s="1243"/>
      <c r="T28" s="1243"/>
      <c r="U28" s="1244"/>
      <c r="V28" s="1243"/>
      <c r="W28" s="1243"/>
      <c r="X28" s="1244"/>
    </row>
    <row r="29" spans="1:24" s="1242" customFormat="1" ht="11" customHeight="1">
      <c r="A29" s="1254" t="s">
        <v>996</v>
      </c>
      <c r="B29" s="1246"/>
      <c r="C29" s="1246"/>
      <c r="D29" s="1246"/>
      <c r="E29" s="1246"/>
      <c r="F29" s="1246"/>
      <c r="G29" s="1246"/>
      <c r="H29" s="1246"/>
      <c r="I29" s="1246"/>
      <c r="J29" s="1246"/>
      <c r="K29" s="1246"/>
      <c r="L29" s="1246"/>
      <c r="M29" s="1246"/>
      <c r="N29" s="1246"/>
      <c r="O29" s="1246"/>
      <c r="P29" s="1246"/>
      <c r="R29" s="1243"/>
      <c r="S29" s="1243"/>
      <c r="T29" s="1243"/>
      <c r="U29" s="1244"/>
      <c r="V29" s="1243"/>
      <c r="W29" s="1243"/>
      <c r="X29" s="1244"/>
    </row>
    <row r="30" spans="1:24" s="1242" customFormat="1" ht="11" customHeight="1">
      <c r="A30" s="1253" t="s">
        <v>1215</v>
      </c>
      <c r="B30" s="1250"/>
      <c r="C30" s="1250"/>
      <c r="D30" s="1250"/>
      <c r="E30" s="1250"/>
      <c r="F30" s="1250"/>
      <c r="G30" s="1250"/>
      <c r="H30" s="1250"/>
      <c r="I30" s="1250"/>
      <c r="J30" s="1250"/>
      <c r="K30" s="1250"/>
      <c r="L30" s="1250"/>
      <c r="M30" s="1250"/>
      <c r="N30" s="1250"/>
      <c r="O30" s="1250"/>
      <c r="P30" s="1250"/>
      <c r="R30" s="1243"/>
      <c r="S30" s="1243"/>
      <c r="T30" s="1243"/>
      <c r="U30" s="1244"/>
      <c r="V30" s="1243"/>
      <c r="W30" s="1243"/>
      <c r="X30" s="1244"/>
    </row>
    <row r="31" spans="1:24" s="1242" customFormat="1" ht="11" customHeight="1">
      <c r="A31" s="1254" t="s">
        <v>1216</v>
      </c>
      <c r="B31" s="1251"/>
      <c r="C31" s="1251"/>
      <c r="D31" s="1251"/>
      <c r="E31" s="1251"/>
      <c r="F31" s="1251"/>
      <c r="G31" s="1251"/>
      <c r="H31" s="1251"/>
      <c r="I31" s="1251"/>
      <c r="J31" s="1251"/>
      <c r="K31" s="1251"/>
      <c r="L31" s="1251"/>
      <c r="M31" s="1251"/>
      <c r="N31" s="1251"/>
      <c r="O31" s="1251"/>
      <c r="P31" s="1251"/>
      <c r="R31" s="1243"/>
      <c r="S31" s="1243"/>
      <c r="T31" s="1243"/>
      <c r="U31" s="1244"/>
      <c r="V31" s="1243"/>
      <c r="W31" s="1243"/>
      <c r="X31" s="1244"/>
    </row>
    <row r="32" spans="1:24" s="1242" customFormat="1" ht="11" customHeight="1">
      <c r="A32" s="1254" t="s">
        <v>999</v>
      </c>
      <c r="R32" s="1243"/>
      <c r="S32" s="1243"/>
      <c r="T32" s="1243"/>
      <c r="U32" s="1244"/>
      <c r="V32" s="1243"/>
      <c r="W32" s="1243"/>
      <c r="X32" s="1244"/>
    </row>
    <row r="33" spans="1:24" s="1242" customFormat="1" ht="11" customHeight="1">
      <c r="A33" s="1254" t="s">
        <v>1207</v>
      </c>
      <c r="R33" s="1243"/>
      <c r="S33" s="1243"/>
      <c r="T33" s="1243"/>
      <c r="U33" s="1244"/>
      <c r="V33" s="1243"/>
      <c r="W33" s="1243"/>
      <c r="X33" s="1244"/>
    </row>
    <row r="34" spans="1:24" s="1242" customFormat="1" ht="11" customHeight="1">
      <c r="A34" s="1179" t="s">
        <v>1000</v>
      </c>
      <c r="R34" s="1243"/>
      <c r="S34" s="1243"/>
      <c r="T34" s="1243"/>
      <c r="U34" s="1244"/>
      <c r="V34" s="1243"/>
      <c r="W34" s="1243"/>
      <c r="X34" s="1244"/>
    </row>
    <row r="35" spans="1:24" s="1242" customFormat="1" ht="11" customHeight="1">
      <c r="A35" s="1179" t="s">
        <v>1376</v>
      </c>
      <c r="R35" s="1243"/>
      <c r="S35" s="1243"/>
      <c r="T35" s="1243"/>
      <c r="U35" s="1244"/>
      <c r="V35" s="1243"/>
      <c r="W35" s="1243"/>
      <c r="X35" s="1244"/>
    </row>
    <row r="36" spans="1:24" s="1161" customFormat="1" ht="11" customHeight="1">
      <c r="A36" s="1252"/>
      <c r="B36" s="1159"/>
      <c r="C36" s="1159"/>
      <c r="D36" s="1159"/>
      <c r="E36" s="1159"/>
      <c r="F36" s="1160"/>
    </row>
    <row r="37" spans="1:24" s="1161" customFormat="1" ht="11" customHeight="1">
      <c r="A37" s="1252"/>
      <c r="B37" s="1159"/>
      <c r="C37" s="1159"/>
      <c r="D37" s="1159"/>
      <c r="E37" s="1159"/>
      <c r="F37" s="1160"/>
    </row>
    <row r="38" spans="1:24" s="1161" customFormat="1" ht="11" customHeight="1">
      <c r="A38" s="1252"/>
      <c r="B38" s="1159"/>
      <c r="C38" s="1159"/>
      <c r="D38" s="1159"/>
      <c r="E38" s="1159"/>
      <c r="F38" s="1160"/>
    </row>
    <row r="39" spans="1:24" s="705" customFormat="1" ht="12.75" customHeight="1">
      <c r="A39" s="788"/>
      <c r="B39" s="706"/>
      <c r="C39" s="706"/>
      <c r="D39" s="706"/>
      <c r="E39" s="706"/>
      <c r="F39" s="707"/>
      <c r="P39" s="952"/>
    </row>
    <row r="40" spans="1:24" s="705" customFormat="1" ht="12.75" customHeight="1">
      <c r="A40" s="788"/>
      <c r="B40" s="706"/>
      <c r="C40" s="706"/>
      <c r="D40" s="706"/>
      <c r="E40" s="706"/>
      <c r="F40" s="707"/>
    </row>
    <row r="41" spans="1:24" s="705" customFormat="1" ht="12.75" customHeight="1">
      <c r="A41" s="788"/>
      <c r="B41" s="706"/>
      <c r="C41" s="706"/>
      <c r="D41" s="706"/>
      <c r="E41" s="706"/>
      <c r="F41" s="707"/>
    </row>
    <row r="42" spans="1:24" s="705" customFormat="1" ht="12.75" customHeight="1">
      <c r="A42" s="788"/>
      <c r="B42" s="706"/>
      <c r="C42" s="706"/>
      <c r="D42" s="706"/>
      <c r="E42" s="706"/>
      <c r="F42" s="707"/>
    </row>
    <row r="52" spans="1:16">
      <c r="M52" s="34" t="s">
        <v>930</v>
      </c>
    </row>
    <row r="63" spans="1:16">
      <c r="A63" s="42"/>
      <c r="B63" s="42"/>
      <c r="C63" s="42"/>
      <c r="D63" s="42"/>
      <c r="E63" s="42"/>
      <c r="F63" s="42"/>
      <c r="G63" s="42"/>
      <c r="H63" s="42"/>
      <c r="I63" s="42"/>
      <c r="J63" s="42"/>
      <c r="K63" s="42"/>
      <c r="L63" s="42"/>
      <c r="M63" s="42"/>
      <c r="N63" s="42"/>
      <c r="O63" s="42"/>
      <c r="P63" s="42"/>
    </row>
    <row r="66" spans="1:23">
      <c r="A66" s="788" t="s">
        <v>956</v>
      </c>
    </row>
    <row r="67" spans="1:23">
      <c r="A67" s="788" t="s">
        <v>1374</v>
      </c>
    </row>
    <row r="73" spans="1:23" s="1370" customFormat="1" ht="11.5">
      <c r="R73" s="1371"/>
      <c r="S73" s="1371"/>
      <c r="T73" s="1371"/>
      <c r="V73" s="1371"/>
      <c r="W73" s="1371"/>
    </row>
  </sheetData>
  <customSheetViews>
    <customSheetView guid="{E6BBE5A7-0B25-4EE8-BA45-5EA5DBAF3AD4}" colorId="22" showPageBreaks="1" fitToPage="1" printArea="1">
      <selection activeCell="C18" sqref="C18"/>
      <rowBreaks count="1" manualBreakCount="1">
        <brk id="51" max="16383" man="1"/>
      </rowBreaks>
      <pageMargins left="0.5" right="0.5" top="1" bottom="1" header="0.5" footer="0.5"/>
      <printOptions horizontalCentered="1"/>
      <pageSetup scale="72" orientation="landscape" r:id="rId1"/>
      <headerFooter alignWithMargins="0"/>
    </customSheetView>
  </customSheetViews>
  <phoneticPr fontId="7" type="noConversion"/>
  <hyperlinks>
    <hyperlink ref="Q1" location="TOC!A1" display="Back" xr:uid="{00000000-0004-0000-1100-000000000000}"/>
  </hyperlinks>
  <pageMargins left="0.35" right="0.2" top="0.4" bottom="0.25" header="0.25" footer="0.25"/>
  <pageSetup scale="62" orientation="landscape" cellComments="asDisplayed" r:id="rId2"/>
  <headerFooter scaleWithDoc="0">
    <oddHeader>&amp;R&amp;P</oddHeader>
  </headerFooter>
  <rowBreaks count="1" manualBreakCount="1">
    <brk id="64" max="16383" man="1"/>
  </rowBreaks>
  <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abColor rgb="FFC00000"/>
    <pageSetUpPr fitToPage="1"/>
  </sheetPr>
  <dimension ref="A1:AA59"/>
  <sheetViews>
    <sheetView defaultGridColor="0" colorId="22" zoomScale="90" zoomScaleNormal="90" workbookViewId="0"/>
  </sheetViews>
  <sheetFormatPr defaultColWidth="15.1796875" defaultRowHeight="15.5"/>
  <cols>
    <col min="1" max="1" width="7.7265625" style="34" customWidth="1"/>
    <col min="2" max="2" width="15.54296875" style="34" bestFit="1" customWidth="1"/>
    <col min="3" max="3" width="14.1796875" style="34" customWidth="1"/>
    <col min="4" max="4" width="17.81640625" style="34" customWidth="1"/>
    <col min="5" max="5" width="16.1796875" style="34" customWidth="1"/>
    <col min="6" max="6" width="14.7265625" style="34" customWidth="1"/>
    <col min="7" max="8" width="13.1796875" style="34" bestFit="1" customWidth="1"/>
    <col min="9" max="10" width="11.54296875" style="34" bestFit="1" customWidth="1"/>
    <col min="11" max="11" width="14.453125" style="34" bestFit="1" customWidth="1"/>
    <col min="12" max="12" width="14.7265625" style="34" bestFit="1" customWidth="1"/>
    <col min="13" max="13" width="17.7265625" style="34" customWidth="1"/>
    <col min="14" max="14" width="14.453125" style="34" bestFit="1" customWidth="1"/>
    <col min="15" max="15" width="1.7265625" style="34" customWidth="1"/>
    <col min="16" max="16" width="4.453125" style="621" bestFit="1" customWidth="1"/>
    <col min="17" max="18" width="11.54296875" style="621" customWidth="1"/>
    <col min="19" max="19" width="7.7265625" style="622" customWidth="1"/>
    <col min="20" max="20" width="1.7265625" style="621" customWidth="1"/>
    <col min="21" max="21" width="17.81640625" style="621" bestFit="1" customWidth="1"/>
    <col min="22" max="22" width="7.7265625" style="622" customWidth="1"/>
    <col min="23" max="23" width="7.7265625" style="596" customWidth="1"/>
    <col min="24" max="16384" width="15.1796875" style="34"/>
  </cols>
  <sheetData>
    <row r="1" spans="1:27" ht="17.149999999999999" customHeight="1">
      <c r="A1" s="360" t="s">
        <v>176</v>
      </c>
      <c r="B1" s="816"/>
      <c r="C1" s="816"/>
      <c r="D1" s="817"/>
      <c r="E1" s="817"/>
    </row>
    <row r="2" spans="1:27" ht="15" customHeight="1">
      <c r="A2" s="35" t="s">
        <v>45</v>
      </c>
      <c r="E2" s="817"/>
    </row>
    <row r="3" spans="1:27" ht="6" customHeight="1" thickBot="1">
      <c r="A3" s="216"/>
      <c r="B3" s="36"/>
      <c r="C3" s="36"/>
      <c r="D3" s="36"/>
      <c r="E3" s="36"/>
      <c r="F3" s="36"/>
      <c r="G3" s="36"/>
      <c r="H3" s="36"/>
      <c r="I3" s="36"/>
      <c r="J3" s="36"/>
      <c r="K3" s="36"/>
      <c r="L3" s="36"/>
      <c r="M3" s="36"/>
      <c r="N3" s="36"/>
      <c r="O3" s="37"/>
    </row>
    <row r="4" spans="1:27" ht="15" customHeight="1">
      <c r="A4" s="41"/>
      <c r="B4" s="1616" t="s">
        <v>46</v>
      </c>
      <c r="C4" s="1616"/>
      <c r="D4" s="1617"/>
      <c r="E4" s="1617"/>
      <c r="F4" s="1617"/>
      <c r="G4" s="1617"/>
      <c r="H4" s="1617"/>
      <c r="I4" s="1617"/>
      <c r="J4" s="1617"/>
      <c r="K4" s="41"/>
      <c r="L4" s="1618" t="s">
        <v>47</v>
      </c>
      <c r="M4" s="1618"/>
      <c r="N4" s="41"/>
      <c r="O4" s="37"/>
    </row>
    <row r="5" spans="1:27" ht="39" customHeight="1" thickBot="1">
      <c r="A5" s="615" t="s">
        <v>926</v>
      </c>
      <c r="B5" s="615" t="s">
        <v>921</v>
      </c>
      <c r="C5" s="615" t="s">
        <v>978</v>
      </c>
      <c r="D5" s="615" t="s">
        <v>977</v>
      </c>
      <c r="E5" s="615" t="s">
        <v>979</v>
      </c>
      <c r="F5" s="615" t="s">
        <v>980</v>
      </c>
      <c r="G5" s="615" t="s">
        <v>919</v>
      </c>
      <c r="H5" s="615" t="s">
        <v>920</v>
      </c>
      <c r="I5" s="615" t="s">
        <v>918</v>
      </c>
      <c r="J5" s="615" t="s">
        <v>917</v>
      </c>
      <c r="K5" s="616" t="s">
        <v>922</v>
      </c>
      <c r="L5" s="615" t="s">
        <v>923</v>
      </c>
      <c r="M5" s="615" t="s">
        <v>924</v>
      </c>
      <c r="N5" s="615" t="s">
        <v>925</v>
      </c>
      <c r="O5" s="37"/>
      <c r="W5" s="620"/>
      <c r="X5" s="34" t="s">
        <v>5</v>
      </c>
      <c r="Y5" s="34" t="s">
        <v>927</v>
      </c>
      <c r="Z5" s="34" t="s">
        <v>928</v>
      </c>
      <c r="AA5" s="34" t="s">
        <v>929</v>
      </c>
    </row>
    <row r="6" spans="1:27" hidden="1">
      <c r="A6" s="38">
        <v>2011</v>
      </c>
      <c r="B6" s="210">
        <v>3012379000</v>
      </c>
      <c r="C6" s="210">
        <v>477329000</v>
      </c>
      <c r="D6" s="347" t="s">
        <v>48</v>
      </c>
      <c r="E6" s="347" t="s">
        <v>48</v>
      </c>
      <c r="F6" s="347" t="s">
        <v>48</v>
      </c>
      <c r="G6" s="347" t="s">
        <v>48</v>
      </c>
      <c r="H6" s="347" t="s">
        <v>48</v>
      </c>
      <c r="I6" s="219"/>
      <c r="J6" s="219"/>
      <c r="K6" s="612">
        <f t="shared" ref="K6:K16" si="0">SUM(B6:J6)</f>
        <v>3489708000</v>
      </c>
      <c r="L6" s="210">
        <v>1010205000</v>
      </c>
      <c r="M6" s="219">
        <v>204027000</v>
      </c>
      <c r="N6" s="619">
        <v>4762261000</v>
      </c>
      <c r="O6" s="40"/>
      <c r="S6" s="623"/>
      <c r="V6" s="623"/>
      <c r="W6" s="597"/>
      <c r="X6" s="208"/>
    </row>
    <row r="7" spans="1:27" ht="21" customHeight="1">
      <c r="A7" s="38">
        <v>2012</v>
      </c>
      <c r="B7" s="39">
        <v>3121503000</v>
      </c>
      <c r="C7" s="39">
        <v>503070000</v>
      </c>
      <c r="D7" s="347" t="s">
        <v>48</v>
      </c>
      <c r="E7" s="347" t="s">
        <v>48</v>
      </c>
      <c r="F7" s="347" t="s">
        <v>48</v>
      </c>
      <c r="G7" s="347" t="s">
        <v>48</v>
      </c>
      <c r="H7" s="347" t="s">
        <v>48</v>
      </c>
      <c r="I7" s="39"/>
      <c r="J7" s="39"/>
      <c r="K7" s="613">
        <f t="shared" si="0"/>
        <v>3624573000</v>
      </c>
      <c r="L7" s="39">
        <v>1052522000</v>
      </c>
      <c r="M7" s="39">
        <v>214098000</v>
      </c>
      <c r="N7" s="613">
        <f t="shared" ref="N7:N13" si="1">SUM(K7:M7)</f>
        <v>4891193000</v>
      </c>
      <c r="O7" s="40"/>
      <c r="P7" s="627"/>
      <c r="S7" s="623"/>
      <c r="V7" s="623"/>
      <c r="W7" s="597"/>
      <c r="X7" s="598">
        <f t="shared" ref="X7:X16" si="2">B7/B6-1</f>
        <v>3.6225189459891949E-2</v>
      </c>
      <c r="Y7" s="598">
        <f t="shared" ref="Y7:Z16" si="3">K7/K6-1</f>
        <v>3.8646499936384471E-2</v>
      </c>
      <c r="Z7" s="598">
        <f t="shared" si="3"/>
        <v>4.1889517474176019E-2</v>
      </c>
      <c r="AA7" s="598">
        <f t="shared" ref="AA7:AA15" si="4">N7/N6-1</f>
        <v>2.7073694616905675E-2</v>
      </c>
    </row>
    <row r="8" spans="1:27" ht="15" customHeight="1">
      <c r="A8" s="38">
        <v>2013</v>
      </c>
      <c r="B8" s="39">
        <v>3219798000</v>
      </c>
      <c r="C8" s="39">
        <v>521180000</v>
      </c>
      <c r="D8" s="347" t="s">
        <v>48</v>
      </c>
      <c r="E8" s="347" t="s">
        <v>48</v>
      </c>
      <c r="F8" s="347" t="s">
        <v>48</v>
      </c>
      <c r="G8" s="347" t="s">
        <v>48</v>
      </c>
      <c r="H8" s="347" t="s">
        <v>48</v>
      </c>
      <c r="I8" s="39"/>
      <c r="J8" s="39"/>
      <c r="K8" s="613">
        <f t="shared" si="0"/>
        <v>3740978000</v>
      </c>
      <c r="L8" s="39">
        <v>1089743000</v>
      </c>
      <c r="M8" s="39">
        <v>221396000</v>
      </c>
      <c r="N8" s="613">
        <f t="shared" si="1"/>
        <v>5052117000</v>
      </c>
      <c r="O8" s="40"/>
      <c r="P8" s="627"/>
      <c r="S8" s="623"/>
      <c r="V8" s="623"/>
      <c r="W8" s="597"/>
      <c r="X8" s="598">
        <f t="shared" si="2"/>
        <v>3.1489638164691858E-2</v>
      </c>
      <c r="Y8" s="598">
        <f t="shared" si="3"/>
        <v>3.2115507123183784E-2</v>
      </c>
      <c r="Z8" s="598">
        <f t="shared" si="3"/>
        <v>3.5363631354023983E-2</v>
      </c>
      <c r="AA8" s="598">
        <f t="shared" si="4"/>
        <v>3.2900766745454613E-2</v>
      </c>
    </row>
    <row r="9" spans="1:27" ht="15" customHeight="1">
      <c r="A9" s="38">
        <v>2014</v>
      </c>
      <c r="B9" s="39">
        <v>3066456000</v>
      </c>
      <c r="C9" s="614">
        <f>ROUND(492018037.25,-3)</f>
        <v>492018000</v>
      </c>
      <c r="D9" s="818">
        <f>ROUND(146680019.76+44537298.65,-3)</f>
        <v>191217000</v>
      </c>
      <c r="E9" s="818">
        <v>41908000</v>
      </c>
      <c r="F9" s="818">
        <v>62864000</v>
      </c>
      <c r="G9" s="818">
        <v>203933000</v>
      </c>
      <c r="H9" s="818">
        <v>107424000</v>
      </c>
      <c r="I9" s="39"/>
      <c r="J9" s="39"/>
      <c r="K9" s="613">
        <f t="shared" si="0"/>
        <v>4165820000</v>
      </c>
      <c r="L9" s="614">
        <v>1094794000</v>
      </c>
      <c r="M9" s="39">
        <v>334030000</v>
      </c>
      <c r="N9" s="613">
        <f t="shared" si="1"/>
        <v>5594644000</v>
      </c>
      <c r="O9" s="40"/>
      <c r="P9" s="627"/>
      <c r="S9" s="623"/>
      <c r="V9" s="623"/>
      <c r="W9" s="597"/>
      <c r="X9" s="598">
        <f t="shared" si="2"/>
        <v>-4.7624726768573655E-2</v>
      </c>
      <c r="Y9" s="598">
        <f t="shared" si="3"/>
        <v>0.11356442085465357</v>
      </c>
      <c r="Z9" s="598">
        <f t="shared" si="3"/>
        <v>4.6350378024910821E-3</v>
      </c>
      <c r="AA9" s="598">
        <f t="shared" si="4"/>
        <v>0.10738607201693862</v>
      </c>
    </row>
    <row r="10" spans="1:27" ht="15" customHeight="1">
      <c r="A10" s="38">
        <v>2015</v>
      </c>
      <c r="B10" s="614">
        <v>3235444000</v>
      </c>
      <c r="C10" s="614">
        <v>590709000</v>
      </c>
      <c r="D10" s="819">
        <f>ROUND(176785752.29+101094512.7,-3)</f>
        <v>277880000</v>
      </c>
      <c r="E10" s="819">
        <v>50520000</v>
      </c>
      <c r="F10" s="819">
        <v>75746000</v>
      </c>
      <c r="G10" s="819">
        <v>246324000</v>
      </c>
      <c r="H10" s="819">
        <v>129918000</v>
      </c>
      <c r="I10" s="39"/>
      <c r="J10" s="39"/>
      <c r="K10" s="613">
        <f t="shared" si="0"/>
        <v>4606541000</v>
      </c>
      <c r="L10" s="614">
        <v>1143330000</v>
      </c>
      <c r="M10" s="614">
        <v>352406000</v>
      </c>
      <c r="N10" s="613">
        <f t="shared" si="1"/>
        <v>6102277000</v>
      </c>
      <c r="O10" s="40"/>
      <c r="P10" s="627"/>
      <c r="S10" s="623"/>
      <c r="V10" s="623"/>
      <c r="W10" s="597"/>
      <c r="X10" s="598">
        <f t="shared" si="2"/>
        <v>5.5108568327737251E-2</v>
      </c>
      <c r="Y10" s="598">
        <f t="shared" si="3"/>
        <v>0.10579453745000977</v>
      </c>
      <c r="Z10" s="598">
        <f t="shared" si="3"/>
        <v>4.4333454512903714E-2</v>
      </c>
      <c r="AA10" s="598">
        <f t="shared" si="4"/>
        <v>9.0735532055301382E-2</v>
      </c>
    </row>
    <row r="11" spans="1:27" ht="15" customHeight="1">
      <c r="A11" s="38">
        <v>2016</v>
      </c>
      <c r="B11" s="614">
        <v>3295853000</v>
      </c>
      <c r="C11" s="614">
        <v>599055000</v>
      </c>
      <c r="D11" s="819">
        <f>ROUND(174535019.41+102314212,-3)</f>
        <v>276849000</v>
      </c>
      <c r="E11" s="819">
        <v>49877000</v>
      </c>
      <c r="F11" s="819">
        <v>74782000</v>
      </c>
      <c r="G11" s="819">
        <v>237314000</v>
      </c>
      <c r="H11" s="819">
        <v>126537000</v>
      </c>
      <c r="I11" s="39"/>
      <c r="J11" s="39"/>
      <c r="K11" s="613">
        <f t="shared" si="0"/>
        <v>4660267000</v>
      </c>
      <c r="L11" s="614">
        <v>1188704000</v>
      </c>
      <c r="M11" s="614">
        <v>355547000</v>
      </c>
      <c r="N11" s="613">
        <f t="shared" si="1"/>
        <v>6204518000</v>
      </c>
      <c r="O11" s="40"/>
      <c r="P11" s="627"/>
      <c r="S11" s="623"/>
      <c r="V11" s="623"/>
      <c r="W11" s="597"/>
      <c r="X11" s="598">
        <f t="shared" si="2"/>
        <v>1.8671007750404645E-2</v>
      </c>
      <c r="Y11" s="598">
        <f t="shared" si="3"/>
        <v>1.1662980965544412E-2</v>
      </c>
      <c r="Z11" s="598">
        <f t="shared" si="3"/>
        <v>3.9685829987842425E-2</v>
      </c>
      <c r="AA11" s="598">
        <f t="shared" si="4"/>
        <v>1.6754565549875977E-2</v>
      </c>
    </row>
    <row r="12" spans="1:27" ht="15" customHeight="1">
      <c r="A12" s="38">
        <v>2017</v>
      </c>
      <c r="B12" s="614">
        <f>ROUND(3357064365.72,-3)+3354561000*0</f>
        <v>3357064000</v>
      </c>
      <c r="C12" s="614">
        <f>ROUND(589823540.29+25748098.43,-3)</f>
        <v>615572000</v>
      </c>
      <c r="D12" s="819">
        <f>ROUND(178769862.17+98290993.56,-3)</f>
        <v>277061000</v>
      </c>
      <c r="E12" s="819">
        <v>51043000</v>
      </c>
      <c r="F12" s="819">
        <v>76683000</v>
      </c>
      <c r="G12" s="819">
        <v>251601000</v>
      </c>
      <c r="H12" s="819">
        <v>131472000</v>
      </c>
      <c r="I12" s="39"/>
      <c r="J12" s="39"/>
      <c r="K12" s="613">
        <f t="shared" si="0"/>
        <v>4760496000</v>
      </c>
      <c r="L12" s="614">
        <v>1213929000</v>
      </c>
      <c r="M12" s="614">
        <v>365878000</v>
      </c>
      <c r="N12" s="613">
        <f t="shared" si="1"/>
        <v>6340303000</v>
      </c>
      <c r="O12" s="40"/>
      <c r="P12" s="630"/>
      <c r="Q12" s="631" t="s">
        <v>936</v>
      </c>
      <c r="R12" s="632"/>
      <c r="S12" s="633"/>
      <c r="T12" s="629"/>
      <c r="U12" s="628"/>
      <c r="W12" s="597"/>
      <c r="X12" s="598">
        <f t="shared" si="2"/>
        <v>1.8572126851531312E-2</v>
      </c>
      <c r="Y12" s="598">
        <f t="shared" si="3"/>
        <v>2.1507136822847217E-2</v>
      </c>
      <c r="Z12" s="598">
        <f t="shared" si="3"/>
        <v>2.1220589818827795E-2</v>
      </c>
      <c r="AA12" s="598">
        <f t="shared" si="4"/>
        <v>2.1884858743257629E-2</v>
      </c>
    </row>
    <row r="13" spans="1:27" ht="15" customHeight="1">
      <c r="A13" s="38">
        <v>2018</v>
      </c>
      <c r="B13" s="611">
        <f>ROUND(3461771752.8,-3)+3458249000*0</f>
        <v>3461772000</v>
      </c>
      <c r="C13" s="611">
        <f>ROUND(592516174.16+25870695.34,-3)</f>
        <v>618387000</v>
      </c>
      <c r="D13" s="819">
        <f>ROUND(186058734.59+106459499.7,-3)</f>
        <v>292518000</v>
      </c>
      <c r="E13" s="819">
        <v>53159000</v>
      </c>
      <c r="F13" s="819">
        <v>79742000</v>
      </c>
      <c r="G13" s="819">
        <v>256443000</v>
      </c>
      <c r="H13" s="819">
        <v>137059000</v>
      </c>
      <c r="I13" s="162"/>
      <c r="J13" s="162"/>
      <c r="K13" s="613">
        <f t="shared" si="0"/>
        <v>4899080000</v>
      </c>
      <c r="L13" s="614">
        <v>1243480000</v>
      </c>
      <c r="M13" s="611">
        <v>376561000</v>
      </c>
      <c r="N13" s="613">
        <f t="shared" si="1"/>
        <v>6519121000</v>
      </c>
      <c r="O13" s="40"/>
      <c r="P13" s="634" t="s">
        <v>935</v>
      </c>
      <c r="Q13" s="634" t="s">
        <v>933</v>
      </c>
      <c r="R13" s="634" t="s">
        <v>934</v>
      </c>
      <c r="S13" s="635" t="s">
        <v>932</v>
      </c>
      <c r="T13" s="626"/>
      <c r="U13" s="626" t="s">
        <v>937</v>
      </c>
      <c r="V13" s="625" t="s">
        <v>932</v>
      </c>
      <c r="W13" s="597"/>
      <c r="X13" s="598">
        <f t="shared" si="2"/>
        <v>3.1190349662681527E-2</v>
      </c>
      <c r="Y13" s="598">
        <f t="shared" si="3"/>
        <v>2.9111252272872479E-2</v>
      </c>
      <c r="Z13" s="598">
        <f t="shared" si="3"/>
        <v>2.4343268840269827E-2</v>
      </c>
      <c r="AA13" s="598">
        <f t="shared" si="4"/>
        <v>2.8203383970766049E-2</v>
      </c>
    </row>
    <row r="14" spans="1:27" ht="15" customHeight="1">
      <c r="A14" s="38">
        <v>2019</v>
      </c>
      <c r="B14" s="611">
        <v>3580355000</v>
      </c>
      <c r="C14" s="611">
        <f>ROUND(622280986.85+27169809.32,-3)</f>
        <v>649451000</v>
      </c>
      <c r="D14" s="610">
        <f>ROUND(191758807.58+109669908.6,-3)</f>
        <v>301429000</v>
      </c>
      <c r="E14" s="610">
        <v>54797000</v>
      </c>
      <c r="F14" s="610">
        <v>82165000</v>
      </c>
      <c r="G14" s="610">
        <f>ROUND(263033838.77,-3)</f>
        <v>263034000</v>
      </c>
      <c r="H14" s="610">
        <f>ROUND(139641901.73,-3)</f>
        <v>139642000</v>
      </c>
      <c r="I14" s="611">
        <v>20358000</v>
      </c>
      <c r="J14" s="611"/>
      <c r="K14" s="613">
        <f t="shared" si="0"/>
        <v>5091231000</v>
      </c>
      <c r="L14" s="614">
        <v>1292804000</v>
      </c>
      <c r="M14" s="611">
        <v>392605000</v>
      </c>
      <c r="N14" s="613">
        <f>SUM(K14:M14)</f>
        <v>6776640000</v>
      </c>
      <c r="O14" s="40"/>
      <c r="P14" s="636">
        <v>2019</v>
      </c>
      <c r="Q14" s="630">
        <f>N14</f>
        <v>6776640000</v>
      </c>
      <c r="R14" s="630">
        <v>6764132129.4500237</v>
      </c>
      <c r="S14" s="637">
        <f>N14/R14-1</f>
        <v>1.8491463961087806E-3</v>
      </c>
      <c r="U14" s="621">
        <v>6409139000</v>
      </c>
      <c r="V14" s="624">
        <f>U14/R14-1</f>
        <v>-5.2481696492065355E-2</v>
      </c>
      <c r="W14" s="597"/>
      <c r="X14" s="598">
        <f t="shared" si="2"/>
        <v>3.4255000040441796E-2</v>
      </c>
      <c r="Y14" s="598">
        <f t="shared" si="3"/>
        <v>3.9221853899099379E-2</v>
      </c>
      <c r="Z14" s="598">
        <f t="shared" si="3"/>
        <v>3.9666098369093294E-2</v>
      </c>
      <c r="AA14" s="598">
        <f t="shared" si="4"/>
        <v>3.9502104654906667E-2</v>
      </c>
    </row>
    <row r="15" spans="1:27" ht="15" customHeight="1">
      <c r="A15" s="38">
        <v>2020</v>
      </c>
      <c r="B15" s="611">
        <f>ROUND(2683258.31+208033441.59+53040341.29+3169525635.96+-34441737.4+2478935.49+173593188.29+-5477492.26+540921001.82+-406044118.99+132233.73+2033538.76+338923.1,-3)</f>
        <v>3706817000</v>
      </c>
      <c r="C15" s="611">
        <f>ROUND(26831467.7+508394214.76+93910136.99+15332267.26+33555422.32,-3)</f>
        <v>678024000</v>
      </c>
      <c r="D15" s="610">
        <f>ROUND(188570036.5+108118849.5+14033366.21,-3)</f>
        <v>310722000</v>
      </c>
      <c r="E15" s="610">
        <f>ROUND(53877017.19,-3)</f>
        <v>53877000</v>
      </c>
      <c r="F15" s="610">
        <f>ROUND(80816271.36,-3)</f>
        <v>80816000</v>
      </c>
      <c r="G15" s="610">
        <f>ROUND(268751277.28,-3)</f>
        <v>268751000</v>
      </c>
      <c r="H15" s="610">
        <f>ROUND(142869323.15,-3)</f>
        <v>142869000</v>
      </c>
      <c r="I15" s="611">
        <f>ROUND(11366680.58+11364295.82,-3)</f>
        <v>22731000</v>
      </c>
      <c r="J15" s="611"/>
      <c r="K15" s="613">
        <f t="shared" si="0"/>
        <v>5264607000</v>
      </c>
      <c r="L15" s="614">
        <f>ROUND(1358988340.78,-3)</f>
        <v>1358988000</v>
      </c>
      <c r="M15" s="611">
        <f>ROUND(406044118.99,-3)</f>
        <v>406044000</v>
      </c>
      <c r="N15" s="613">
        <f>SUM(K15:M15)</f>
        <v>7029639000</v>
      </c>
      <c r="O15" s="40"/>
      <c r="P15" s="636">
        <v>2020</v>
      </c>
      <c r="Q15" s="630">
        <f t="shared" ref="Q15:Q16" si="5">N15</f>
        <v>7029639000</v>
      </c>
      <c r="R15" s="630">
        <v>6965941756.3400993</v>
      </c>
      <c r="S15" s="637">
        <f t="shared" ref="S15:S16" si="6">N15/R15-1</f>
        <v>9.1440965038109834E-3</v>
      </c>
      <c r="U15" s="621">
        <v>6921512000</v>
      </c>
      <c r="V15" s="624">
        <f>U15/R15-1</f>
        <v>-6.3781406583913736E-3</v>
      </c>
      <c r="W15" s="597"/>
      <c r="X15" s="598">
        <f t="shared" si="2"/>
        <v>3.5321078496405978E-2</v>
      </c>
      <c r="Y15" s="598">
        <f t="shared" si="3"/>
        <v>3.4053846702300383E-2</v>
      </c>
      <c r="Z15" s="598">
        <f t="shared" si="3"/>
        <v>5.1194148532956341E-2</v>
      </c>
      <c r="AA15" s="598">
        <f t="shared" si="4"/>
        <v>3.7333988525286799E-2</v>
      </c>
    </row>
    <row r="16" spans="1:27" ht="15" customHeight="1">
      <c r="A16" s="38">
        <v>2021</v>
      </c>
      <c r="B16" s="611">
        <f>ROUND(4166181778.91,-3)</f>
        <v>4166182000</v>
      </c>
      <c r="C16" s="611">
        <f>ROUND(883351323.76,-3)</f>
        <v>883351000</v>
      </c>
      <c r="D16" s="610">
        <f>ROUND(381740948.12,-3)+ROUND(-415199.89,-3)+ROUND(-627216.85,-3)</f>
        <v>380699000</v>
      </c>
      <c r="E16" s="610">
        <f>ROUND(-415199.89,-3)+ROUND(415199.89,-3)</f>
        <v>0</v>
      </c>
      <c r="F16" s="610">
        <f>ROUND(-627216.85,-3)+ROUND(627216.85,-3)</f>
        <v>0</v>
      </c>
      <c r="G16" s="610">
        <f>ROUND(286169787.36,-3)</f>
        <v>286170000</v>
      </c>
      <c r="H16" s="610">
        <f>ROUND(168804319.76,-3)</f>
        <v>168804000</v>
      </c>
      <c r="I16" s="611">
        <f>ROUND(11485184.74+11483982.06,-3)</f>
        <v>22969000</v>
      </c>
      <c r="J16" s="611">
        <f>ROUND(89337245.13,-3)</f>
        <v>89337000</v>
      </c>
      <c r="K16" s="613">
        <f t="shared" si="0"/>
        <v>5997512000</v>
      </c>
      <c r="L16" s="614">
        <f>ROUND(1477201024.21,-3)</f>
        <v>1477201000</v>
      </c>
      <c r="M16" s="611">
        <f>ROUND(458362738.92,-3)</f>
        <v>458363000</v>
      </c>
      <c r="N16" s="613">
        <f>SUM(K16:M16)</f>
        <v>7933076000</v>
      </c>
      <c r="O16" s="40"/>
      <c r="P16" s="636">
        <v>2021</v>
      </c>
      <c r="Q16" s="630">
        <f t="shared" si="5"/>
        <v>7933076000</v>
      </c>
      <c r="R16" s="630">
        <v>7924865481.6600456</v>
      </c>
      <c r="S16" s="637">
        <f t="shared" si="6"/>
        <v>1.0360451365332146E-3</v>
      </c>
      <c r="V16" s="624"/>
      <c r="W16" s="597"/>
      <c r="X16" s="598">
        <f t="shared" si="2"/>
        <v>0.12392438040507536</v>
      </c>
      <c r="Y16" s="598">
        <f t="shared" si="3"/>
        <v>0.13921362031391893</v>
      </c>
      <c r="Z16" s="598">
        <f t="shared" si="3"/>
        <v>8.6986051385295582E-2</v>
      </c>
      <c r="AA16" s="598">
        <f>N16/N15-1</f>
        <v>0.12851826388239851</v>
      </c>
    </row>
    <row r="17" spans="1:24" s="526" customFormat="1" ht="6" customHeight="1">
      <c r="A17" s="524"/>
      <c r="B17" s="525">
        <f>B16/B14-1</f>
        <v>0.16362260166938758</v>
      </c>
      <c r="C17" s="525">
        <f t="shared" ref="C17:N17" si="7">C16/C14-1</f>
        <v>0.36015034236609078</v>
      </c>
      <c r="D17" s="525">
        <f t="shared" si="7"/>
        <v>0.26298066874786441</v>
      </c>
      <c r="E17" s="525">
        <f t="shared" si="7"/>
        <v>-1</v>
      </c>
      <c r="F17" s="525">
        <f t="shared" si="7"/>
        <v>-1</v>
      </c>
      <c r="G17" s="525">
        <f t="shared" si="7"/>
        <v>8.7958210725609609E-2</v>
      </c>
      <c r="H17" s="525">
        <f t="shared" si="7"/>
        <v>0.20883401841852733</v>
      </c>
      <c r="I17" s="525">
        <f t="shared" si="7"/>
        <v>0.12825424894390403</v>
      </c>
      <c r="J17" s="525" t="e">
        <f t="shared" si="7"/>
        <v>#DIV/0!</v>
      </c>
      <c r="K17" s="525">
        <f t="shared" si="7"/>
        <v>0.1780082263012619</v>
      </c>
      <c r="L17" s="525">
        <f t="shared" si="7"/>
        <v>0.14263337675316601</v>
      </c>
      <c r="M17" s="525">
        <f t="shared" si="7"/>
        <v>0.16749149908941563</v>
      </c>
      <c r="N17" s="525">
        <f t="shared" si="7"/>
        <v>0.17065035179676058</v>
      </c>
      <c r="P17" s="621"/>
      <c r="Q17" s="621"/>
      <c r="R17" s="621"/>
      <c r="S17" s="622"/>
      <c r="T17" s="621"/>
      <c r="U17" s="621"/>
      <c r="V17" s="622"/>
      <c r="W17" s="596"/>
      <c r="X17" s="527"/>
    </row>
    <row r="18" spans="1:24" s="806" customFormat="1" ht="12.65" customHeight="1">
      <c r="A18" s="803" t="s">
        <v>916</v>
      </c>
      <c r="B18" s="804"/>
      <c r="C18" s="804"/>
      <c r="D18" s="804"/>
      <c r="E18" s="804"/>
      <c r="F18" s="804"/>
      <c r="G18" s="804"/>
      <c r="H18" s="805"/>
      <c r="I18" s="805"/>
      <c r="J18" s="805"/>
      <c r="K18" s="804"/>
      <c r="L18" s="804"/>
      <c r="M18" s="804"/>
      <c r="N18" s="804"/>
      <c r="P18" s="807"/>
      <c r="Q18" s="807"/>
      <c r="R18" s="807"/>
      <c r="S18" s="808"/>
      <c r="T18" s="807"/>
      <c r="U18" s="807"/>
      <c r="V18" s="808"/>
      <c r="W18" s="809"/>
      <c r="X18" s="810"/>
    </row>
    <row r="19" spans="1:24" s="806" customFormat="1" ht="12.65" customHeight="1">
      <c r="A19" s="806" t="s">
        <v>966</v>
      </c>
      <c r="P19" s="807"/>
      <c r="Q19" s="807"/>
      <c r="R19" s="807"/>
      <c r="S19" s="808"/>
      <c r="T19" s="807"/>
      <c r="U19" s="807"/>
      <c r="V19" s="808"/>
      <c r="W19" s="809"/>
      <c r="X19" s="810"/>
    </row>
    <row r="20" spans="1:24" s="806" customFormat="1" ht="12.65" customHeight="1">
      <c r="A20" s="806" t="s">
        <v>967</v>
      </c>
      <c r="L20" s="811"/>
      <c r="M20" s="811"/>
      <c r="P20" s="807"/>
      <c r="Q20" s="807"/>
      <c r="R20" s="807"/>
      <c r="S20" s="808"/>
      <c r="T20" s="807"/>
      <c r="U20" s="807"/>
      <c r="V20" s="808"/>
      <c r="W20" s="809"/>
      <c r="X20" s="810"/>
    </row>
    <row r="21" spans="1:24" s="806" customFormat="1" ht="12.65" customHeight="1">
      <c r="A21" s="812" t="s">
        <v>968</v>
      </c>
      <c r="B21" s="812"/>
      <c r="C21" s="812"/>
      <c r="D21" s="812"/>
      <c r="E21" s="812"/>
      <c r="F21" s="812"/>
      <c r="G21" s="812"/>
      <c r="H21" s="812"/>
      <c r="I21" s="812"/>
      <c r="J21" s="812"/>
      <c r="K21" s="812"/>
      <c r="L21" s="812"/>
      <c r="M21" s="812"/>
      <c r="N21" s="812"/>
      <c r="P21" s="807"/>
      <c r="Q21" s="807"/>
      <c r="R21" s="807"/>
      <c r="S21" s="808"/>
      <c r="T21" s="807"/>
      <c r="U21" s="807"/>
      <c r="V21" s="808"/>
      <c r="W21" s="809"/>
    </row>
    <row r="22" spans="1:24" s="806" customFormat="1" ht="12.65" customHeight="1">
      <c r="A22" s="812" t="s">
        <v>969</v>
      </c>
      <c r="B22" s="812"/>
      <c r="C22" s="812"/>
      <c r="D22" s="812"/>
      <c r="E22" s="812"/>
      <c r="F22" s="812"/>
      <c r="G22" s="812"/>
      <c r="H22" s="812"/>
      <c r="I22" s="812"/>
      <c r="J22" s="812"/>
      <c r="K22" s="812"/>
      <c r="L22" s="812"/>
      <c r="M22" s="812"/>
      <c r="N22" s="812"/>
      <c r="P22" s="807"/>
      <c r="Q22" s="807"/>
      <c r="R22" s="807"/>
      <c r="S22" s="808"/>
      <c r="T22" s="807"/>
      <c r="U22" s="807"/>
      <c r="V22" s="808"/>
      <c r="W22" s="809"/>
    </row>
    <row r="23" spans="1:24" s="806" customFormat="1" ht="12.65" customHeight="1">
      <c r="A23" s="812" t="s">
        <v>970</v>
      </c>
      <c r="B23" s="812"/>
      <c r="C23" s="812"/>
      <c r="D23" s="812"/>
      <c r="E23" s="812"/>
      <c r="F23" s="812"/>
      <c r="G23" s="812"/>
      <c r="H23" s="812"/>
      <c r="I23" s="812"/>
      <c r="J23" s="812"/>
      <c r="K23" s="812"/>
      <c r="L23" s="812"/>
      <c r="M23" s="812"/>
      <c r="N23" s="812"/>
      <c r="P23" s="807"/>
      <c r="Q23" s="807"/>
      <c r="R23" s="807"/>
      <c r="S23" s="808"/>
      <c r="T23" s="807"/>
      <c r="U23" s="807"/>
      <c r="V23" s="808"/>
      <c r="W23" s="809"/>
    </row>
    <row r="24" spans="1:24" s="806" customFormat="1" ht="12.65" customHeight="1">
      <c r="A24" s="812" t="s">
        <v>971</v>
      </c>
      <c r="B24" s="812"/>
      <c r="C24" s="812"/>
      <c r="D24" s="812"/>
      <c r="E24" s="812"/>
      <c r="F24" s="812"/>
      <c r="G24" s="812"/>
      <c r="H24" s="812"/>
      <c r="I24" s="812"/>
      <c r="J24" s="812"/>
      <c r="K24" s="812"/>
      <c r="L24" s="812"/>
      <c r="M24" s="812"/>
      <c r="N24" s="812"/>
      <c r="P24" s="807"/>
      <c r="Q24" s="807"/>
      <c r="R24" s="807"/>
      <c r="S24" s="808"/>
      <c r="T24" s="807"/>
      <c r="U24" s="807"/>
      <c r="V24" s="808"/>
      <c r="W24" s="809"/>
    </row>
    <row r="25" spans="1:24" s="806" customFormat="1" ht="12.65" customHeight="1">
      <c r="A25" s="812" t="s">
        <v>972</v>
      </c>
      <c r="B25" s="812"/>
      <c r="C25" s="812"/>
      <c r="D25" s="812"/>
      <c r="E25" s="812"/>
      <c r="F25" s="812"/>
      <c r="G25" s="812"/>
      <c r="H25" s="812"/>
      <c r="I25" s="812"/>
      <c r="J25" s="812"/>
      <c r="K25" s="812"/>
      <c r="L25" s="812"/>
      <c r="M25" s="812"/>
      <c r="N25" s="812"/>
      <c r="P25" s="807"/>
      <c r="Q25" s="807"/>
      <c r="R25" s="807"/>
      <c r="S25" s="808"/>
      <c r="T25" s="807"/>
      <c r="U25" s="807"/>
      <c r="V25" s="808"/>
      <c r="W25" s="809"/>
    </row>
    <row r="26" spans="1:24" s="806" customFormat="1" ht="12.65" customHeight="1">
      <c r="A26" s="812" t="s">
        <v>973</v>
      </c>
      <c r="B26" s="813"/>
      <c r="C26" s="813"/>
      <c r="D26" s="813"/>
      <c r="E26" s="813"/>
      <c r="F26" s="813"/>
      <c r="G26" s="813"/>
      <c r="H26" s="813"/>
      <c r="I26" s="813"/>
      <c r="J26" s="813"/>
      <c r="K26" s="813"/>
      <c r="L26" s="813"/>
      <c r="M26" s="813"/>
      <c r="N26" s="813"/>
      <c r="P26" s="807"/>
      <c r="Q26" s="807"/>
      <c r="R26" s="807"/>
      <c r="S26" s="808"/>
      <c r="T26" s="807"/>
      <c r="U26" s="807"/>
      <c r="V26" s="808"/>
      <c r="W26" s="809"/>
    </row>
    <row r="27" spans="1:24" s="806" customFormat="1" ht="12.65" customHeight="1">
      <c r="A27" s="812" t="s">
        <v>965</v>
      </c>
      <c r="B27" s="812"/>
      <c r="C27" s="812"/>
      <c r="D27" s="812"/>
      <c r="E27" s="812"/>
      <c r="F27" s="812"/>
      <c r="G27" s="812"/>
      <c r="H27" s="812"/>
      <c r="I27" s="812"/>
      <c r="J27" s="812"/>
      <c r="K27" s="812"/>
      <c r="L27" s="812"/>
      <c r="M27" s="812"/>
      <c r="N27" s="812"/>
      <c r="P27" s="807"/>
      <c r="Q27" s="807"/>
      <c r="R27" s="807"/>
      <c r="S27" s="808"/>
      <c r="T27" s="807"/>
      <c r="U27" s="807"/>
      <c r="V27" s="808"/>
      <c r="W27" s="809"/>
    </row>
    <row r="28" spans="1:24" s="806" customFormat="1" ht="12.65" customHeight="1">
      <c r="A28" s="812" t="s">
        <v>964</v>
      </c>
      <c r="B28" s="812"/>
      <c r="C28" s="812"/>
      <c r="D28" s="812"/>
      <c r="E28" s="812"/>
      <c r="F28" s="812"/>
      <c r="G28" s="812"/>
      <c r="H28" s="812"/>
      <c r="I28" s="812"/>
      <c r="J28" s="812"/>
      <c r="K28" s="812"/>
      <c r="L28" s="812"/>
      <c r="M28" s="812"/>
      <c r="N28" s="812"/>
      <c r="P28" s="807"/>
      <c r="Q28" s="807"/>
      <c r="R28" s="807"/>
      <c r="S28" s="808"/>
      <c r="T28" s="807"/>
      <c r="U28" s="807"/>
      <c r="V28" s="808"/>
      <c r="W28" s="809"/>
    </row>
    <row r="29" spans="1:24" s="806" customFormat="1" ht="12.65" customHeight="1">
      <c r="A29" s="814" t="s">
        <v>931</v>
      </c>
      <c r="B29" s="814"/>
      <c r="C29" s="814"/>
      <c r="D29" s="814"/>
      <c r="E29" s="814"/>
      <c r="F29" s="814"/>
      <c r="G29" s="814"/>
      <c r="H29" s="814"/>
      <c r="I29" s="814"/>
      <c r="J29" s="814"/>
      <c r="K29" s="814"/>
      <c r="L29" s="814"/>
      <c r="M29" s="814"/>
      <c r="N29" s="814"/>
      <c r="P29" s="807"/>
      <c r="Q29" s="807"/>
      <c r="R29" s="807"/>
      <c r="S29" s="808"/>
      <c r="T29" s="807"/>
      <c r="U29" s="807"/>
      <c r="V29" s="808"/>
      <c r="W29" s="809"/>
    </row>
    <row r="30" spans="1:24" s="806" customFormat="1" ht="12.65" customHeight="1">
      <c r="A30" s="812" t="s">
        <v>974</v>
      </c>
      <c r="B30" s="815"/>
      <c r="C30" s="815"/>
      <c r="D30" s="815"/>
      <c r="E30" s="815"/>
      <c r="F30" s="815"/>
      <c r="G30" s="815"/>
      <c r="H30" s="815"/>
      <c r="I30" s="815"/>
      <c r="J30" s="815"/>
      <c r="K30" s="815"/>
      <c r="L30" s="815"/>
      <c r="M30" s="815"/>
      <c r="N30" s="815"/>
      <c r="P30" s="807"/>
      <c r="Q30" s="807"/>
      <c r="R30" s="807"/>
      <c r="S30" s="808"/>
      <c r="T30" s="807"/>
      <c r="U30" s="807"/>
      <c r="V30" s="808"/>
      <c r="W30" s="809"/>
    </row>
    <row r="31" spans="1:24" s="806" customFormat="1" ht="12.65" customHeight="1">
      <c r="A31" s="808" t="s">
        <v>975</v>
      </c>
      <c r="P31" s="807"/>
      <c r="Q31" s="807"/>
      <c r="R31" s="807"/>
      <c r="S31" s="808"/>
      <c r="T31" s="807"/>
      <c r="U31" s="807"/>
      <c r="V31" s="808"/>
      <c r="W31" s="809"/>
    </row>
    <row r="32" spans="1:24" s="806" customFormat="1" ht="12.65" customHeight="1">
      <c r="A32" s="808" t="s">
        <v>976</v>
      </c>
      <c r="P32" s="807"/>
      <c r="Q32" s="807"/>
      <c r="R32" s="807"/>
      <c r="S32" s="808"/>
      <c r="T32" s="807"/>
      <c r="U32" s="807"/>
      <c r="V32" s="808"/>
      <c r="W32" s="809"/>
    </row>
    <row r="33" spans="1:23" s="806" customFormat="1" ht="12.65" customHeight="1">
      <c r="A33" s="789" t="s">
        <v>985</v>
      </c>
      <c r="P33" s="807"/>
      <c r="Q33" s="807"/>
      <c r="R33" s="807"/>
      <c r="S33" s="808"/>
      <c r="T33" s="807"/>
      <c r="U33" s="807"/>
      <c r="V33" s="808"/>
      <c r="W33" s="809"/>
    </row>
    <row r="34" spans="1:23" s="705" customFormat="1" ht="12.75" customHeight="1">
      <c r="A34" s="788"/>
      <c r="B34" s="706"/>
      <c r="C34" s="706"/>
      <c r="D34" s="706"/>
      <c r="E34" s="707"/>
    </row>
    <row r="35" spans="1:23" s="705" customFormat="1" ht="12.75" customHeight="1">
      <c r="A35" s="788"/>
      <c r="B35" s="706"/>
      <c r="C35" s="706"/>
      <c r="D35" s="706"/>
      <c r="E35" s="707"/>
    </row>
    <row r="45" spans="1:23">
      <c r="K45" s="34" t="s">
        <v>930</v>
      </c>
    </row>
    <row r="56" spans="1:14">
      <c r="A56" s="42"/>
      <c r="B56" s="42"/>
      <c r="C56" s="42"/>
      <c r="D56" s="42"/>
      <c r="E56" s="42"/>
      <c r="F56" s="42"/>
      <c r="G56" s="42"/>
      <c r="H56" s="42"/>
      <c r="I56" s="42"/>
      <c r="J56" s="42"/>
      <c r="K56" s="42"/>
      <c r="L56" s="42"/>
      <c r="M56" s="42"/>
      <c r="N56" s="42"/>
    </row>
    <row r="59" spans="1:14">
      <c r="A59" s="788" t="s">
        <v>956</v>
      </c>
    </row>
  </sheetData>
  <mergeCells count="2">
    <mergeCell ref="B4:J4"/>
    <mergeCell ref="L4:M4"/>
  </mergeCells>
  <pageMargins left="0.4" right="0.25" top="0.5" bottom="0.25" header="0.25" footer="0.25"/>
  <pageSetup scale="68" orientation="landscape" cellComments="asDisplayed" r:id="rId1"/>
  <headerFooter scaleWithDoc="0">
    <oddHeader>&amp;R&amp;P</oddHeader>
  </headerFooter>
  <rowBreaks count="1" manualBreakCount="1">
    <brk id="57"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50"/>
  <sheetViews>
    <sheetView zoomScaleNormal="100" workbookViewId="0"/>
  </sheetViews>
  <sheetFormatPr defaultColWidth="9.1796875" defaultRowHeight="11.5"/>
  <cols>
    <col min="1" max="1" width="5.7265625" style="139" customWidth="1"/>
    <col min="2" max="2" width="88.81640625" style="139" customWidth="1"/>
    <col min="3" max="3" width="12.54296875" style="139" customWidth="1"/>
    <col min="4" max="4" width="15.26953125" style="139" customWidth="1"/>
    <col min="5" max="5" width="5.26953125" style="139" customWidth="1"/>
    <col min="6" max="16384" width="9.1796875" style="139"/>
  </cols>
  <sheetData>
    <row r="1" spans="1:5" s="138" customFormat="1" ht="14" customHeight="1">
      <c r="A1" s="3" t="s">
        <v>669</v>
      </c>
    </row>
    <row r="2" spans="1:5" ht="5" customHeight="1"/>
    <row r="3" spans="1:5" ht="12.5" customHeight="1">
      <c r="A3" s="16" t="s">
        <v>670</v>
      </c>
    </row>
    <row r="4" spans="1:5" ht="12.5">
      <c r="B4" s="1166" t="str">
        <f>RevExp!A1&amp;" and "&amp;RevExp!A31&amp;" ……………………………………...……………………....………………….……………………………………………………………………….…………………..……………………………..   "</f>
        <v xml:space="preserve">Net Revenue Collections and Department of Taxation General Fund Expenditures ……………………………………...……………………....………………….……………………………………………………………………….…………………..……………………………..   </v>
      </c>
      <c r="E4" s="229">
        <v>3</v>
      </c>
    </row>
    <row r="5" spans="1:5" ht="12.5">
      <c r="B5" s="1166" t="str">
        <f>ByAcct!A1&amp;" ……………………………………...……………………....………………….……………………………………………………………………….…………………..……………………………..   "</f>
        <v xml:space="preserve">Net Revenue Collections After Refunds by Tax Type ……………………………………...……………………....………………….……………………………………………………………………….…………………..……………………………..   </v>
      </c>
      <c r="E5" s="229">
        <v>4</v>
      </c>
    </row>
    <row r="6" spans="1:5" ht="5" customHeight="1"/>
    <row r="7" spans="1:5" ht="12.5" customHeight="1">
      <c r="A7" s="140" t="s">
        <v>3</v>
      </c>
    </row>
    <row r="8" spans="1:5" ht="12.5" customHeight="1">
      <c r="A8" s="139">
        <v>1.1000000000000001</v>
      </c>
      <c r="B8" s="1166" t="str">
        <f>'1.1'!A2&amp;" ……………………………………...……………………....………………….……………………………………………………………………….…………………..……………………………..   "</f>
        <v xml:space="preserve">Individual Income Tax Liability ……………………………………...……………………....………………….……………………………………………………………………….…………………..……………………………..   </v>
      </c>
      <c r="E8" s="229">
        <v>5</v>
      </c>
    </row>
    <row r="9" spans="1:5" ht="12.5" customHeight="1">
      <c r="A9" s="139">
        <v>1.2</v>
      </c>
      <c r="B9" s="1167" t="str">
        <f>'1.2'!A2&amp;" ……………………………………...……………………....………………….……………………………………………………………………….…………………..……………………………..   "</f>
        <v xml:space="preserve">Virginia Adjusted Gross Income, Exemptions, Itemized and Standard Deductions, Total Taxable Income, Total Tax Liability, and Average Tax Rates ……………………………………...……………………....………………….……………………………………………………………………….…………………..……………………………..   </v>
      </c>
      <c r="E9" s="229">
        <v>6</v>
      </c>
    </row>
    <row r="10" spans="1:5" ht="12.5" customHeight="1">
      <c r="A10" s="139">
        <v>1.3</v>
      </c>
      <c r="B10" s="1166" t="str">
        <f>'1.3'!A2&amp;" ……………………………………...……………………....………………….……………………………………………………………………….…………………..……………………………..   "</f>
        <v xml:space="preserve">Number and Class of Returns by Virginia Adjusted Gross Income Class ……………………………………...……………………....………………….……………………………………………………………………….…………………..……………………………..   </v>
      </c>
      <c r="E10" s="229">
        <v>7</v>
      </c>
    </row>
    <row r="11" spans="1:5" ht="12.5" customHeight="1">
      <c r="A11" s="139">
        <v>1.4</v>
      </c>
      <c r="B11" s="1166" t="str">
        <f>'1.4'!A2&amp;" ……………………………………...……………………....………………….……………………………………………………………………….…………………..……………………………..   "</f>
        <v xml:space="preserve">Number and Class of Exemptions by Virginia Adjusted Gross Income Class ……………………………………...……………………....………………….……………………………………………………………………….…………………..……………………………..   </v>
      </c>
      <c r="E11" s="229">
        <v>8</v>
      </c>
    </row>
    <row r="12" spans="1:5" ht="12.5" customHeight="1">
      <c r="A12" s="139">
        <v>1.5</v>
      </c>
      <c r="B12" s="1166" t="str">
        <f>'1.5'!A2&amp;" ……………………………………...……………………....………………….……………………………………………………………………….…………………..……………………………..   "</f>
        <v xml:space="preserve">Virginia Adjusted Gross Income by Locality/Income Level ……………………………………...……………………....………………….……………………………………………………………………….…………………..……………………………..   </v>
      </c>
      <c r="E12" s="229">
        <v>9</v>
      </c>
    </row>
    <row r="13" spans="1:5" ht="12.5" customHeight="1">
      <c r="A13" s="139">
        <v>1.6</v>
      </c>
      <c r="B13" s="1166" t="str">
        <f>'1.6'!A2&amp;" ……………………………………...……………………....………………….……………………………………………………………………….…………………..……………………………..   "</f>
        <v xml:space="preserve">Exemptions, Standard and Itemized Deductions, and Number of Returns by Filing Status/Locality ……………………………………...……………………....………………….……………………………………………………………………….…………………..……………………………..   </v>
      </c>
      <c r="E13" s="229">
        <v>13</v>
      </c>
    </row>
    <row r="14" spans="1:5" ht="12.5" customHeight="1">
      <c r="A14" s="141">
        <v>1.7</v>
      </c>
      <c r="B14" s="1167" t="str">
        <f>'1.7'!A2&amp;" ……………………………………...……………………....………………….……………………………………………………………………….…………………..……………………………..   "</f>
        <v xml:space="preserve">Total Net Taxable Income, Amount Taxed at Each Tax Rate, Total Income Tax Liability by Locality ……………………………………...……………………....………………….……………………………………………………………………….…………………..……………………………..   </v>
      </c>
      <c r="E14" s="229">
        <v>17</v>
      </c>
    </row>
    <row r="15" spans="1:5" ht="12.5" customHeight="1">
      <c r="A15" s="141">
        <v>1.8</v>
      </c>
      <c r="B15" s="1166" t="str">
        <f>'1.8-1.9'!A2&amp;" ……………………………………...……………………....………………….……………………………………………………………………….…………………..……………………………..   "</f>
        <v xml:space="preserve">Set-Off Debt Transferred to Agencies by Taxable Year ……………………………………...……………………....………………….……………………………………………………………………….…………………..……………………………..   </v>
      </c>
      <c r="E15" s="229">
        <v>21</v>
      </c>
    </row>
    <row r="16" spans="1:5" ht="12.5" customHeight="1">
      <c r="A16" s="142">
        <v>1.9</v>
      </c>
      <c r="B16" s="1166" t="str">
        <f>'1.8-1.9'!A26&amp;" ……………………………………...……………………....………………….……………………………………………………………………….…………………..……………………………..   "</f>
        <v xml:space="preserve">Refund Match Totals ……………………………………...……………………....………………….……………………………………………………………………….…………………..……………………………..   </v>
      </c>
      <c r="E16" s="229">
        <v>21</v>
      </c>
    </row>
    <row r="17" spans="1:6" ht="12.5" customHeight="1">
      <c r="A17" s="141" t="s">
        <v>671</v>
      </c>
      <c r="B17" s="1166" t="str">
        <f>'1.10'!A2&amp;" ……………………………………...……………………....………………….……………………………………………………………………….…………………..……………………………..   "</f>
        <v xml:space="preserve">Voluntary Contributions by Taxable Year ……………………………………...……………………....………………….……………………………………………………………………….…………………..……………………………..   </v>
      </c>
      <c r="E17" s="229">
        <v>22</v>
      </c>
    </row>
    <row r="18" spans="1:6" ht="5" customHeight="1"/>
    <row r="19" spans="1:6" ht="12.5" customHeight="1">
      <c r="A19" s="140" t="s">
        <v>672</v>
      </c>
    </row>
    <row r="20" spans="1:6" ht="12.5" customHeight="1">
      <c r="A20" s="139">
        <v>2.1</v>
      </c>
      <c r="B20" s="1166" t="str">
        <f>'2.1'!A2&amp;" ……………………………………...……………………....………………….……………………………………………………………………….…………………..……………………………..   "</f>
        <v xml:space="preserve">Corporate Income Tax Revenue ……………………………………...……………………....………………….……………………………………………………………………….…………………..……………………………..   </v>
      </c>
      <c r="E20" s="229">
        <v>23</v>
      </c>
    </row>
    <row r="21" spans="1:6" ht="12.5" customHeight="1">
      <c r="A21" s="139">
        <v>2.2000000000000002</v>
      </c>
      <c r="B21" s="1166" t="str">
        <f>'2.2'!A2&amp;" ……………………………………...……………………....………………….……………………………………………………………………….…………………..……………………………..   "</f>
        <v xml:space="preserve">Corporate Income Tax:  Number of Returns, Taxable Income, and Tax Liability ……………………………………...……………………....………………….……………………………………………………………………….…………………..……………………………..   </v>
      </c>
      <c r="E21" s="229">
        <v>24</v>
      </c>
    </row>
    <row r="22" spans="1:6" ht="5" customHeight="1"/>
    <row r="23" spans="1:6" ht="12.5" customHeight="1">
      <c r="A23" s="140" t="s">
        <v>673</v>
      </c>
    </row>
    <row r="24" spans="1:6" ht="12.5" customHeight="1">
      <c r="A24" s="139">
        <v>3.1</v>
      </c>
      <c r="B24" s="1166" t="str">
        <f>'3.1'!A2&amp;" ……………………………………...……………………....………………….……………………………………………………………………….…………………..……………………………..   "</f>
        <v xml:space="preserve">Tax Credits:  Individual and Corporate Income Tax, Insurance Premium License Tax, and Bank Franchise Tax ……………………………………...……………………....………………….……………………………………………………………………….…………………..……………………………..   </v>
      </c>
      <c r="E24" s="229">
        <v>25</v>
      </c>
    </row>
    <row r="25" spans="1:6" ht="5" customHeight="1"/>
    <row r="26" spans="1:6" ht="12.5" customHeight="1">
      <c r="A26" s="140" t="s">
        <v>2</v>
      </c>
    </row>
    <row r="27" spans="1:6" ht="12.5" customHeight="1">
      <c r="A27" s="139">
        <v>4.0999999999999996</v>
      </c>
      <c r="B27" s="1166" t="str">
        <f>'4.1'!A2&amp;" ……………………………………...……………………....………………….……………………………………………………………………….…………………..……………………………..   "</f>
        <v xml:space="preserve">State and Local Retail Sales and Use Tax Net Revenue Collections ……………………………………...……………………....………………….……………………………………………………………………….…………………..……………………………..   </v>
      </c>
      <c r="E27" s="229">
        <v>26</v>
      </c>
    </row>
    <row r="28" spans="1:6" ht="12.5" customHeight="1">
      <c r="A28" s="141" t="s">
        <v>674</v>
      </c>
      <c r="B28" s="1166" t="str">
        <f>'4.2'!A2&amp;" ……………………………………...……………………....………………….……………………………………………………………………….…………………..……………………………..   "</f>
        <v xml:space="preserve">Annual Taxable Sales by Industry for the Commonwealth of Virginia by Calendar Year* ……………………………………...……………………....………………….……………………………………………………………………….…………………..……………………………..   </v>
      </c>
      <c r="E28" s="229">
        <v>27</v>
      </c>
    </row>
    <row r="29" spans="1:6" ht="12.5" customHeight="1">
      <c r="A29" s="141" t="s">
        <v>675</v>
      </c>
      <c r="B29" s="1168" t="str">
        <f>'4.3'!A2&amp;" ……………………………………...……………………....………………….……………………………………………………………………….…………………..……………………………..   "</f>
        <v xml:space="preserve">Local Sales Tax Distribution - Fiscal Year 2023 ……………………………………...……………………....………………….……………………………………………………………………….…………………..……………………………..   </v>
      </c>
      <c r="E29" s="229">
        <v>28</v>
      </c>
    </row>
    <row r="30" spans="1:6" ht="5" customHeight="1"/>
    <row r="31" spans="1:6" ht="12.5" customHeight="1">
      <c r="A31" s="140" t="s">
        <v>676</v>
      </c>
    </row>
    <row r="32" spans="1:6" ht="12.5" customHeight="1">
      <c r="A32" s="139">
        <v>5.0999999999999996</v>
      </c>
      <c r="B32" s="1167" t="str">
        <f>'5.1'!A2&amp;" ……………………………………...……………………....………………….……………………………………………………………………….…………………..……………………………..   "</f>
        <v xml:space="preserve">Other Taxes Net Revenue Collections - General Fund ……………………………………...……………………....………………….……………………………………………………………………….…………………..……………………………..   </v>
      </c>
      <c r="E32" s="229">
        <v>30</v>
      </c>
      <c r="F32" s="213"/>
    </row>
    <row r="33" spans="1:5" ht="12.5" customHeight="1">
      <c r="A33" s="139">
        <v>5.2</v>
      </c>
      <c r="B33" s="1166" t="str">
        <f>'5.2'!A2&amp;" ……………………………………...……………………....………………….……………………………………………………………………….…………………..……………………………..   "</f>
        <v xml:space="preserve">Other Taxes Net Revenue Collections - Non-General Fund ……………………………………...……………………....………………….……………………………………………………………………….…………………..……………………………..   </v>
      </c>
      <c r="E33" s="229">
        <v>31</v>
      </c>
    </row>
    <row r="34" spans="1:5" ht="12.5" customHeight="1">
      <c r="A34" s="141" t="s">
        <v>677</v>
      </c>
      <c r="B34" s="1166" t="str">
        <f>'5.3-5.4'!A2&amp;" ……………………………………...……………………....………………….……………………………………………………………………….…………………..……………………………..   "</f>
        <v xml:space="preserve">Bank Franchise Tax Assessment Tax Statement - Fiscal Year 2023 ……………………………………...……………………....………………….……………………………………………………………………….…………………..……………………………..   </v>
      </c>
      <c r="E34" s="229">
        <v>33</v>
      </c>
    </row>
    <row r="35" spans="1:5" ht="12.5" customHeight="1">
      <c r="A35" s="141" t="s">
        <v>678</v>
      </c>
      <c r="B35" s="1166" t="str">
        <f>'5.3-5.4'!A31&amp;" ……………………………………...……………………....………………….……………………………………………………………………….…………………..……………………………..   "</f>
        <v xml:space="preserve">Bank Franchise Tax Net Revenue Collections ……………………………………...……………………....………………….……………………………………………………………………….…………………..……………………………..   </v>
      </c>
      <c r="E35" s="229">
        <v>33</v>
      </c>
    </row>
    <row r="36" spans="1:5" ht="12.5" customHeight="1">
      <c r="A36" s="141" t="s">
        <v>679</v>
      </c>
      <c r="B36" s="1166" t="str">
        <f>'5.5'!A2&amp;" ……………………………………...……………………....………………….……………………………………………………………………….…………………..……………………………..   "</f>
        <v xml:space="preserve">Recordation Tax and Deeds of Conveyance Revenue Collections by Locality  ……………………………………...……………………....………………….……………………………………………………………………….…………………..……………………………..   </v>
      </c>
      <c r="E36" s="229">
        <v>34</v>
      </c>
    </row>
    <row r="37" spans="1:5" ht="12.5" customHeight="1">
      <c r="A37" s="141" t="s">
        <v>680</v>
      </c>
      <c r="B37" s="1168" t="str">
        <f>'5.6'!A2&amp;" ……………………………………...……………………....………………….……………………………………………………………………….…………………..……………………………..   "</f>
        <v xml:space="preserve">Communications Sales Tax Distributions, Fiscal Year 2023 ……………………………………...……………………....………………….……………………………………………………………………….…………………..……………………………..   </v>
      </c>
      <c r="E37" s="229">
        <v>38</v>
      </c>
    </row>
    <row r="38" spans="1:5" ht="12.5" customHeight="1">
      <c r="A38" s="141" t="s">
        <v>716</v>
      </c>
      <c r="B38" s="1166" t="str">
        <f>'5.7'!A2&amp;" ……………………………………...……………………....………………….……………………………………………………………………….…………………..……………………………..   "</f>
        <v xml:space="preserve">Insurance Premiums License Tax: Number of Returns, Taxable Premium Income, and Tax Liability ……………………………………...……………………....………………….……………………………………………………………………….…………………..……………………………..   </v>
      </c>
      <c r="E38" s="229">
        <v>40</v>
      </c>
    </row>
    <row r="39" spans="1:5" ht="5" customHeight="1"/>
    <row r="40" spans="1:5" ht="12.5" customHeight="1">
      <c r="A40" s="16" t="s">
        <v>799</v>
      </c>
    </row>
    <row r="41" spans="1:5" ht="12.5" customHeight="1">
      <c r="A41" s="139">
        <v>6.1</v>
      </c>
      <c r="B41" s="1166" t="str">
        <f>'6.1'!B2:H2&amp;" ……………………………………...……………………....………………….……………………………………………………………………….…………………..……………………………..   "</f>
        <v xml:space="preserve">Assessed Values, Levies Assessed, and Average Tax Rates ……………………………………...……………………....………………….……………………………………………………………………….…………………..……………………………..   </v>
      </c>
      <c r="E41" s="229">
        <v>41</v>
      </c>
    </row>
    <row r="42" spans="1:5" ht="12.5" customHeight="1">
      <c r="A42" s="139">
        <v>6.2</v>
      </c>
      <c r="B42" s="1166" t="str">
        <f>'6.2'!A2&amp;" ……………………………………...……………………....………………….……………………………………………………………………….…………………..……………………………..   "</f>
        <v xml:space="preserve">Real Estate Fair Market Value (FMV), Fair Market Value (Taxable), and Local Levy by Locality - Tax Year 2022 ……………………………………...……………………....………………….……………………………………………………………………….…………………..……………………………..   </v>
      </c>
      <c r="E42" s="229">
        <v>42</v>
      </c>
    </row>
    <row r="43" spans="1:5" ht="12.5" customHeight="1">
      <c r="A43" s="139">
        <v>6.3</v>
      </c>
      <c r="B43" s="1166" t="str">
        <f>'6.3'!A2&amp;" ……………………………………...……………………....………………….……………………………………………………………………….…………………..……………………………..   "</f>
        <v xml:space="preserve">Comparison of Tax Exempt Value to Total Fair Market Value (FMV) of Real Estate by Locality - Tax Year 2022 ……………………………………...……………………....………………….……………………………………………………………………….…………………..……………………………..   </v>
      </c>
      <c r="E43" s="229">
        <v>46</v>
      </c>
    </row>
    <row r="44" spans="1:5" ht="12.5" customHeight="1">
      <c r="A44" s="139">
        <v>6.4</v>
      </c>
      <c r="B44" s="1166" t="str">
        <f>'6.4'!A2&amp;" ……………………………………...……………………....………………….……………………………………………………………………….…………………..……………………………..   "</f>
        <v xml:space="preserve">Tangible Personal Property, Machinery &amp; Tools, Merchants' Capital, and Public Service Corporations:  Assessed Values &amp; Levies by Locality - Tax Year 2022 ……………………………………...……………………....………………….……………………………………………………………………….…………………..……………………………..   </v>
      </c>
      <c r="C44"/>
      <c r="D44"/>
      <c r="E44" s="229">
        <v>50</v>
      </c>
    </row>
    <row r="45" spans="1:5" ht="5" customHeight="1"/>
    <row r="46" spans="1:5" ht="12.5" customHeight="1">
      <c r="A46" s="16" t="s">
        <v>699</v>
      </c>
    </row>
    <row r="47" spans="1:5" ht="12.5" customHeight="1">
      <c r="A47" s="139">
        <v>7.1</v>
      </c>
      <c r="B47" s="1166" t="str">
        <f>'7.1'!A2&amp;" ……………………………………...……………………....………………….……………………………………………………………………….…………………..……………………………..   "</f>
        <v xml:space="preserve">Nonprofit Organization Tax Exemption Annual Report By Fiscal Year  ……………………………………...……………………....………………….……………………………………………………………………….…………………..……………………………..   </v>
      </c>
      <c r="E47" s="842">
        <v>54</v>
      </c>
    </row>
    <row r="48" spans="1:5" ht="5" customHeight="1"/>
    <row r="49" spans="1:5" ht="12.5" customHeight="1">
      <c r="A49" s="16" t="s">
        <v>1011</v>
      </c>
      <c r="E49" s="229">
        <v>55</v>
      </c>
    </row>
    <row r="50" spans="1:5" ht="13">
      <c r="A50" s="140"/>
    </row>
  </sheetData>
  <customSheetViews>
    <customSheetView guid="{E6BBE5A7-0B25-4EE8-BA45-5EA5DBAF3AD4}" showPageBreaks="1" printArea="1">
      <selection activeCell="B33" sqref="B33"/>
      <pageMargins left="0.5" right="0.5" top="0.5" bottom="0.75" header="0.5" footer="0.5"/>
      <printOptions horizontalCentered="1"/>
      <pageSetup scale="91" orientation="landscape" r:id="rId1"/>
      <headerFooter alignWithMargins="0"/>
    </customSheetView>
  </customSheetViews>
  <hyperlinks>
    <hyperlink ref="E49" location="Directory!A1" display="Directory!A1" xr:uid="{00000000-0004-0000-0100-000000000000}"/>
    <hyperlink ref="E47" location="'7.1'!A1" display="'7.1'!A1" xr:uid="{00000000-0004-0000-0100-000001000000}"/>
    <hyperlink ref="E44" location="'6.4'!A1" display="'6.4'!A1" xr:uid="{00000000-0004-0000-0100-000002000000}"/>
    <hyperlink ref="E43" location="'6.3'!A1" display="'6.3'!A1" xr:uid="{00000000-0004-0000-0100-000003000000}"/>
    <hyperlink ref="E42" location="'6.2'!A1" display="'6.2'!A1" xr:uid="{00000000-0004-0000-0100-000004000000}"/>
    <hyperlink ref="E41" location="'6.1'!A1" display="'6.1'!A1" xr:uid="{00000000-0004-0000-0100-000005000000}"/>
    <hyperlink ref="E38" location="'5.7'!A1" display="'5.7'!A1" xr:uid="{00000000-0004-0000-0100-000006000000}"/>
    <hyperlink ref="E37" location="'5.6'!A1" display="'5.6'!A1" xr:uid="{00000000-0004-0000-0100-000007000000}"/>
    <hyperlink ref="E36" location="'5.5'!A1" display="'5.5'!A1" xr:uid="{00000000-0004-0000-0100-000008000000}"/>
    <hyperlink ref="E35" location="'5.3-5.4'!A1" display="'5.3-5.4'!A1" xr:uid="{00000000-0004-0000-0100-000009000000}"/>
    <hyperlink ref="E34" location="'5.3-5.4'!A1" display="'5.3-5.4'!A1" xr:uid="{00000000-0004-0000-0100-00000A000000}"/>
    <hyperlink ref="E33" location="'5.2'!A1" display="'5.2'!A1" xr:uid="{00000000-0004-0000-0100-00000B000000}"/>
    <hyperlink ref="E32" location="'5.1'!A1" display="'5.1'!A1" xr:uid="{00000000-0004-0000-0100-00000C000000}"/>
    <hyperlink ref="E29" location="'4.3'!A1" display="'4.3'!A1" xr:uid="{00000000-0004-0000-0100-00000D000000}"/>
    <hyperlink ref="E28" location="'4.2'!A1" display="'4.2'!A1" xr:uid="{00000000-0004-0000-0100-00000E000000}"/>
    <hyperlink ref="E27" location="'4.1'!A1" display="'4.1'!A1" xr:uid="{00000000-0004-0000-0100-00000F000000}"/>
    <hyperlink ref="E24" location="'3.1'!A1" display="'3.1'!A1" xr:uid="{00000000-0004-0000-0100-000010000000}"/>
    <hyperlink ref="E21" location="'2.2'!A1" display="'2.2'!A1" xr:uid="{00000000-0004-0000-0100-000011000000}"/>
    <hyperlink ref="E20" location="'2.1'!A1" display="'2.1'!A1" xr:uid="{00000000-0004-0000-0100-000012000000}"/>
    <hyperlink ref="E17" location="'1.10'!A1" display="'1.10'!A1" xr:uid="{00000000-0004-0000-0100-000013000000}"/>
    <hyperlink ref="E16" location="'1.8-1.9'!A1" display="'1.8-1.9'!A1" xr:uid="{00000000-0004-0000-0100-000014000000}"/>
    <hyperlink ref="E15" location="'1.8-1.9'!A1" display="'1.8-1.9'!A1" xr:uid="{00000000-0004-0000-0100-000015000000}"/>
    <hyperlink ref="E14" location="'1.7'!A1" display="'1.7'!A1" xr:uid="{00000000-0004-0000-0100-000016000000}"/>
    <hyperlink ref="E13" location="'1.6'!A1" display="'1.6'!A1" xr:uid="{00000000-0004-0000-0100-000017000000}"/>
    <hyperlink ref="E12" location="'1.5'!A1" display="'1.5'!A1" xr:uid="{00000000-0004-0000-0100-000018000000}"/>
    <hyperlink ref="E11" location="'1.4'!A1" display="'1.4'!A1" xr:uid="{00000000-0004-0000-0100-000019000000}"/>
    <hyperlink ref="E10" location="'1.3'!A1" display="'1.3'!A1" xr:uid="{00000000-0004-0000-0100-00001A000000}"/>
    <hyperlink ref="E9" location="'1.2'!A1" display="'1.2'!A1" xr:uid="{00000000-0004-0000-0100-00001B000000}"/>
    <hyperlink ref="E8" location="'1.1'!A1" display="'1.1'!A1" xr:uid="{00000000-0004-0000-0100-00001C000000}"/>
    <hyperlink ref="E5" location="ByAcct!A1" display="ByAcct!A1" xr:uid="{00000000-0004-0000-0100-00001D000000}"/>
    <hyperlink ref="E4" location="RevExp!A1" display="RevExp!A1" xr:uid="{00000000-0004-0000-0100-00001E000000}"/>
  </hyperlinks>
  <pageMargins left="0.6" right="0.25" top="0.5" bottom="0.25" header="0.25" footer="0"/>
  <pageSetup orientation="landscape" r:id="rId2"/>
  <headerFooter alignWithMargins="0"/>
  <ignoredErrors>
    <ignoredError sqref="A17 A34:A37 A28:A29"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abColor rgb="FFC00000"/>
    <pageSetUpPr fitToPage="1"/>
  </sheetPr>
  <dimension ref="A1:AC56"/>
  <sheetViews>
    <sheetView defaultGridColor="0" colorId="22" zoomScale="90" zoomScaleNormal="90" workbookViewId="0">
      <selection activeCell="N14" sqref="N14"/>
    </sheetView>
  </sheetViews>
  <sheetFormatPr defaultColWidth="15.1796875" defaultRowHeight="15.5"/>
  <cols>
    <col min="1" max="1" width="12.7265625" style="34" customWidth="1"/>
    <col min="2" max="3" width="16.7265625" style="34" customWidth="1"/>
    <col min="4" max="4" width="14.7265625" style="34" hidden="1" customWidth="1"/>
    <col min="5" max="5" width="17.7265625" style="34" hidden="1" customWidth="1"/>
    <col min="6" max="6" width="16.7265625" style="34" hidden="1" customWidth="1"/>
    <col min="7" max="7" width="14.7265625" style="34" hidden="1" customWidth="1"/>
    <col min="8" max="9" width="14.7265625" style="34" customWidth="1"/>
    <col min="10" max="10" width="13.7265625" style="34" customWidth="1"/>
    <col min="11" max="11" width="14.7265625" style="34" customWidth="1"/>
    <col min="12" max="12" width="13.7265625" style="34" customWidth="1"/>
    <col min="13" max="14" width="16.7265625" style="34" customWidth="1"/>
    <col min="15" max="15" width="17.7265625" style="34" customWidth="1"/>
    <col min="16" max="16" width="16.7265625" style="34" customWidth="1"/>
    <col min="17" max="17" width="8.7265625" style="34" customWidth="1"/>
    <col min="18" max="18" width="4.453125" style="621" bestFit="1" customWidth="1"/>
    <col min="19" max="20" width="11.54296875" style="621" customWidth="1"/>
    <col min="21" max="21" width="7.7265625" style="622" customWidth="1"/>
    <col min="22" max="22" width="1.7265625" style="621" customWidth="1"/>
    <col min="23" max="23" width="17.81640625" style="621" bestFit="1" customWidth="1"/>
    <col min="24" max="24" width="7.7265625" style="622" customWidth="1"/>
    <col min="25" max="25" width="7.7265625" style="596" customWidth="1"/>
    <col min="26" max="16384" width="15.1796875" style="34"/>
  </cols>
  <sheetData>
    <row r="1" spans="1:29" ht="17.149999999999999" customHeight="1">
      <c r="A1" s="360" t="s">
        <v>176</v>
      </c>
      <c r="B1" s="816"/>
      <c r="C1" s="816"/>
      <c r="D1" s="816"/>
      <c r="E1" s="817"/>
      <c r="F1" s="817"/>
      <c r="Q1" s="855" t="s">
        <v>984</v>
      </c>
    </row>
    <row r="2" spans="1:29" ht="15" customHeight="1">
      <c r="A2" s="35" t="s">
        <v>45</v>
      </c>
      <c r="F2" s="817"/>
    </row>
    <row r="3" spans="1:29" ht="6" customHeight="1" thickBot="1">
      <c r="A3" s="216"/>
      <c r="B3" s="36"/>
      <c r="C3" s="36"/>
      <c r="D3" s="36"/>
      <c r="E3" s="36"/>
      <c r="F3" s="36"/>
      <c r="G3" s="36"/>
      <c r="H3" s="36"/>
      <c r="I3" s="36"/>
      <c r="J3" s="36"/>
      <c r="K3" s="36"/>
      <c r="L3" s="36"/>
      <c r="M3" s="36"/>
      <c r="N3" s="36"/>
      <c r="O3" s="36"/>
      <c r="P3" s="36"/>
      <c r="Q3" s="37"/>
    </row>
    <row r="4" spans="1:29" ht="15" customHeight="1">
      <c r="A4" s="41"/>
      <c r="B4" s="880" t="s">
        <v>46</v>
      </c>
      <c r="C4" s="880"/>
      <c r="D4" s="880"/>
      <c r="E4" s="881"/>
      <c r="F4" s="881"/>
      <c r="G4" s="881"/>
      <c r="H4" s="881"/>
      <c r="I4" s="881"/>
      <c r="J4" s="881"/>
      <c r="K4" s="881"/>
      <c r="L4" s="881"/>
      <c r="M4" s="41"/>
      <c r="N4" s="880" t="s">
        <v>47</v>
      </c>
      <c r="O4" s="880"/>
      <c r="P4" s="41"/>
      <c r="Q4" s="37"/>
    </row>
    <row r="5" spans="1:29" ht="39" customHeight="1" thickBot="1">
      <c r="A5" s="882" t="s">
        <v>926</v>
      </c>
      <c r="B5" s="882" t="s">
        <v>921</v>
      </c>
      <c r="C5" s="616" t="s">
        <v>1008</v>
      </c>
      <c r="D5" s="616"/>
      <c r="E5" s="616"/>
      <c r="F5" s="616"/>
      <c r="G5" s="616"/>
      <c r="H5" s="882" t="s">
        <v>919</v>
      </c>
      <c r="I5" s="882" t="s">
        <v>920</v>
      </c>
      <c r="J5" s="882" t="s">
        <v>918</v>
      </c>
      <c r="K5" s="882" t="s">
        <v>917</v>
      </c>
      <c r="L5" s="882" t="s">
        <v>1009</v>
      </c>
      <c r="M5" s="616" t="s">
        <v>922</v>
      </c>
      <c r="N5" s="882" t="s">
        <v>923</v>
      </c>
      <c r="O5" s="882" t="s">
        <v>924</v>
      </c>
      <c r="P5" s="882" t="s">
        <v>925</v>
      </c>
      <c r="Q5" s="37"/>
      <c r="Y5" s="620"/>
      <c r="Z5" s="34" t="s">
        <v>5</v>
      </c>
      <c r="AA5" s="34" t="s">
        <v>927</v>
      </c>
      <c r="AB5" s="34" t="s">
        <v>928</v>
      </c>
      <c r="AC5" s="34" t="s">
        <v>929</v>
      </c>
    </row>
    <row r="6" spans="1:29" hidden="1">
      <c r="A6" s="883">
        <v>2011</v>
      </c>
      <c r="B6" s="875">
        <v>3012379000</v>
      </c>
      <c r="C6" s="876">
        <f>SUM('4.1'!D6:G6)</f>
        <v>477329000</v>
      </c>
      <c r="D6" s="875"/>
      <c r="E6" s="877"/>
      <c r="F6" s="877"/>
      <c r="G6" s="877"/>
      <c r="H6" s="877" t="s">
        <v>48</v>
      </c>
      <c r="I6" s="877" t="s">
        <v>48</v>
      </c>
      <c r="J6" s="875"/>
      <c r="K6" s="875"/>
      <c r="L6" s="878"/>
      <c r="M6" s="879">
        <f t="shared" ref="M6:M15" si="0">SUM(B6:C6,H6:L6)</f>
        <v>3489708000</v>
      </c>
      <c r="N6" s="875">
        <v>1010205000</v>
      </c>
      <c r="O6" s="875">
        <v>204027000</v>
      </c>
      <c r="P6" s="879">
        <v>4762261000</v>
      </c>
      <c r="Q6" s="40"/>
      <c r="U6" s="623"/>
      <c r="X6" s="623"/>
      <c r="Y6" s="597"/>
      <c r="Z6" s="208"/>
    </row>
    <row r="7" spans="1:29" ht="21" customHeight="1">
      <c r="A7" s="883">
        <v>2012</v>
      </c>
      <c r="B7" s="875">
        <v>3121503000</v>
      </c>
      <c r="C7" s="876">
        <f>SUM('4.1'!D7:G7)</f>
        <v>503070000</v>
      </c>
      <c r="D7" s="875"/>
      <c r="E7" s="877"/>
      <c r="F7" s="877"/>
      <c r="G7" s="877"/>
      <c r="H7" s="877" t="s">
        <v>48</v>
      </c>
      <c r="I7" s="877" t="s">
        <v>48</v>
      </c>
      <c r="J7" s="875"/>
      <c r="K7" s="875"/>
      <c r="L7" s="878"/>
      <c r="M7" s="879">
        <f t="shared" si="0"/>
        <v>3624573000</v>
      </c>
      <c r="N7" s="875">
        <v>1052522000</v>
      </c>
      <c r="O7" s="875">
        <v>214098000</v>
      </c>
      <c r="P7" s="879">
        <f t="shared" ref="P7:P13" si="1">SUM(M7:O7)</f>
        <v>4891193000</v>
      </c>
      <c r="Q7" s="40"/>
      <c r="R7" s="627"/>
      <c r="U7" s="623"/>
      <c r="X7" s="623"/>
      <c r="Y7" s="597"/>
      <c r="Z7" s="598">
        <f t="shared" ref="Z7:Z16" si="2">B7/B6-1</f>
        <v>3.6225189459891949E-2</v>
      </c>
      <c r="AA7" s="598">
        <f t="shared" ref="AA7:AB16" si="3">M7/M6-1</f>
        <v>3.8646499936384471E-2</v>
      </c>
      <c r="AB7" s="598">
        <f t="shared" si="3"/>
        <v>4.1889517474176019E-2</v>
      </c>
      <c r="AC7" s="598">
        <f t="shared" ref="AC7:AC15" si="4">P7/P6-1</f>
        <v>2.7073694616905675E-2</v>
      </c>
    </row>
    <row r="8" spans="1:29" ht="15" customHeight="1">
      <c r="A8" s="883">
        <v>2013</v>
      </c>
      <c r="B8" s="865">
        <v>3219798000</v>
      </c>
      <c r="C8" s="871">
        <f>SUM('4.1'!D8:G8)</f>
        <v>521180000</v>
      </c>
      <c r="D8" s="865"/>
      <c r="E8" s="867"/>
      <c r="F8" s="867"/>
      <c r="G8" s="867"/>
      <c r="H8" s="867" t="s">
        <v>48</v>
      </c>
      <c r="I8" s="867" t="s">
        <v>48</v>
      </c>
      <c r="J8" s="865"/>
      <c r="K8" s="865"/>
      <c r="L8" s="866"/>
      <c r="M8" s="868">
        <f t="shared" si="0"/>
        <v>3740978000</v>
      </c>
      <c r="N8" s="865">
        <v>1089743000</v>
      </c>
      <c r="O8" s="865">
        <v>221396000</v>
      </c>
      <c r="P8" s="868">
        <f t="shared" si="1"/>
        <v>5052117000</v>
      </c>
      <c r="Q8" s="40"/>
      <c r="R8" s="627"/>
      <c r="U8" s="623"/>
      <c r="X8" s="623"/>
      <c r="Y8" s="597"/>
      <c r="Z8" s="598">
        <f t="shared" si="2"/>
        <v>3.1489638164691858E-2</v>
      </c>
      <c r="AA8" s="598">
        <f t="shared" si="3"/>
        <v>3.2115507123183784E-2</v>
      </c>
      <c r="AB8" s="598">
        <f t="shared" si="3"/>
        <v>3.5363631354023983E-2</v>
      </c>
      <c r="AC8" s="598">
        <f t="shared" si="4"/>
        <v>3.2900766745454613E-2</v>
      </c>
    </row>
    <row r="9" spans="1:29" ht="15" customHeight="1">
      <c r="A9" s="883">
        <v>2014</v>
      </c>
      <c r="B9" s="872">
        <v>3066456000</v>
      </c>
      <c r="C9" s="871">
        <f>SUM('4.1'!D9:G9)</f>
        <v>788007000</v>
      </c>
      <c r="D9" s="872"/>
      <c r="E9" s="867"/>
      <c r="F9" s="867"/>
      <c r="G9" s="867"/>
      <c r="H9" s="867">
        <v>203933000</v>
      </c>
      <c r="I9" s="867">
        <v>107424000</v>
      </c>
      <c r="J9" s="872"/>
      <c r="K9" s="872"/>
      <c r="L9" s="866"/>
      <c r="M9" s="868">
        <f t="shared" si="0"/>
        <v>4165820000</v>
      </c>
      <c r="N9" s="872">
        <v>1094794000</v>
      </c>
      <c r="O9" s="872">
        <v>334030000</v>
      </c>
      <c r="P9" s="868">
        <f t="shared" si="1"/>
        <v>5594644000</v>
      </c>
      <c r="Q9" s="40"/>
      <c r="R9" s="627"/>
      <c r="U9" s="623"/>
      <c r="X9" s="623"/>
      <c r="Y9" s="597"/>
      <c r="Z9" s="598">
        <f t="shared" si="2"/>
        <v>-4.7624726768573655E-2</v>
      </c>
      <c r="AA9" s="598">
        <f t="shared" si="3"/>
        <v>0.11356442085465357</v>
      </c>
      <c r="AB9" s="598">
        <f t="shared" si="3"/>
        <v>4.6350378024910821E-3</v>
      </c>
      <c r="AC9" s="598">
        <f t="shared" si="4"/>
        <v>0.10738607201693862</v>
      </c>
    </row>
    <row r="10" spans="1:29" ht="15" customHeight="1">
      <c r="A10" s="883">
        <v>2015</v>
      </c>
      <c r="B10" s="872">
        <v>3235444000</v>
      </c>
      <c r="C10" s="871">
        <f>SUM('4.1'!D10:G10)</f>
        <v>994855000</v>
      </c>
      <c r="D10" s="872"/>
      <c r="E10" s="867"/>
      <c r="F10" s="867"/>
      <c r="G10" s="867"/>
      <c r="H10" s="867">
        <v>246324000</v>
      </c>
      <c r="I10" s="867">
        <v>129918000</v>
      </c>
      <c r="J10" s="872"/>
      <c r="K10" s="872"/>
      <c r="L10" s="866"/>
      <c r="M10" s="868">
        <f t="shared" si="0"/>
        <v>4606541000</v>
      </c>
      <c r="N10" s="872">
        <v>1143330000</v>
      </c>
      <c r="O10" s="872">
        <v>352406000</v>
      </c>
      <c r="P10" s="868">
        <f t="shared" si="1"/>
        <v>6102277000</v>
      </c>
      <c r="Q10" s="40"/>
      <c r="R10" s="627"/>
      <c r="U10" s="623"/>
      <c r="X10" s="623"/>
      <c r="Y10" s="597"/>
      <c r="Z10" s="598">
        <f t="shared" si="2"/>
        <v>5.5108568327737251E-2</v>
      </c>
      <c r="AA10" s="598">
        <f t="shared" si="3"/>
        <v>0.10579453745000977</v>
      </c>
      <c r="AB10" s="598">
        <f t="shared" si="3"/>
        <v>4.4333454512903714E-2</v>
      </c>
      <c r="AC10" s="598">
        <f t="shared" si="4"/>
        <v>9.0735532055301382E-2</v>
      </c>
    </row>
    <row r="11" spans="1:29" ht="15" customHeight="1">
      <c r="A11" s="883">
        <v>2016</v>
      </c>
      <c r="B11" s="872">
        <v>3295853000</v>
      </c>
      <c r="C11" s="871">
        <f>SUM('4.1'!D11:G11)</f>
        <v>1000563000</v>
      </c>
      <c r="D11" s="872"/>
      <c r="E11" s="867"/>
      <c r="F11" s="867"/>
      <c r="G11" s="867"/>
      <c r="H11" s="867">
        <v>237314000</v>
      </c>
      <c r="I11" s="867">
        <v>126537000</v>
      </c>
      <c r="J11" s="872"/>
      <c r="K11" s="872"/>
      <c r="L11" s="866"/>
      <c r="M11" s="868">
        <f t="shared" si="0"/>
        <v>4660267000</v>
      </c>
      <c r="N11" s="872">
        <v>1188704000</v>
      </c>
      <c r="O11" s="872">
        <v>355547000</v>
      </c>
      <c r="P11" s="868">
        <f t="shared" si="1"/>
        <v>6204518000</v>
      </c>
      <c r="Q11" s="40"/>
      <c r="R11" s="627"/>
      <c r="U11" s="623"/>
      <c r="X11" s="623"/>
      <c r="Y11" s="597"/>
      <c r="Z11" s="598">
        <f t="shared" si="2"/>
        <v>1.8671007750404645E-2</v>
      </c>
      <c r="AA11" s="598">
        <f t="shared" si="3"/>
        <v>1.1662980965544412E-2</v>
      </c>
      <c r="AB11" s="598">
        <f t="shared" si="3"/>
        <v>3.9685829987842425E-2</v>
      </c>
      <c r="AC11" s="598">
        <f t="shared" si="4"/>
        <v>1.6754565549875977E-2</v>
      </c>
    </row>
    <row r="12" spans="1:29" ht="15" customHeight="1">
      <c r="A12" s="883">
        <v>2017</v>
      </c>
      <c r="B12" s="872">
        <f>ROUND(3357064365.72,-3)+3354561000*0</f>
        <v>3357064000</v>
      </c>
      <c r="C12" s="871">
        <f>SUM('4.1'!D12:G12)</f>
        <v>1020359000</v>
      </c>
      <c r="D12" s="872"/>
      <c r="E12" s="867"/>
      <c r="F12" s="867"/>
      <c r="G12" s="867"/>
      <c r="H12" s="867">
        <v>251601000</v>
      </c>
      <c r="I12" s="867">
        <v>131472000</v>
      </c>
      <c r="J12" s="872"/>
      <c r="K12" s="872"/>
      <c r="L12" s="866"/>
      <c r="M12" s="868">
        <f t="shared" si="0"/>
        <v>4760496000</v>
      </c>
      <c r="N12" s="872">
        <v>1213929000</v>
      </c>
      <c r="O12" s="872">
        <v>365878000</v>
      </c>
      <c r="P12" s="868">
        <f t="shared" si="1"/>
        <v>6340303000</v>
      </c>
      <c r="Q12" s="40"/>
      <c r="R12" s="630"/>
      <c r="S12" s="631" t="s">
        <v>936</v>
      </c>
      <c r="T12" s="632"/>
      <c r="U12" s="633"/>
      <c r="V12" s="629"/>
      <c r="W12" s="628"/>
      <c r="Y12" s="597"/>
      <c r="Z12" s="598">
        <f t="shared" si="2"/>
        <v>1.8572126851531312E-2</v>
      </c>
      <c r="AA12" s="598">
        <f t="shared" si="3"/>
        <v>2.1507136822847217E-2</v>
      </c>
      <c r="AB12" s="598">
        <f t="shared" si="3"/>
        <v>2.1220589818827795E-2</v>
      </c>
      <c r="AC12" s="598">
        <f t="shared" si="4"/>
        <v>2.1884858743257629E-2</v>
      </c>
    </row>
    <row r="13" spans="1:29" ht="15" customHeight="1">
      <c r="A13" s="883">
        <v>2018</v>
      </c>
      <c r="B13" s="869">
        <f>ROUND(3461771752.8,-3)+3458249000*0</f>
        <v>3461772000</v>
      </c>
      <c r="C13" s="871">
        <f>SUM('4.1'!D13:G13)</f>
        <v>1043806000</v>
      </c>
      <c r="D13" s="869"/>
      <c r="E13" s="867"/>
      <c r="F13" s="867"/>
      <c r="G13" s="867"/>
      <c r="H13" s="867">
        <v>256443000</v>
      </c>
      <c r="I13" s="867">
        <v>137059000</v>
      </c>
      <c r="J13" s="869"/>
      <c r="K13" s="869"/>
      <c r="L13" s="870"/>
      <c r="M13" s="868">
        <f t="shared" si="0"/>
        <v>4899080000</v>
      </c>
      <c r="N13" s="872">
        <v>1243480000</v>
      </c>
      <c r="O13" s="869">
        <v>376561000</v>
      </c>
      <c r="P13" s="868">
        <f t="shared" si="1"/>
        <v>6519121000</v>
      </c>
      <c r="Q13" s="40"/>
      <c r="R13" s="634" t="s">
        <v>935</v>
      </c>
      <c r="S13" s="634" t="s">
        <v>933</v>
      </c>
      <c r="T13" s="634" t="s">
        <v>934</v>
      </c>
      <c r="U13" s="635" t="s">
        <v>932</v>
      </c>
      <c r="V13" s="626"/>
      <c r="W13" s="626" t="s">
        <v>937</v>
      </c>
      <c r="X13" s="625" t="s">
        <v>932</v>
      </c>
      <c r="Y13" s="597"/>
      <c r="Z13" s="598">
        <f t="shared" si="2"/>
        <v>3.1190349662681527E-2</v>
      </c>
      <c r="AA13" s="598">
        <f t="shared" si="3"/>
        <v>2.9111252272872479E-2</v>
      </c>
      <c r="AB13" s="598">
        <f t="shared" si="3"/>
        <v>2.4343268840269827E-2</v>
      </c>
      <c r="AC13" s="598">
        <f t="shared" si="4"/>
        <v>2.8203383970766049E-2</v>
      </c>
    </row>
    <row r="14" spans="1:29" ht="15" customHeight="1">
      <c r="A14" s="883">
        <v>2019</v>
      </c>
      <c r="B14" s="869">
        <v>3580355000</v>
      </c>
      <c r="C14" s="871">
        <f>SUM('4.1'!D14:G14)</f>
        <v>1087842000</v>
      </c>
      <c r="D14" s="869"/>
      <c r="E14" s="873"/>
      <c r="F14" s="873"/>
      <c r="G14" s="873"/>
      <c r="H14" s="873">
        <f>ROUND(263033838.77,-3)</f>
        <v>263034000</v>
      </c>
      <c r="I14" s="873">
        <f>ROUND(139641901.73,-3)</f>
        <v>139642000</v>
      </c>
      <c r="J14" s="869">
        <v>20358000</v>
      </c>
      <c r="K14" s="869"/>
      <c r="L14" s="864"/>
      <c r="M14" s="868">
        <f t="shared" si="0"/>
        <v>5091231000</v>
      </c>
      <c r="N14" s="872">
        <v>1292804000</v>
      </c>
      <c r="O14" s="869">
        <v>392605000</v>
      </c>
      <c r="P14" s="868">
        <f>SUM(M14:O14)</f>
        <v>6776640000</v>
      </c>
      <c r="Q14" s="40"/>
      <c r="R14" s="636">
        <v>2019</v>
      </c>
      <c r="S14" s="630">
        <f>P14</f>
        <v>6776640000</v>
      </c>
      <c r="T14" s="630">
        <v>6764132129.4500237</v>
      </c>
      <c r="U14" s="637">
        <f>P14/T14-1</f>
        <v>1.8491463961087806E-3</v>
      </c>
      <c r="W14" s="621">
        <v>6409139000</v>
      </c>
      <c r="X14" s="624">
        <f>W14/T14-1</f>
        <v>-5.2481696492065355E-2</v>
      </c>
      <c r="Y14" s="597"/>
      <c r="Z14" s="598">
        <f t="shared" si="2"/>
        <v>3.4255000040441796E-2</v>
      </c>
      <c r="AA14" s="598">
        <f t="shared" si="3"/>
        <v>3.9221853899099379E-2</v>
      </c>
      <c r="AB14" s="598">
        <f t="shared" si="3"/>
        <v>3.9666098369093294E-2</v>
      </c>
      <c r="AC14" s="598">
        <f t="shared" si="4"/>
        <v>3.9502104654906667E-2</v>
      </c>
    </row>
    <row r="15" spans="1:29" ht="15" customHeight="1">
      <c r="A15" s="883">
        <v>2020</v>
      </c>
      <c r="B15" s="869">
        <f>ROUND(2683258.31+208033441.59+53040341.29+3169525635.96+-34441737.4+2478935.49+173593188.29+-5477492.26+540921001.82+-406044118.99+132233.73+2033538.76+338923.1,-3)</f>
        <v>3706817000</v>
      </c>
      <c r="C15" s="871">
        <f>SUM('4.1'!D15:G15)</f>
        <v>1123440000</v>
      </c>
      <c r="D15" s="869"/>
      <c r="E15" s="873"/>
      <c r="F15" s="873"/>
      <c r="G15" s="873"/>
      <c r="H15" s="873">
        <f>ROUND(268751277.28,-3)</f>
        <v>268751000</v>
      </c>
      <c r="I15" s="873">
        <f>ROUND(142869323.15,-3)</f>
        <v>142869000</v>
      </c>
      <c r="J15" s="869">
        <f>ROUND(11366680.58+11364295.82,-3)</f>
        <v>22731000</v>
      </c>
      <c r="K15" s="869"/>
      <c r="L15" s="864"/>
      <c r="M15" s="868">
        <f t="shared" si="0"/>
        <v>5264608000</v>
      </c>
      <c r="N15" s="872">
        <f>ROUND(1358988340.78,-3)</f>
        <v>1358988000</v>
      </c>
      <c r="O15" s="869">
        <f>ROUND(406044118.99,-3)</f>
        <v>406044000</v>
      </c>
      <c r="P15" s="868">
        <f>SUM(M15:O15)</f>
        <v>7029640000</v>
      </c>
      <c r="Q15" s="40"/>
      <c r="R15" s="636">
        <v>2020</v>
      </c>
      <c r="S15" s="630">
        <f t="shared" ref="S15:S16" si="5">P15</f>
        <v>7029640000</v>
      </c>
      <c r="T15" s="630">
        <v>6965941756.3400993</v>
      </c>
      <c r="U15" s="637">
        <f t="shared" ref="U15:U16" si="6">P15/T15-1</f>
        <v>9.1442400594183848E-3</v>
      </c>
      <c r="W15" s="621">
        <v>6921512000</v>
      </c>
      <c r="X15" s="624">
        <f>W15/T15-1</f>
        <v>-6.3781406583913736E-3</v>
      </c>
      <c r="Y15" s="597"/>
      <c r="Z15" s="598">
        <f t="shared" si="2"/>
        <v>3.5321078496405978E-2</v>
      </c>
      <c r="AA15" s="598">
        <f t="shared" si="3"/>
        <v>3.4054043118452171E-2</v>
      </c>
      <c r="AB15" s="598">
        <f t="shared" si="3"/>
        <v>5.1194148532956341E-2</v>
      </c>
      <c r="AC15" s="598">
        <f t="shared" si="4"/>
        <v>3.7334136091042192E-2</v>
      </c>
    </row>
    <row r="16" spans="1:29" ht="15" customHeight="1">
      <c r="A16" s="883">
        <v>2021</v>
      </c>
      <c r="B16" s="869">
        <f>ROUND(4166181778.91,-3)</f>
        <v>4166182000</v>
      </c>
      <c r="C16" s="870">
        <f>ROUND(883351323.76+381740948.12+415199.89+627216.85,-3)</f>
        <v>1266135000</v>
      </c>
      <c r="D16" s="873"/>
      <c r="E16" s="873"/>
      <c r="F16" s="873"/>
      <c r="G16" s="873"/>
      <c r="H16" s="873">
        <f>ROUND(286169787.36,-3)</f>
        <v>286170000</v>
      </c>
      <c r="I16" s="873">
        <f>ROUND(168804319.76,-3)</f>
        <v>168804000</v>
      </c>
      <c r="J16" s="869">
        <f>ROUND(11485184.74+11483982.06,-3)</f>
        <v>22969000</v>
      </c>
      <c r="K16" s="869">
        <f>ROUND(89337245.13,-3)</f>
        <v>89337000</v>
      </c>
      <c r="L16" s="871">
        <f>ROUND(2371114.51+318246.64,-3)</f>
        <v>2689000</v>
      </c>
      <c r="M16" s="868">
        <f>SUM(B16:C16,H16:L16)</f>
        <v>6002286000</v>
      </c>
      <c r="N16" s="872">
        <f>ROUND(1477201024.21,-3)</f>
        <v>1477201000</v>
      </c>
      <c r="O16" s="869">
        <f>ROUND(458362738.92,-3)</f>
        <v>458363000</v>
      </c>
      <c r="P16" s="868">
        <f>SUM(M16:O16)</f>
        <v>7937850000</v>
      </c>
      <c r="Q16" s="40"/>
      <c r="R16" s="636">
        <v>2021</v>
      </c>
      <c r="S16" s="630">
        <f t="shared" si="5"/>
        <v>7937850000</v>
      </c>
      <c r="T16" s="630">
        <v>7924865481.6600456</v>
      </c>
      <c r="U16" s="637">
        <f t="shared" si="6"/>
        <v>1.6384528380959384E-3</v>
      </c>
      <c r="X16" s="624"/>
      <c r="Y16" s="597"/>
      <c r="Z16" s="598">
        <f t="shared" si="2"/>
        <v>0.12392438040507536</v>
      </c>
      <c r="AA16" s="598">
        <f t="shared" si="3"/>
        <v>0.14012021407861708</v>
      </c>
      <c r="AB16" s="598">
        <f t="shared" si="3"/>
        <v>8.6986051385295582E-2</v>
      </c>
      <c r="AC16" s="598">
        <f>P16/P15-1</f>
        <v>0.12919722773854714</v>
      </c>
    </row>
    <row r="17" spans="1:26" s="526" customFormat="1" ht="6" customHeight="1">
      <c r="A17" s="884"/>
      <c r="B17" s="525">
        <f>B16/B14-1</f>
        <v>0.16362260166938758</v>
      </c>
      <c r="C17" s="525"/>
      <c r="D17" s="525" t="e">
        <f t="shared" ref="D17:P17" si="7">D16/D14-1</f>
        <v>#DIV/0!</v>
      </c>
      <c r="E17" s="525" t="e">
        <f t="shared" si="7"/>
        <v>#DIV/0!</v>
      </c>
      <c r="F17" s="525" t="e">
        <f t="shared" si="7"/>
        <v>#DIV/0!</v>
      </c>
      <c r="G17" s="525" t="e">
        <f t="shared" si="7"/>
        <v>#DIV/0!</v>
      </c>
      <c r="H17" s="525">
        <f t="shared" si="7"/>
        <v>8.7958210725609609E-2</v>
      </c>
      <c r="I17" s="525">
        <f t="shared" si="7"/>
        <v>0.20883401841852733</v>
      </c>
      <c r="J17" s="525">
        <f t="shared" si="7"/>
        <v>0.12825424894390403</v>
      </c>
      <c r="K17" s="525" t="e">
        <f t="shared" si="7"/>
        <v>#DIV/0!</v>
      </c>
      <c r="L17" s="525" t="e">
        <f t="shared" si="7"/>
        <v>#DIV/0!</v>
      </c>
      <c r="M17" s="525">
        <f t="shared" si="7"/>
        <v>0.17894591700906903</v>
      </c>
      <c r="N17" s="525">
        <f t="shared" si="7"/>
        <v>0.14263337675316601</v>
      </c>
      <c r="O17" s="525">
        <f t="shared" si="7"/>
        <v>0.16749149908941563</v>
      </c>
      <c r="P17" s="525">
        <f t="shared" si="7"/>
        <v>0.17135483071256541</v>
      </c>
      <c r="R17" s="621"/>
      <c r="S17" s="621"/>
      <c r="T17" s="621"/>
      <c r="U17" s="622"/>
      <c r="V17" s="621"/>
      <c r="W17" s="621"/>
      <c r="X17" s="622"/>
      <c r="Y17" s="596"/>
      <c r="Z17" s="527"/>
    </row>
    <row r="18" spans="1:26" s="806" customFormat="1" ht="12.65" customHeight="1">
      <c r="A18" s="803" t="s">
        <v>916</v>
      </c>
      <c r="B18" s="804"/>
      <c r="C18" s="804"/>
      <c r="D18" s="804"/>
      <c r="E18" s="804"/>
      <c r="F18" s="804"/>
      <c r="G18" s="804"/>
      <c r="H18" s="804"/>
      <c r="I18" s="805"/>
      <c r="J18" s="805"/>
      <c r="K18" s="805"/>
      <c r="L18" s="805"/>
      <c r="M18" s="804"/>
      <c r="N18" s="804"/>
      <c r="O18" s="804"/>
      <c r="P18" s="804"/>
      <c r="R18" s="807"/>
      <c r="S18" s="807"/>
      <c r="T18" s="807"/>
      <c r="U18" s="808"/>
      <c r="V18" s="807"/>
      <c r="W18" s="807"/>
      <c r="X18" s="808"/>
      <c r="Y18" s="809"/>
      <c r="Z18" s="810"/>
    </row>
    <row r="19" spans="1:26" s="806" customFormat="1" ht="12.65" customHeight="1">
      <c r="A19" s="806" t="s">
        <v>966</v>
      </c>
      <c r="R19" s="807"/>
      <c r="S19" s="807"/>
      <c r="T19" s="807"/>
      <c r="U19" s="808"/>
      <c r="V19" s="807"/>
      <c r="W19" s="807"/>
      <c r="X19" s="808"/>
      <c r="Y19" s="809"/>
      <c r="Z19" s="810"/>
    </row>
    <row r="20" spans="1:26" s="806" customFormat="1" ht="12.65" customHeight="1">
      <c r="A20" s="806" t="s">
        <v>967</v>
      </c>
      <c r="N20" s="811"/>
      <c r="O20" s="811"/>
      <c r="R20" s="807"/>
      <c r="S20" s="807"/>
      <c r="T20" s="807"/>
      <c r="U20" s="808"/>
      <c r="V20" s="807"/>
      <c r="W20" s="807"/>
      <c r="X20" s="808"/>
      <c r="Y20" s="809"/>
      <c r="Z20" s="810"/>
    </row>
    <row r="21" spans="1:26" s="806" customFormat="1" ht="12.65" customHeight="1">
      <c r="A21" s="812" t="s">
        <v>968</v>
      </c>
      <c r="B21" s="812"/>
      <c r="C21" s="812"/>
      <c r="D21" s="812"/>
      <c r="E21" s="812"/>
      <c r="F21" s="812"/>
      <c r="G21" s="812"/>
      <c r="H21" s="812"/>
      <c r="I21" s="812"/>
      <c r="J21" s="812"/>
      <c r="K21" s="812"/>
      <c r="L21" s="812"/>
      <c r="M21" s="812"/>
      <c r="N21" s="812"/>
      <c r="O21" s="812"/>
      <c r="P21" s="812"/>
      <c r="R21" s="807"/>
      <c r="S21" s="807"/>
      <c r="T21" s="807"/>
      <c r="U21" s="808"/>
      <c r="V21" s="807"/>
      <c r="W21" s="807"/>
      <c r="X21" s="808"/>
      <c r="Y21" s="809"/>
    </row>
    <row r="22" spans="1:26" s="806" customFormat="1" ht="12.65" customHeight="1">
      <c r="A22" s="812" t="s">
        <v>991</v>
      </c>
      <c r="B22" s="812"/>
      <c r="C22" s="812"/>
      <c r="D22" s="812"/>
      <c r="E22" s="812"/>
      <c r="F22" s="812"/>
      <c r="G22" s="812"/>
      <c r="H22" s="812"/>
      <c r="I22" s="812"/>
      <c r="J22" s="812"/>
      <c r="K22" s="812"/>
      <c r="L22" s="812"/>
      <c r="M22" s="812"/>
      <c r="N22" s="812"/>
      <c r="O22" s="812"/>
      <c r="P22" s="812"/>
      <c r="R22" s="807"/>
      <c r="S22" s="807"/>
      <c r="T22" s="807"/>
      <c r="U22" s="808"/>
      <c r="V22" s="807"/>
      <c r="W22" s="807"/>
      <c r="X22" s="808"/>
      <c r="Y22" s="809"/>
    </row>
    <row r="23" spans="1:26" s="806" customFormat="1" ht="12.65" customHeight="1">
      <c r="A23" s="812" t="s">
        <v>992</v>
      </c>
      <c r="B23" s="812"/>
      <c r="C23" s="812"/>
      <c r="D23" s="812"/>
      <c r="E23" s="812"/>
      <c r="F23" s="812"/>
      <c r="G23" s="812"/>
      <c r="H23" s="812"/>
      <c r="I23" s="812"/>
      <c r="J23" s="812"/>
      <c r="K23" s="812"/>
      <c r="L23" s="812"/>
      <c r="M23" s="812"/>
      <c r="N23" s="812"/>
      <c r="O23" s="812"/>
      <c r="P23" s="812"/>
      <c r="R23" s="807"/>
      <c r="S23" s="807"/>
      <c r="T23" s="807"/>
      <c r="U23" s="808"/>
      <c r="V23" s="807"/>
      <c r="W23" s="807"/>
      <c r="X23" s="808"/>
      <c r="Y23" s="809"/>
    </row>
    <row r="24" spans="1:26" s="806" customFormat="1" ht="12.65" customHeight="1">
      <c r="A24" s="812" t="s">
        <v>993</v>
      </c>
      <c r="B24" s="812"/>
      <c r="C24" s="812"/>
      <c r="D24" s="812"/>
      <c r="E24" s="812"/>
      <c r="F24" s="812"/>
      <c r="G24" s="812"/>
      <c r="H24" s="812"/>
      <c r="I24" s="812"/>
      <c r="J24" s="812"/>
      <c r="K24" s="812"/>
      <c r="L24" s="812"/>
      <c r="M24" s="812"/>
      <c r="N24" s="812"/>
      <c r="O24" s="812"/>
      <c r="P24" s="812"/>
      <c r="R24" s="807"/>
      <c r="S24" s="807"/>
      <c r="T24" s="807"/>
      <c r="U24" s="808"/>
      <c r="V24" s="807"/>
      <c r="W24" s="807"/>
      <c r="X24" s="808"/>
      <c r="Y24" s="809"/>
    </row>
    <row r="25" spans="1:26" s="806" customFormat="1" ht="12.65" customHeight="1">
      <c r="A25" s="812" t="s">
        <v>994</v>
      </c>
      <c r="B25" s="813"/>
      <c r="C25" s="813"/>
      <c r="D25" s="813"/>
      <c r="E25" s="813"/>
      <c r="F25" s="813"/>
      <c r="G25" s="813"/>
      <c r="H25" s="813"/>
      <c r="I25" s="813"/>
      <c r="J25" s="813"/>
      <c r="K25" s="813"/>
      <c r="L25" s="813"/>
      <c r="M25" s="813"/>
      <c r="N25" s="813"/>
      <c r="O25" s="813"/>
      <c r="P25" s="813"/>
      <c r="R25" s="807"/>
      <c r="S25" s="807"/>
      <c r="T25" s="807"/>
      <c r="U25" s="808"/>
      <c r="V25" s="807"/>
      <c r="W25" s="807"/>
      <c r="X25" s="808"/>
      <c r="Y25" s="809"/>
    </row>
    <row r="26" spans="1:26" s="806" customFormat="1" ht="12.65" customHeight="1">
      <c r="A26" s="862" t="s">
        <v>995</v>
      </c>
      <c r="B26" s="812"/>
      <c r="C26" s="812"/>
      <c r="D26" s="812"/>
      <c r="E26" s="812"/>
      <c r="F26" s="812"/>
      <c r="G26" s="812"/>
      <c r="H26" s="812"/>
      <c r="I26" s="812"/>
      <c r="J26" s="812"/>
      <c r="K26" s="812"/>
      <c r="L26" s="812"/>
      <c r="M26" s="812"/>
      <c r="N26" s="812"/>
      <c r="O26" s="812"/>
      <c r="P26" s="812"/>
      <c r="R26" s="807"/>
      <c r="S26" s="807"/>
      <c r="T26" s="807"/>
      <c r="U26" s="808"/>
      <c r="V26" s="807"/>
      <c r="W26" s="807"/>
      <c r="X26" s="808"/>
      <c r="Y26" s="809"/>
    </row>
    <row r="27" spans="1:26" s="806" customFormat="1" ht="12.65" customHeight="1">
      <c r="A27" s="812" t="s">
        <v>996</v>
      </c>
      <c r="B27" s="812"/>
      <c r="C27" s="812"/>
      <c r="D27" s="812"/>
      <c r="E27" s="812"/>
      <c r="F27" s="812"/>
      <c r="G27" s="812"/>
      <c r="H27" s="812"/>
      <c r="I27" s="812"/>
      <c r="J27" s="812"/>
      <c r="K27" s="812"/>
      <c r="L27" s="812"/>
      <c r="M27" s="812"/>
      <c r="N27" s="812"/>
      <c r="O27" s="812"/>
      <c r="P27" s="812"/>
      <c r="R27" s="807"/>
      <c r="S27" s="807"/>
      <c r="T27" s="807"/>
      <c r="U27" s="808"/>
      <c r="V27" s="807"/>
      <c r="W27" s="807"/>
      <c r="X27" s="808"/>
      <c r="Y27" s="809"/>
    </row>
    <row r="28" spans="1:26" s="806" customFormat="1" ht="12.65" customHeight="1">
      <c r="A28" s="814" t="s">
        <v>997</v>
      </c>
      <c r="B28" s="814"/>
      <c r="C28" s="814"/>
      <c r="D28" s="814"/>
      <c r="E28" s="814"/>
      <c r="F28" s="814"/>
      <c r="G28" s="814"/>
      <c r="H28" s="814"/>
      <c r="I28" s="814"/>
      <c r="J28" s="814"/>
      <c r="K28" s="814"/>
      <c r="L28" s="814"/>
      <c r="M28" s="814"/>
      <c r="N28" s="814"/>
      <c r="O28" s="814"/>
      <c r="P28" s="814"/>
      <c r="R28" s="807"/>
      <c r="S28" s="807"/>
      <c r="T28" s="807"/>
      <c r="U28" s="808"/>
      <c r="V28" s="807"/>
      <c r="W28" s="807"/>
      <c r="X28" s="808"/>
      <c r="Y28" s="809"/>
    </row>
    <row r="29" spans="1:26" s="806" customFormat="1" ht="12.65" customHeight="1">
      <c r="A29" s="812" t="s">
        <v>998</v>
      </c>
      <c r="B29" s="815"/>
      <c r="C29" s="815"/>
      <c r="D29" s="815"/>
      <c r="E29" s="815"/>
      <c r="F29" s="815"/>
      <c r="G29" s="815"/>
      <c r="H29" s="815"/>
      <c r="I29" s="815"/>
      <c r="J29" s="815"/>
      <c r="K29" s="815"/>
      <c r="L29" s="815"/>
      <c r="M29" s="815"/>
      <c r="N29" s="815"/>
      <c r="O29" s="815"/>
      <c r="P29" s="815"/>
      <c r="R29" s="807"/>
      <c r="S29" s="807"/>
      <c r="T29" s="807"/>
      <c r="U29" s="808"/>
      <c r="V29" s="807"/>
      <c r="W29" s="807"/>
      <c r="X29" s="808"/>
      <c r="Y29" s="809"/>
    </row>
    <row r="30" spans="1:26" s="806" customFormat="1" ht="12.65" customHeight="1">
      <c r="A30" s="806" t="s">
        <v>999</v>
      </c>
      <c r="R30" s="807"/>
      <c r="S30" s="807"/>
      <c r="T30" s="807"/>
      <c r="U30" s="808"/>
      <c r="V30" s="807"/>
      <c r="W30" s="807"/>
      <c r="X30" s="808"/>
      <c r="Y30" s="809"/>
    </row>
    <row r="31" spans="1:26" s="806" customFormat="1" ht="27" customHeight="1">
      <c r="A31" s="1619" t="s">
        <v>1010</v>
      </c>
      <c r="B31" s="1620"/>
      <c r="C31" s="1620"/>
      <c r="D31" s="1620"/>
      <c r="E31" s="1620"/>
      <c r="F31" s="1620"/>
      <c r="G31" s="1620"/>
      <c r="H31" s="1620"/>
      <c r="I31" s="1620"/>
      <c r="J31" s="1620"/>
      <c r="K31" s="1620"/>
      <c r="L31" s="1620"/>
      <c r="M31" s="1620"/>
      <c r="N31" s="1620"/>
      <c r="O31" s="1620"/>
      <c r="P31" s="1620"/>
      <c r="R31" s="807"/>
      <c r="S31" s="807"/>
      <c r="T31" s="807"/>
      <c r="U31" s="808"/>
      <c r="V31" s="807"/>
      <c r="W31" s="807"/>
      <c r="X31" s="808"/>
      <c r="Y31" s="809"/>
    </row>
    <row r="32" spans="1:26" s="806" customFormat="1" ht="12.65" customHeight="1">
      <c r="A32" s="863" t="s">
        <v>1007</v>
      </c>
      <c r="R32" s="807"/>
      <c r="S32" s="807"/>
      <c r="T32" s="807"/>
      <c r="U32" s="808"/>
      <c r="V32" s="807"/>
      <c r="W32" s="807"/>
      <c r="X32" s="808"/>
      <c r="Y32" s="809"/>
    </row>
    <row r="33" spans="1:13" s="705" customFormat="1" ht="12.75" customHeight="1">
      <c r="A33" s="788"/>
      <c r="B33" s="706"/>
      <c r="C33" s="706"/>
      <c r="D33" s="706"/>
      <c r="E33" s="706"/>
      <c r="F33" s="707"/>
    </row>
    <row r="42" spans="1:13">
      <c r="M42" s="34" t="s">
        <v>930</v>
      </c>
    </row>
    <row r="53" spans="1:16">
      <c r="A53" s="42"/>
      <c r="B53" s="42"/>
      <c r="C53" s="42"/>
      <c r="D53" s="42"/>
      <c r="E53" s="42"/>
      <c r="F53" s="42"/>
      <c r="G53" s="42"/>
      <c r="H53" s="42"/>
      <c r="I53" s="42"/>
      <c r="J53" s="42"/>
      <c r="K53" s="42"/>
      <c r="L53" s="42"/>
      <c r="M53" s="42"/>
      <c r="N53" s="42"/>
      <c r="O53" s="42"/>
      <c r="P53" s="42"/>
    </row>
    <row r="56" spans="1:16">
      <c r="A56" s="788" t="s">
        <v>956</v>
      </c>
    </row>
  </sheetData>
  <mergeCells count="1">
    <mergeCell ref="A31:P31"/>
  </mergeCells>
  <hyperlinks>
    <hyperlink ref="Q1" location="TOC!A1" display="Back" xr:uid="{00000000-0004-0000-1300-000000000000}"/>
  </hyperlinks>
  <pageMargins left="0.5" right="0.25" top="0.4" bottom="0.25" header="0.25" footer="0.25"/>
  <pageSetup scale="71" orientation="landscape" cellComments="asDisplayed" r:id="rId1"/>
  <headerFooter scaleWithDoc="0">
    <oddHeader>&amp;R&amp;P</oddHeader>
  </headerFooter>
  <rowBreaks count="1" manualBreakCount="1">
    <brk id="54" max="16383" man="1"/>
  </rowBreaks>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K77"/>
  <sheetViews>
    <sheetView zoomScaleNormal="100" workbookViewId="0"/>
  </sheetViews>
  <sheetFormatPr defaultColWidth="9.26953125" defaultRowHeight="12.5"/>
  <cols>
    <col min="1" max="1" width="60.7265625" style="319" customWidth="1"/>
    <col min="2" max="7" width="16.6328125" style="319" customWidth="1"/>
    <col min="8" max="8" width="2.6328125" style="319" customWidth="1"/>
    <col min="9" max="11" width="8.7265625" style="319" customWidth="1"/>
    <col min="12" max="16384" width="9.26953125" style="319"/>
  </cols>
  <sheetData>
    <row r="1" spans="1:11" ht="15.5">
      <c r="A1" s="318" t="s">
        <v>640</v>
      </c>
      <c r="I1" s="855" t="s">
        <v>984</v>
      </c>
    </row>
    <row r="2" spans="1:11" ht="15.5">
      <c r="A2" s="318" t="s">
        <v>1316</v>
      </c>
    </row>
    <row r="3" spans="1:11" ht="6" customHeight="1" thickBot="1"/>
    <row r="4" spans="1:11" ht="13">
      <c r="A4" s="320" t="s">
        <v>641</v>
      </c>
      <c r="B4" s="321" t="s">
        <v>1021</v>
      </c>
      <c r="C4" s="1261" t="s">
        <v>1022</v>
      </c>
      <c r="D4" s="1261" t="s">
        <v>1023</v>
      </c>
      <c r="E4" s="1261" t="s">
        <v>1317</v>
      </c>
      <c r="F4" s="1261" t="s">
        <v>1024</v>
      </c>
      <c r="G4" s="1261" t="s">
        <v>1305</v>
      </c>
    </row>
    <row r="5" spans="1:11" ht="21" customHeight="1">
      <c r="A5" s="322" t="s">
        <v>642</v>
      </c>
      <c r="B5" s="1513">
        <v>248072607</v>
      </c>
      <c r="C5" s="1513">
        <v>258214491</v>
      </c>
      <c r="D5" s="1513">
        <v>273542329</v>
      </c>
      <c r="E5" s="1513">
        <v>297824816</v>
      </c>
      <c r="F5" s="1513">
        <v>331147299</v>
      </c>
      <c r="G5" s="1513">
        <v>351534012</v>
      </c>
      <c r="H5" s="323"/>
      <c r="I5" s="947"/>
      <c r="J5" s="15"/>
      <c r="K5"/>
    </row>
    <row r="6" spans="1:11">
      <c r="A6" s="322" t="s">
        <v>643</v>
      </c>
      <c r="B6" s="137">
        <v>787072224</v>
      </c>
      <c r="C6" s="137">
        <v>733503953</v>
      </c>
      <c r="D6" s="137">
        <v>782912377</v>
      </c>
      <c r="E6" s="137">
        <v>798224472</v>
      </c>
      <c r="F6" s="137">
        <v>867431268</v>
      </c>
      <c r="G6" s="137">
        <v>954431431</v>
      </c>
      <c r="H6" s="323"/>
      <c r="I6" s="947"/>
      <c r="J6" s="15"/>
      <c r="K6"/>
    </row>
    <row r="7" spans="1:11">
      <c r="A7" s="322" t="s">
        <v>644</v>
      </c>
      <c r="B7" s="137">
        <v>3179148036</v>
      </c>
      <c r="C7" s="137">
        <v>1528641552</v>
      </c>
      <c r="D7" s="137">
        <v>1575312559</v>
      </c>
      <c r="E7" s="137">
        <v>1490906809</v>
      </c>
      <c r="F7" s="137">
        <v>1783557373</v>
      </c>
      <c r="G7" s="137">
        <v>1966291828</v>
      </c>
      <c r="H7" s="323"/>
      <c r="I7" s="947"/>
      <c r="J7" s="15"/>
      <c r="K7"/>
    </row>
    <row r="8" spans="1:11">
      <c r="A8" s="322" t="s">
        <v>645</v>
      </c>
      <c r="B8" s="137">
        <v>4644849072</v>
      </c>
      <c r="C8" s="137">
        <v>4664340240</v>
      </c>
      <c r="D8" s="137">
        <v>4823802281</v>
      </c>
      <c r="E8" s="137">
        <v>4337055737</v>
      </c>
      <c r="F8" s="137">
        <v>4974030027</v>
      </c>
      <c r="G8" s="137">
        <v>5787214941</v>
      </c>
      <c r="H8" s="323"/>
      <c r="I8" s="947"/>
      <c r="J8" s="15"/>
      <c r="K8"/>
    </row>
    <row r="9" spans="1:11">
      <c r="A9" s="322" t="s">
        <v>646</v>
      </c>
      <c r="B9" s="137">
        <v>6980772632</v>
      </c>
      <c r="C9" s="137">
        <v>7491164691</v>
      </c>
      <c r="D9" s="137">
        <v>7677482671</v>
      </c>
      <c r="E9" s="137">
        <v>7865485373</v>
      </c>
      <c r="F9" s="137">
        <v>9380707470</v>
      </c>
      <c r="G9" s="137">
        <v>10503096081</v>
      </c>
      <c r="H9" s="323"/>
      <c r="I9" s="947"/>
      <c r="J9" s="15"/>
      <c r="K9"/>
    </row>
    <row r="10" spans="1:11">
      <c r="A10" s="322" t="s">
        <v>647</v>
      </c>
      <c r="B10" s="137">
        <v>60933912762.050003</v>
      </c>
      <c r="C10" s="137">
        <v>63650484514.720001</v>
      </c>
      <c r="D10" s="137">
        <v>63653520267</v>
      </c>
      <c r="E10" s="137">
        <v>66155588673.519997</v>
      </c>
      <c r="F10" s="137">
        <v>72301055363.559998</v>
      </c>
      <c r="G10" s="137">
        <v>76355461384.759995</v>
      </c>
      <c r="H10" s="323"/>
      <c r="I10" s="947"/>
      <c r="J10" s="15"/>
      <c r="K10"/>
    </row>
    <row r="11" spans="1:11">
      <c r="A11" s="324" t="s">
        <v>648</v>
      </c>
      <c r="B11" s="137">
        <v>2236965490</v>
      </c>
      <c r="C11" s="137">
        <v>2130068742</v>
      </c>
      <c r="D11" s="137">
        <v>2168336133</v>
      </c>
      <c r="E11" s="137">
        <v>2015670231</v>
      </c>
      <c r="F11" s="137">
        <v>2410430711</v>
      </c>
      <c r="G11" s="137">
        <v>2439448317</v>
      </c>
      <c r="H11" s="323"/>
      <c r="I11" s="947"/>
      <c r="J11" s="580"/>
      <c r="K11"/>
    </row>
    <row r="12" spans="1:11">
      <c r="A12" s="324" t="s">
        <v>649</v>
      </c>
      <c r="B12" s="137">
        <v>4668220968</v>
      </c>
      <c r="C12" s="137">
        <v>6541106925</v>
      </c>
      <c r="D12" s="137">
        <v>6736742934</v>
      </c>
      <c r="E12" s="137">
        <v>7963067603</v>
      </c>
      <c r="F12" s="137">
        <v>8776204973</v>
      </c>
      <c r="G12" s="137">
        <v>9616793063</v>
      </c>
      <c r="H12" s="323"/>
      <c r="I12" s="947"/>
      <c r="J12" s="580"/>
      <c r="K12"/>
    </row>
    <row r="13" spans="1:11">
      <c r="A13" s="324" t="s">
        <v>650</v>
      </c>
      <c r="B13" s="137">
        <v>17802669235.049999</v>
      </c>
      <c r="C13" s="137">
        <v>18260313944.720001</v>
      </c>
      <c r="D13" s="137">
        <v>18109540317</v>
      </c>
      <c r="E13" s="137">
        <v>20749265267.52</v>
      </c>
      <c r="F13" s="137">
        <v>21271197638.560001</v>
      </c>
      <c r="G13" s="137">
        <v>22321492474.759998</v>
      </c>
      <c r="H13" s="323"/>
      <c r="I13" s="947"/>
      <c r="J13" s="580"/>
      <c r="K13"/>
    </row>
    <row r="14" spans="1:11">
      <c r="A14" s="324" t="s">
        <v>651</v>
      </c>
      <c r="B14" s="137">
        <v>4960521827</v>
      </c>
      <c r="C14" s="137">
        <v>5037699750</v>
      </c>
      <c r="D14" s="137">
        <v>4974648367</v>
      </c>
      <c r="E14" s="137">
        <v>3639826980</v>
      </c>
      <c r="F14" s="137">
        <v>4969225647</v>
      </c>
      <c r="G14" s="137">
        <v>5110800720</v>
      </c>
      <c r="H14" s="323"/>
      <c r="I14" s="947"/>
      <c r="J14" s="580"/>
      <c r="K14"/>
    </row>
    <row r="15" spans="1:11">
      <c r="A15" s="324" t="s">
        <v>652</v>
      </c>
      <c r="B15" s="137">
        <v>17057160048</v>
      </c>
      <c r="C15" s="137">
        <v>17184985659</v>
      </c>
      <c r="D15" s="137">
        <v>17146456723</v>
      </c>
      <c r="E15" s="137">
        <v>17526539796</v>
      </c>
      <c r="F15" s="137">
        <v>18037002912</v>
      </c>
      <c r="G15" s="137">
        <v>19051667859</v>
      </c>
      <c r="H15" s="323"/>
      <c r="I15" s="947"/>
      <c r="J15" s="580"/>
      <c r="K15"/>
    </row>
    <row r="16" spans="1:11">
      <c r="A16" s="322" t="s">
        <v>653</v>
      </c>
      <c r="B16" s="137">
        <v>390592597</v>
      </c>
      <c r="C16" s="137">
        <v>259425252</v>
      </c>
      <c r="D16" s="137">
        <v>244797061</v>
      </c>
      <c r="E16" s="137">
        <v>183048600</v>
      </c>
      <c r="F16" s="137">
        <v>202583316</v>
      </c>
      <c r="G16" s="137">
        <v>227229823</v>
      </c>
      <c r="H16" s="323"/>
      <c r="I16" s="947"/>
      <c r="J16" s="15"/>
      <c r="K16"/>
    </row>
    <row r="17" spans="1:11">
      <c r="A17" s="322" t="s">
        <v>654</v>
      </c>
      <c r="B17" s="137">
        <v>1122816028</v>
      </c>
      <c r="C17" s="137">
        <v>1220792356</v>
      </c>
      <c r="D17" s="137">
        <v>1142973148</v>
      </c>
      <c r="E17" s="137">
        <v>928137716</v>
      </c>
      <c r="F17" s="1514">
        <v>1151083476</v>
      </c>
      <c r="G17" s="1514">
        <v>1330359246</v>
      </c>
      <c r="H17" s="323"/>
      <c r="I17" s="947"/>
      <c r="J17" s="15"/>
      <c r="K17"/>
    </row>
    <row r="18" spans="1:11">
      <c r="A18" s="322" t="s">
        <v>655</v>
      </c>
      <c r="B18" s="137">
        <v>136720945</v>
      </c>
      <c r="C18" s="137">
        <v>154488736</v>
      </c>
      <c r="D18" s="137">
        <v>175851355</v>
      </c>
      <c r="E18" s="137">
        <v>309141196</v>
      </c>
      <c r="F18" s="137">
        <v>153626656</v>
      </c>
      <c r="G18" s="137">
        <v>103138921</v>
      </c>
      <c r="H18" s="323"/>
      <c r="I18" s="947"/>
      <c r="J18" s="15"/>
      <c r="K18"/>
    </row>
    <row r="19" spans="1:11">
      <c r="A19" s="322" t="s">
        <v>656</v>
      </c>
      <c r="B19" s="137">
        <v>1578113758</v>
      </c>
      <c r="C19" s="137">
        <v>1528238084</v>
      </c>
      <c r="D19" s="137">
        <v>1671730849</v>
      </c>
      <c r="E19" s="137">
        <v>1394555102</v>
      </c>
      <c r="F19" s="137">
        <v>1665423005</v>
      </c>
      <c r="G19" s="137">
        <v>1811316018</v>
      </c>
      <c r="H19" s="323"/>
      <c r="I19" s="947"/>
      <c r="J19" s="15"/>
      <c r="K19"/>
    </row>
    <row r="20" spans="1:11">
      <c r="A20" s="322" t="s">
        <v>657</v>
      </c>
      <c r="B20" s="137">
        <v>1080516636</v>
      </c>
      <c r="C20" s="137">
        <v>1098467483</v>
      </c>
      <c r="D20" s="137">
        <v>1076660664</v>
      </c>
      <c r="E20" s="137">
        <v>974841350</v>
      </c>
      <c r="F20" s="137">
        <v>1005995045</v>
      </c>
      <c r="G20" s="137">
        <v>1056558581</v>
      </c>
      <c r="H20" s="323"/>
      <c r="I20" s="947"/>
      <c r="J20" s="15"/>
      <c r="K20"/>
    </row>
    <row r="21" spans="1:11">
      <c r="A21" s="322" t="s">
        <v>658</v>
      </c>
      <c r="B21" s="137">
        <v>128612736</v>
      </c>
      <c r="C21" s="137">
        <v>132268769</v>
      </c>
      <c r="D21" s="137">
        <v>175358145</v>
      </c>
      <c r="E21" s="137">
        <v>162627657</v>
      </c>
      <c r="F21" s="137">
        <v>245266950</v>
      </c>
      <c r="G21" s="137">
        <v>228110908</v>
      </c>
      <c r="H21" s="323"/>
      <c r="I21" s="947"/>
      <c r="J21" s="15"/>
      <c r="K21"/>
    </row>
    <row r="22" spans="1:11">
      <c r="A22" s="322" t="s">
        <v>1025</v>
      </c>
      <c r="B22" s="137">
        <v>318631326</v>
      </c>
      <c r="C22" s="137">
        <v>326602085</v>
      </c>
      <c r="D22" s="137">
        <v>345429360</v>
      </c>
      <c r="E22" s="137">
        <v>321491679</v>
      </c>
      <c r="F22" s="137">
        <v>353391019</v>
      </c>
      <c r="G22" s="137">
        <v>373264902</v>
      </c>
      <c r="H22" s="323"/>
      <c r="I22" s="947"/>
      <c r="J22" s="15"/>
      <c r="K22"/>
    </row>
    <row r="23" spans="1:11">
      <c r="A23" s="322" t="s">
        <v>659</v>
      </c>
      <c r="B23" s="137">
        <v>114432109</v>
      </c>
      <c r="C23" s="137">
        <v>93635761</v>
      </c>
      <c r="D23" s="137">
        <v>75544873</v>
      </c>
      <c r="E23" s="137">
        <v>46319582</v>
      </c>
      <c r="F23" s="137">
        <v>43222890</v>
      </c>
      <c r="G23" s="137">
        <v>56414366</v>
      </c>
      <c r="H23" s="323"/>
      <c r="I23" s="947"/>
      <c r="J23" s="15"/>
      <c r="K23"/>
    </row>
    <row r="24" spans="1:11">
      <c r="A24" s="322" t="s">
        <v>660</v>
      </c>
      <c r="B24" s="137">
        <v>340921008</v>
      </c>
      <c r="C24" s="137">
        <v>347932775</v>
      </c>
      <c r="D24" s="137">
        <v>316098309</v>
      </c>
      <c r="E24" s="137">
        <v>327389507</v>
      </c>
      <c r="F24" s="137">
        <v>382385518</v>
      </c>
      <c r="G24" s="137">
        <v>367443199</v>
      </c>
      <c r="H24" s="323"/>
      <c r="I24" s="947"/>
      <c r="J24" s="15"/>
      <c r="K24"/>
    </row>
    <row r="25" spans="1:11">
      <c r="A25" s="322" t="s">
        <v>661</v>
      </c>
      <c r="B25" s="137">
        <v>615427279</v>
      </c>
      <c r="C25" s="137">
        <v>625631010</v>
      </c>
      <c r="D25" s="137">
        <v>699339072</v>
      </c>
      <c r="E25" s="137">
        <v>448061930</v>
      </c>
      <c r="F25" s="137">
        <v>692700752</v>
      </c>
      <c r="G25" s="137">
        <v>854724408</v>
      </c>
      <c r="H25" s="323"/>
      <c r="I25" s="947"/>
      <c r="J25" s="15"/>
      <c r="K25"/>
    </row>
    <row r="26" spans="1:11">
      <c r="A26" s="322" t="s">
        <v>662</v>
      </c>
      <c r="B26" s="137">
        <v>17987523834</v>
      </c>
      <c r="C26" s="137">
        <v>18613515472</v>
      </c>
      <c r="D26" s="137">
        <v>19470592932</v>
      </c>
      <c r="E26" s="137">
        <v>15095152204</v>
      </c>
      <c r="F26" s="137">
        <v>19262340836</v>
      </c>
      <c r="G26" s="137">
        <v>22419578475</v>
      </c>
      <c r="H26" s="323"/>
      <c r="I26" s="947"/>
      <c r="J26" s="15"/>
      <c r="K26"/>
    </row>
    <row r="27" spans="1:11">
      <c r="A27" s="324" t="s">
        <v>663</v>
      </c>
      <c r="B27" s="137">
        <v>14249840628</v>
      </c>
      <c r="C27" s="137">
        <v>14760752957</v>
      </c>
      <c r="D27" s="137">
        <v>15486302505</v>
      </c>
      <c r="E27" s="137">
        <v>12971669114</v>
      </c>
      <c r="F27" s="137">
        <v>16177425130</v>
      </c>
      <c r="G27" s="137">
        <v>18279586715</v>
      </c>
      <c r="H27" s="323"/>
      <c r="I27" s="947"/>
      <c r="J27" s="580"/>
      <c r="K27"/>
    </row>
    <row r="28" spans="1:11">
      <c r="A28" s="322" t="s">
        <v>664</v>
      </c>
      <c r="B28" s="137">
        <v>2453829305</v>
      </c>
      <c r="C28" s="137">
        <v>2556759876</v>
      </c>
      <c r="D28" s="137">
        <v>2600028077</v>
      </c>
      <c r="E28" s="137">
        <v>2356797691</v>
      </c>
      <c r="F28" s="137">
        <v>2714695719</v>
      </c>
      <c r="G28" s="137">
        <v>3030097874</v>
      </c>
      <c r="H28" s="323"/>
      <c r="I28" s="947"/>
      <c r="J28" s="15"/>
    </row>
    <row r="29" spans="1:11">
      <c r="A29" s="322" t="s">
        <v>665</v>
      </c>
      <c r="B29" s="137">
        <v>21161435</v>
      </c>
      <c r="C29" s="137">
        <v>21407287</v>
      </c>
      <c r="D29" s="137">
        <v>22781523</v>
      </c>
      <c r="E29" s="137">
        <v>13337609</v>
      </c>
      <c r="F29" s="137">
        <v>15554324</v>
      </c>
      <c r="G29" s="137">
        <v>21921932</v>
      </c>
      <c r="H29" s="323"/>
      <c r="I29" s="947"/>
      <c r="J29" s="15"/>
    </row>
    <row r="30" spans="1:11">
      <c r="A30" s="322" t="s">
        <v>666</v>
      </c>
      <c r="B30" s="137">
        <v>677980700</v>
      </c>
      <c r="C30" s="137">
        <v>769632120</v>
      </c>
      <c r="D30" s="137">
        <v>975920192</v>
      </c>
      <c r="E30" s="137">
        <v>853837721</v>
      </c>
      <c r="F30" s="1514">
        <v>1129373472</v>
      </c>
      <c r="G30" s="1514">
        <v>1203851982</v>
      </c>
      <c r="H30" s="323"/>
      <c r="I30" s="947"/>
      <c r="J30" s="15"/>
    </row>
    <row r="31" spans="1:11" ht="5" customHeight="1">
      <c r="B31" s="137"/>
      <c r="C31" s="137"/>
      <c r="D31" s="137"/>
      <c r="I31" s="947"/>
    </row>
    <row r="32" spans="1:11" ht="13">
      <c r="A32" s="325" t="s">
        <v>16</v>
      </c>
      <c r="B32" s="326">
        <f t="shared" ref="B32:G32" si="0">SUM(B5:B10,B16:B26,B28:B30)</f>
        <v>103741107029.05</v>
      </c>
      <c r="C32" s="326">
        <f t="shared" si="0"/>
        <v>106075146507.72</v>
      </c>
      <c r="D32" s="326">
        <f t="shared" si="0"/>
        <v>107779678044</v>
      </c>
      <c r="E32" s="326">
        <f t="shared" si="0"/>
        <v>104359825424.51999</v>
      </c>
      <c r="F32" s="326">
        <f t="shared" si="0"/>
        <v>118655571778.56</v>
      </c>
      <c r="G32" s="326">
        <f t="shared" si="0"/>
        <v>129002040312.75999</v>
      </c>
      <c r="I32" s="947"/>
      <c r="J32" s="15"/>
    </row>
    <row r="33" spans="1:7" ht="6" customHeight="1">
      <c r="B33" s="137"/>
      <c r="C33" s="137"/>
      <c r="D33" s="137"/>
      <c r="E33" s="137"/>
      <c r="F33" s="251"/>
      <c r="G33" s="251"/>
    </row>
    <row r="34" spans="1:7" s="1255" customFormat="1" ht="11" customHeight="1">
      <c r="A34" s="1256" t="s">
        <v>1</v>
      </c>
      <c r="B34" s="1256"/>
      <c r="C34" s="1256"/>
      <c r="D34" s="1256"/>
      <c r="E34" s="1256"/>
      <c r="F34" s="1256"/>
      <c r="G34" s="1256"/>
    </row>
    <row r="35" spans="1:7" s="1255" customFormat="1" ht="11" customHeight="1">
      <c r="A35" s="1259" t="s">
        <v>1318</v>
      </c>
      <c r="B35" s="1259"/>
      <c r="C35" s="1259"/>
      <c r="D35" s="1260"/>
      <c r="E35" s="1260"/>
      <c r="F35" s="1260"/>
      <c r="G35" s="1260"/>
    </row>
    <row r="36" spans="1:7" s="1255" customFormat="1" ht="11" customHeight="1">
      <c r="A36" s="1515" t="s">
        <v>1348</v>
      </c>
      <c r="B36" s="1259"/>
      <c r="C36" s="1259"/>
      <c r="D36" s="1260"/>
      <c r="E36" s="1260"/>
      <c r="F36" s="1260"/>
      <c r="G36" s="1260"/>
    </row>
    <row r="37" spans="1:7" s="1255" customFormat="1" ht="11" customHeight="1">
      <c r="A37" s="1259" t="s">
        <v>1319</v>
      </c>
      <c r="B37" s="1259"/>
      <c r="C37" s="1259"/>
      <c r="D37" s="1260"/>
      <c r="E37" s="1260"/>
      <c r="F37" s="1260"/>
      <c r="G37" s="1260"/>
    </row>
    <row r="38" spans="1:7" s="1255" customFormat="1" ht="11" customHeight="1">
      <c r="A38" s="1257" t="s">
        <v>1349</v>
      </c>
      <c r="B38" s="1257"/>
      <c r="C38" s="1257"/>
      <c r="D38" s="1258"/>
      <c r="E38" s="1258"/>
      <c r="F38" s="1258"/>
      <c r="G38" s="1258"/>
    </row>
    <row r="39" spans="1:7" s="1255" customFormat="1" ht="11" customHeight="1">
      <c r="A39" s="1259" t="s">
        <v>667</v>
      </c>
      <c r="B39" s="1259"/>
      <c r="C39" s="1259"/>
      <c r="D39" s="1260"/>
      <c r="E39" s="1260"/>
      <c r="F39" s="1260"/>
      <c r="G39" s="1260"/>
    </row>
    <row r="40" spans="1:7" s="1255" customFormat="1" ht="23" customHeight="1">
      <c r="A40" s="1621" t="s">
        <v>949</v>
      </c>
      <c r="B40" s="1621"/>
      <c r="C40" s="1621"/>
      <c r="D40" s="1622"/>
      <c r="E40" s="1622"/>
      <c r="F40" s="1622"/>
      <c r="G40" s="1622"/>
    </row>
    <row r="41" spans="1:7" s="1255" customFormat="1" ht="11" customHeight="1">
      <c r="A41" s="1259" t="s">
        <v>774</v>
      </c>
      <c r="B41" s="1259"/>
      <c r="C41" s="1259"/>
      <c r="D41" s="1260"/>
      <c r="E41" s="1260"/>
      <c r="F41" s="1260"/>
      <c r="G41" s="1260"/>
    </row>
    <row r="42" spans="1:7" s="785" customFormat="1" ht="11" customHeight="1">
      <c r="A42" s="1262" t="s">
        <v>950</v>
      </c>
      <c r="B42" s="786"/>
      <c r="C42" s="786"/>
    </row>
    <row r="49" spans="1:7" s="1509" customFormat="1" ht="11.5">
      <c r="A49" s="1512"/>
      <c r="B49" s="1511"/>
      <c r="C49" s="1511"/>
      <c r="D49" s="1511"/>
      <c r="E49" s="1511"/>
      <c r="F49" s="1511"/>
      <c r="G49" s="1511"/>
    </row>
    <row r="50" spans="1:7" s="1509" customFormat="1" ht="11.5">
      <c r="A50" s="1508"/>
      <c r="C50" s="1510"/>
      <c r="D50" s="1510"/>
      <c r="E50" s="1510"/>
      <c r="F50" s="1510"/>
      <c r="G50" s="1510"/>
    </row>
    <row r="51" spans="1:7" s="1509" customFormat="1" ht="11.5">
      <c r="A51" s="1508"/>
      <c r="C51" s="1510"/>
      <c r="D51" s="1510"/>
      <c r="E51" s="1510"/>
      <c r="F51" s="1510"/>
      <c r="G51" s="1510"/>
    </row>
    <row r="52" spans="1:7" s="1509" customFormat="1" ht="11.5">
      <c r="A52" s="1508"/>
      <c r="C52" s="1510"/>
      <c r="D52" s="1510"/>
      <c r="E52" s="1510"/>
      <c r="F52" s="1510"/>
      <c r="G52" s="1510"/>
    </row>
    <row r="53" spans="1:7" s="1509" customFormat="1" ht="11.5">
      <c r="A53" s="1508"/>
      <c r="C53" s="1510"/>
      <c r="D53" s="1510"/>
      <c r="E53" s="1510"/>
      <c r="F53" s="1510"/>
      <c r="G53" s="1510"/>
    </row>
    <row r="54" spans="1:7" s="1509" customFormat="1" ht="11.5">
      <c r="A54" s="1508"/>
      <c r="C54" s="1510"/>
      <c r="D54" s="1510"/>
      <c r="E54" s="1510"/>
      <c r="F54" s="1510"/>
      <c r="G54" s="1510"/>
    </row>
    <row r="55" spans="1:7" s="1509" customFormat="1" ht="11.5">
      <c r="A55" s="1508"/>
      <c r="C55" s="1510"/>
      <c r="D55" s="1510"/>
      <c r="E55" s="1510"/>
      <c r="F55" s="1510"/>
      <c r="G55" s="1510"/>
    </row>
    <row r="56" spans="1:7" s="1509" customFormat="1" ht="11.5">
      <c r="A56" s="1508"/>
      <c r="C56" s="1510"/>
      <c r="D56" s="1510"/>
      <c r="E56" s="1510"/>
      <c r="F56" s="1510"/>
      <c r="G56" s="1510"/>
    </row>
    <row r="57" spans="1:7" s="1509" customFormat="1" ht="11.5">
      <c r="A57" s="1508"/>
      <c r="C57" s="1510"/>
      <c r="D57" s="1510"/>
      <c r="E57" s="1510"/>
      <c r="F57" s="1510"/>
      <c r="G57" s="1510"/>
    </row>
    <row r="58" spans="1:7" s="1509" customFormat="1" ht="11.5">
      <c r="A58" s="1508"/>
      <c r="C58" s="1510"/>
      <c r="D58" s="1510"/>
      <c r="E58" s="1510"/>
      <c r="F58" s="1510"/>
      <c r="G58" s="1510"/>
    </row>
    <row r="59" spans="1:7" s="1509" customFormat="1" ht="11.5">
      <c r="A59" s="1508"/>
      <c r="C59" s="1510"/>
      <c r="D59" s="1510"/>
      <c r="E59" s="1510"/>
      <c r="F59" s="1510"/>
      <c r="G59" s="1510"/>
    </row>
    <row r="60" spans="1:7" s="1509" customFormat="1" ht="11.5">
      <c r="A60" s="1508"/>
      <c r="C60" s="1510"/>
      <c r="D60" s="1510"/>
      <c r="E60" s="1510"/>
      <c r="F60" s="1510"/>
      <c r="G60" s="1510"/>
    </row>
    <row r="61" spans="1:7" s="1509" customFormat="1" ht="11.5">
      <c r="A61" s="1508"/>
      <c r="C61" s="1510"/>
      <c r="D61" s="1510"/>
      <c r="E61" s="1510"/>
      <c r="F61" s="1510"/>
      <c r="G61" s="1510"/>
    </row>
    <row r="62" spans="1:7" s="1509" customFormat="1" ht="11.5">
      <c r="A62" s="1508"/>
      <c r="C62" s="1510"/>
      <c r="D62" s="1510"/>
      <c r="E62" s="1510"/>
      <c r="F62" s="1510"/>
      <c r="G62" s="1510"/>
    </row>
    <row r="63" spans="1:7" s="1509" customFormat="1" ht="11.5">
      <c r="A63" s="1508"/>
      <c r="C63" s="1510"/>
      <c r="D63" s="1510"/>
      <c r="E63" s="1510"/>
      <c r="F63" s="1510"/>
      <c r="G63" s="1510"/>
    </row>
    <row r="64" spans="1:7" s="1509" customFormat="1" ht="11.5">
      <c r="A64" s="1508"/>
      <c r="C64" s="1510"/>
      <c r="D64" s="1510"/>
      <c r="E64" s="1510"/>
      <c r="F64" s="1510"/>
      <c r="G64" s="1510"/>
    </row>
    <row r="65" spans="1:7" s="1509" customFormat="1" ht="11.5">
      <c r="A65" s="1508"/>
      <c r="C65" s="1510"/>
      <c r="D65" s="1510"/>
      <c r="E65" s="1510"/>
      <c r="F65" s="1510"/>
      <c r="G65" s="1510"/>
    </row>
    <row r="66" spans="1:7" s="1509" customFormat="1" ht="11.5">
      <c r="A66" s="1508"/>
      <c r="C66" s="1510"/>
      <c r="D66" s="1510"/>
      <c r="E66" s="1510"/>
      <c r="F66" s="1510"/>
      <c r="G66" s="1510"/>
    </row>
    <row r="67" spans="1:7" s="1509" customFormat="1" ht="11.5">
      <c r="A67" s="1508"/>
      <c r="C67" s="1510"/>
      <c r="D67" s="1510"/>
      <c r="E67" s="1510"/>
      <c r="F67" s="1510"/>
      <c r="G67" s="1510"/>
    </row>
    <row r="68" spans="1:7" s="1509" customFormat="1" ht="11.5">
      <c r="A68" s="1508"/>
      <c r="C68" s="1510"/>
      <c r="D68" s="1510"/>
      <c r="E68" s="1510"/>
      <c r="F68" s="1510"/>
      <c r="G68" s="1510"/>
    </row>
    <row r="69" spans="1:7" s="1509" customFormat="1" ht="11.5">
      <c r="A69" s="1508"/>
      <c r="C69" s="1510"/>
      <c r="D69" s="1510"/>
      <c r="E69" s="1510"/>
      <c r="F69" s="1510"/>
      <c r="G69" s="1510"/>
    </row>
    <row r="70" spans="1:7" s="1509" customFormat="1" ht="11.5">
      <c r="A70" s="1508"/>
      <c r="C70" s="1510"/>
      <c r="D70" s="1510"/>
      <c r="E70" s="1510"/>
      <c r="F70" s="1510"/>
      <c r="G70" s="1510"/>
    </row>
    <row r="71" spans="1:7" s="1509" customFormat="1" ht="11.5">
      <c r="A71" s="1508"/>
      <c r="C71" s="1510"/>
      <c r="D71" s="1510"/>
      <c r="E71" s="1510"/>
      <c r="F71" s="1510"/>
      <c r="G71" s="1510"/>
    </row>
    <row r="72" spans="1:7" s="1509" customFormat="1" ht="11.5">
      <c r="A72" s="1508"/>
      <c r="C72" s="1510"/>
      <c r="D72" s="1510"/>
      <c r="E72" s="1510"/>
      <c r="F72" s="1510"/>
      <c r="G72" s="1510"/>
    </row>
    <row r="73" spans="1:7" s="1509" customFormat="1" ht="11.5">
      <c r="A73" s="1508"/>
      <c r="C73" s="1510"/>
      <c r="D73" s="1510"/>
      <c r="E73" s="1510"/>
      <c r="F73" s="1510"/>
      <c r="G73" s="1510"/>
    </row>
    <row r="74" spans="1:7" s="1509" customFormat="1" ht="11.5">
      <c r="A74" s="1508"/>
      <c r="C74" s="1510"/>
      <c r="D74" s="1510"/>
      <c r="E74" s="1510"/>
      <c r="F74" s="1510"/>
      <c r="G74" s="1510"/>
    </row>
    <row r="75" spans="1:7" s="1509" customFormat="1" ht="11.5">
      <c r="A75" s="1508"/>
      <c r="C75" s="1510"/>
      <c r="D75" s="1510"/>
      <c r="E75" s="1510"/>
      <c r="F75" s="1510"/>
      <c r="G75" s="1510"/>
    </row>
    <row r="76" spans="1:7" s="1509" customFormat="1" ht="11.5">
      <c r="A76" s="1508"/>
      <c r="C76" s="1510"/>
      <c r="D76" s="1510"/>
      <c r="E76" s="1510"/>
      <c r="F76" s="1510"/>
      <c r="G76" s="1510"/>
    </row>
    <row r="77" spans="1:7" s="1509" customFormat="1" ht="11.5">
      <c r="A77" s="1508"/>
      <c r="C77" s="1510"/>
      <c r="D77" s="1510"/>
      <c r="E77" s="1510"/>
      <c r="F77" s="1510"/>
      <c r="G77" s="1510"/>
    </row>
  </sheetData>
  <customSheetViews>
    <customSheetView guid="{E6BBE5A7-0B25-4EE8-BA45-5EA5DBAF3AD4}" showPageBreaks="1" printArea="1">
      <selection activeCell="G20" sqref="G20"/>
      <pageMargins left="0.5" right="0.5" top="0.75" bottom="0.75" header="0.5" footer="0.5"/>
      <printOptions horizontalCentered="1"/>
      <pageSetup scale="85" orientation="landscape" r:id="rId1"/>
      <headerFooter alignWithMargins="0"/>
    </customSheetView>
  </customSheetViews>
  <mergeCells count="1">
    <mergeCell ref="A40:G40"/>
  </mergeCells>
  <hyperlinks>
    <hyperlink ref="I1" location="TOC!A1" display="Back" xr:uid="{00000000-0004-0000-1400-000000000000}"/>
  </hyperlinks>
  <printOptions horizontalCentered="1"/>
  <pageMargins left="0.4" right="0.2" top="0.5" bottom="0.25" header="0.25" footer="0.75"/>
  <pageSetup scale="83" orientation="landscape" r:id="rId2"/>
  <headerFooter scaleWithDoc="0">
    <oddHeader>&amp;R&amp;P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S139"/>
  <sheetViews>
    <sheetView zoomScaleNormal="100" zoomScaleSheetLayoutView="90" workbookViewId="0"/>
  </sheetViews>
  <sheetFormatPr defaultColWidth="13.1796875" defaultRowHeight="13"/>
  <cols>
    <col min="1" max="1" width="11.7265625" style="891" customWidth="1"/>
    <col min="2" max="4" width="10.7265625" style="890" customWidth="1"/>
    <col min="5" max="5" width="5.7265625" style="891" customWidth="1"/>
    <col min="6" max="6" width="11.7265625" style="891" customWidth="1"/>
    <col min="7" max="9" width="11.7265625" style="890" customWidth="1"/>
    <col min="10" max="10" width="5.7265625" style="890" customWidth="1"/>
    <col min="11" max="11" width="11.7265625" style="890" customWidth="1"/>
    <col min="12" max="13" width="12.26953125" style="890" customWidth="1"/>
    <col min="14" max="14" width="12.26953125" style="891" customWidth="1"/>
    <col min="15" max="15" width="1.7265625" style="891" customWidth="1"/>
    <col min="16" max="16" width="7.81640625" style="895" bestFit="1" customWidth="1"/>
    <col min="17" max="17" width="13.453125" style="895" bestFit="1" customWidth="1"/>
    <col min="18" max="18" width="10.26953125" style="896" bestFit="1" customWidth="1"/>
    <col min="19" max="19" width="1.7265625" style="891" customWidth="1"/>
    <col min="20" max="16384" width="13.1796875" style="891"/>
  </cols>
  <sheetData>
    <row r="1" spans="1:18" ht="18">
      <c r="A1" s="888" t="s">
        <v>232</v>
      </c>
      <c r="B1" s="889"/>
      <c r="C1" s="889"/>
      <c r="G1" s="892"/>
      <c r="H1" s="893"/>
      <c r="I1" s="893"/>
      <c r="J1" s="893"/>
      <c r="K1" s="893"/>
      <c r="L1" s="893"/>
      <c r="M1" s="893"/>
      <c r="P1" s="894" t="s">
        <v>984</v>
      </c>
    </row>
    <row r="2" spans="1:18">
      <c r="A2" s="899" t="s">
        <v>1315</v>
      </c>
      <c r="B2" s="889"/>
      <c r="C2" s="889"/>
      <c r="G2" s="893"/>
      <c r="H2" s="893"/>
      <c r="I2" s="893"/>
      <c r="J2" s="893"/>
      <c r="K2" s="893"/>
      <c r="L2" s="893"/>
      <c r="M2" s="893"/>
    </row>
    <row r="3" spans="1:18" ht="10.9" customHeight="1" thickBot="1">
      <c r="A3" s="900"/>
      <c r="B3" s="889"/>
      <c r="C3" s="889"/>
      <c r="G3" s="893"/>
      <c r="H3" s="893"/>
      <c r="I3" s="893"/>
      <c r="J3" s="893"/>
      <c r="K3" s="893"/>
      <c r="L3" s="893"/>
      <c r="M3" s="893"/>
    </row>
    <row r="4" spans="1:18" ht="21">
      <c r="A4" s="906" t="s">
        <v>21</v>
      </c>
      <c r="B4" s="907" t="s">
        <v>1015</v>
      </c>
      <c r="C4" s="908" t="s">
        <v>923</v>
      </c>
      <c r="D4" s="908" t="s">
        <v>1016</v>
      </c>
      <c r="E4" s="904"/>
      <c r="F4" s="906" t="s">
        <v>21</v>
      </c>
      <c r="G4" s="907" t="s">
        <v>1015</v>
      </c>
      <c r="H4" s="908" t="s">
        <v>923</v>
      </c>
      <c r="I4" s="908" t="s">
        <v>1016</v>
      </c>
      <c r="J4" s="905"/>
      <c r="K4" s="906" t="s">
        <v>21</v>
      </c>
      <c r="L4" s="907" t="s">
        <v>1015</v>
      </c>
      <c r="M4" s="908" t="s">
        <v>923</v>
      </c>
      <c r="N4" s="908" t="s">
        <v>1016</v>
      </c>
      <c r="P4" s="1015"/>
      <c r="Q4" s="1015"/>
      <c r="R4" s="1016"/>
    </row>
    <row r="5" spans="1:18" ht="15" customHeight="1">
      <c r="A5" s="909" t="s">
        <v>50</v>
      </c>
      <c r="B5" s="912">
        <v>6133637.7599999998</v>
      </c>
      <c r="C5" s="912">
        <v>6154592.5300000003</v>
      </c>
      <c r="D5" s="1501">
        <f t="shared" ref="D5:D39" si="0">SUM(B5:C5)</f>
        <v>12288230.289999999</v>
      </c>
      <c r="E5" s="910"/>
      <c r="F5" s="911" t="s">
        <v>51</v>
      </c>
      <c r="G5" s="912">
        <v>6885666.8200000003</v>
      </c>
      <c r="H5" s="912">
        <v>7151500.7400000002</v>
      </c>
      <c r="I5" s="1501">
        <f t="shared" ref="I5:I39" si="1">SUM(G5:H5)</f>
        <v>14037167.560000001</v>
      </c>
      <c r="J5" s="909"/>
      <c r="K5" s="909" t="s">
        <v>118</v>
      </c>
      <c r="L5" s="1013">
        <v>3350813</v>
      </c>
      <c r="M5" s="1013">
        <v>4256141.55</v>
      </c>
      <c r="N5" s="1501">
        <f t="shared" ref="N5:N29" si="2">SUM(L5:M5)</f>
        <v>7606954.5499999998</v>
      </c>
      <c r="P5" s="1015"/>
      <c r="Q5" s="1015"/>
      <c r="R5" s="1016"/>
    </row>
    <row r="6" spans="1:18" ht="15" customHeight="1">
      <c r="A6" s="909" t="s">
        <v>52</v>
      </c>
      <c r="B6" s="1011">
        <v>20055165.600000001</v>
      </c>
      <c r="C6" s="1011">
        <v>23977772.829999998</v>
      </c>
      <c r="D6" s="1502">
        <f t="shared" si="0"/>
        <v>44032938.43</v>
      </c>
      <c r="E6" s="910"/>
      <c r="F6" s="911" t="s">
        <v>53</v>
      </c>
      <c r="G6" s="1011">
        <v>4043610.48</v>
      </c>
      <c r="H6" s="1011">
        <v>6067289.8399999999</v>
      </c>
      <c r="I6" s="1502">
        <f t="shared" si="1"/>
        <v>10110900.32</v>
      </c>
      <c r="J6" s="491"/>
      <c r="K6" s="909" t="s">
        <v>120</v>
      </c>
      <c r="L6" s="1011">
        <v>7489617</v>
      </c>
      <c r="M6" s="1011">
        <v>4463765.3</v>
      </c>
      <c r="N6" s="1502">
        <f t="shared" si="2"/>
        <v>11953382.300000001</v>
      </c>
      <c r="P6" s="1015"/>
      <c r="Q6" s="1015"/>
      <c r="R6" s="1016"/>
    </row>
    <row r="7" spans="1:18" ht="15" customHeight="1">
      <c r="A7" s="909" t="s">
        <v>54</v>
      </c>
      <c r="B7" s="1011">
        <v>2683400.4</v>
      </c>
      <c r="C7" s="1011">
        <v>1367138.9</v>
      </c>
      <c r="D7" s="1502">
        <f t="shared" si="0"/>
        <v>4050539.3</v>
      </c>
      <c r="E7" s="910"/>
      <c r="F7" s="911" t="s">
        <v>55</v>
      </c>
      <c r="G7" s="1011">
        <v>2367146.2799999998</v>
      </c>
      <c r="H7" s="1011">
        <v>865634.92</v>
      </c>
      <c r="I7" s="1502">
        <f t="shared" si="1"/>
        <v>3232781.1999999997</v>
      </c>
      <c r="J7" s="491"/>
      <c r="K7" s="909" t="s">
        <v>122</v>
      </c>
      <c r="L7" s="1011">
        <v>112169733.13</v>
      </c>
      <c r="M7" s="1011">
        <v>93730584.390000001</v>
      </c>
      <c r="N7" s="1502">
        <f t="shared" si="2"/>
        <v>205900317.51999998</v>
      </c>
      <c r="P7" s="1015"/>
      <c r="Q7" s="1015"/>
      <c r="R7" s="1016"/>
    </row>
    <row r="8" spans="1:18" ht="15" customHeight="1">
      <c r="A8" s="909" t="s">
        <v>56</v>
      </c>
      <c r="B8" s="1011">
        <v>2488782.48</v>
      </c>
      <c r="C8" s="1011">
        <v>1425819.57</v>
      </c>
      <c r="D8" s="1502">
        <f t="shared" si="0"/>
        <v>3914602.05</v>
      </c>
      <c r="E8" s="910"/>
      <c r="F8" s="911" t="s">
        <v>57</v>
      </c>
      <c r="G8" s="1011">
        <v>4477269.96</v>
      </c>
      <c r="H8" s="1011">
        <v>3306084.35</v>
      </c>
      <c r="I8" s="1502">
        <f t="shared" si="1"/>
        <v>7783354.3100000005</v>
      </c>
      <c r="J8" s="491"/>
      <c r="K8" s="909" t="s">
        <v>124</v>
      </c>
      <c r="L8" s="1011">
        <v>5515937.4000000004</v>
      </c>
      <c r="M8" s="1011">
        <v>5630436.1100000003</v>
      </c>
      <c r="N8" s="1502">
        <f t="shared" si="2"/>
        <v>11146373.510000002</v>
      </c>
      <c r="P8" s="1015"/>
      <c r="Q8" s="1015"/>
      <c r="R8" s="1016"/>
    </row>
    <row r="9" spans="1:18" ht="15" customHeight="1">
      <c r="A9" s="909" t="s">
        <v>58</v>
      </c>
      <c r="B9" s="1011">
        <v>5687285.7800000003</v>
      </c>
      <c r="C9" s="1011">
        <v>4375516.7</v>
      </c>
      <c r="D9" s="1502">
        <f t="shared" si="0"/>
        <v>10062802.48</v>
      </c>
      <c r="E9" s="910"/>
      <c r="F9" s="911" t="s">
        <v>59</v>
      </c>
      <c r="G9" s="1011">
        <v>1740984.28</v>
      </c>
      <c r="H9" s="1011">
        <v>1033664.24</v>
      </c>
      <c r="I9" s="1502">
        <f t="shared" si="1"/>
        <v>2774648.52</v>
      </c>
      <c r="J9" s="491"/>
      <c r="K9" s="909" t="s">
        <v>126</v>
      </c>
      <c r="L9" s="1011">
        <v>1126457.02</v>
      </c>
      <c r="M9" s="1011">
        <v>1029762.27</v>
      </c>
      <c r="N9" s="1502">
        <f t="shared" si="2"/>
        <v>2156219.29</v>
      </c>
      <c r="P9" s="1015"/>
      <c r="Q9" s="1015"/>
      <c r="R9" s="1016"/>
    </row>
    <row r="10" spans="1:18" ht="24" customHeight="1">
      <c r="A10" s="909" t="s">
        <v>60</v>
      </c>
      <c r="B10" s="1011">
        <v>3047251.32</v>
      </c>
      <c r="C10" s="1011">
        <v>1987574.5</v>
      </c>
      <c r="D10" s="1502">
        <f t="shared" si="0"/>
        <v>5034825.82</v>
      </c>
      <c r="E10" s="910"/>
      <c r="F10" s="911" t="s">
        <v>61</v>
      </c>
      <c r="G10" s="1011">
        <v>6490084.7199999997</v>
      </c>
      <c r="H10" s="1011">
        <v>5409646.6699999999</v>
      </c>
      <c r="I10" s="1502">
        <f t="shared" si="1"/>
        <v>11899731.390000001</v>
      </c>
      <c r="J10" s="491"/>
      <c r="K10" s="909" t="s">
        <v>128</v>
      </c>
      <c r="L10" s="1011">
        <v>1489250.2</v>
      </c>
      <c r="M10" s="1011">
        <v>1658697.76</v>
      </c>
      <c r="N10" s="1502">
        <f t="shared" si="2"/>
        <v>3147947.96</v>
      </c>
      <c r="P10" s="1015"/>
      <c r="Q10" s="1015"/>
      <c r="R10" s="1016"/>
    </row>
    <row r="11" spans="1:18" ht="15" customHeight="1">
      <c r="A11" s="909" t="s">
        <v>62</v>
      </c>
      <c r="B11" s="1011">
        <v>37505201.020000003</v>
      </c>
      <c r="C11" s="1011">
        <v>53182065.329999998</v>
      </c>
      <c r="D11" s="1502">
        <f t="shared" si="0"/>
        <v>90687266.349999994</v>
      </c>
      <c r="E11" s="910"/>
      <c r="F11" s="911" t="s">
        <v>63</v>
      </c>
      <c r="G11" s="1011">
        <v>23057993.239999998</v>
      </c>
      <c r="H11" s="1011">
        <v>33869934.68</v>
      </c>
      <c r="I11" s="1502">
        <f t="shared" si="1"/>
        <v>56927927.920000002</v>
      </c>
      <c r="J11" s="491"/>
      <c r="K11" s="909" t="s">
        <v>25</v>
      </c>
      <c r="L11" s="1011">
        <v>17763116.440000001</v>
      </c>
      <c r="M11" s="1011">
        <v>16536676.1</v>
      </c>
      <c r="N11" s="1502">
        <f t="shared" si="2"/>
        <v>34299792.539999999</v>
      </c>
      <c r="P11" s="1015"/>
      <c r="Q11" s="1015"/>
      <c r="R11" s="1016"/>
    </row>
    <row r="12" spans="1:18" ht="15" customHeight="1">
      <c r="A12" s="909" t="s">
        <v>64</v>
      </c>
      <c r="B12" s="1011">
        <v>13511137.9</v>
      </c>
      <c r="C12" s="1011">
        <v>9882606.0299999993</v>
      </c>
      <c r="D12" s="1502">
        <f t="shared" si="0"/>
        <v>23393743.93</v>
      </c>
      <c r="E12" s="910"/>
      <c r="F12" s="911" t="s">
        <v>65</v>
      </c>
      <c r="G12" s="1011">
        <v>66574138.079999998</v>
      </c>
      <c r="H12" s="1011">
        <v>92820591.030000001</v>
      </c>
      <c r="I12" s="1502">
        <f t="shared" si="1"/>
        <v>159394729.11000001</v>
      </c>
      <c r="J12" s="491"/>
      <c r="K12" s="909" t="s">
        <v>130</v>
      </c>
      <c r="L12" s="1011">
        <v>3653316.92</v>
      </c>
      <c r="M12" s="1011">
        <v>4156233.57</v>
      </c>
      <c r="N12" s="1502">
        <f t="shared" si="2"/>
        <v>7809550.4900000002</v>
      </c>
      <c r="P12" s="1015"/>
      <c r="Q12" s="1015"/>
      <c r="R12" s="1016"/>
    </row>
    <row r="13" spans="1:18" ht="15" customHeight="1">
      <c r="A13" s="909" t="s">
        <v>66</v>
      </c>
      <c r="B13" s="1011">
        <v>616642.66</v>
      </c>
      <c r="C13" s="1011">
        <v>886577.33</v>
      </c>
      <c r="D13" s="1502">
        <f t="shared" si="0"/>
        <v>1503219.99</v>
      </c>
      <c r="E13" s="910"/>
      <c r="F13" s="911" t="s">
        <v>67</v>
      </c>
      <c r="G13" s="1011">
        <v>9522528.1199999992</v>
      </c>
      <c r="H13" s="1011">
        <v>6605031.9299999997</v>
      </c>
      <c r="I13" s="1502">
        <f t="shared" si="1"/>
        <v>16127560.049999999</v>
      </c>
      <c r="J13" s="491"/>
      <c r="K13" s="909" t="s">
        <v>131</v>
      </c>
      <c r="L13" s="1011">
        <v>16738199.220000001</v>
      </c>
      <c r="M13" s="1011">
        <v>12251359.699999999</v>
      </c>
      <c r="N13" s="1502">
        <f t="shared" si="2"/>
        <v>28989558.920000002</v>
      </c>
      <c r="P13" s="1015"/>
      <c r="Q13" s="1015"/>
      <c r="R13" s="1016"/>
    </row>
    <row r="14" spans="1:18" ht="15" customHeight="1">
      <c r="A14" s="912" t="s">
        <v>353</v>
      </c>
      <c r="B14" s="1011">
        <v>14837501.34</v>
      </c>
      <c r="C14" s="1011">
        <v>10070294.289999999</v>
      </c>
      <c r="D14" s="1502">
        <f t="shared" si="0"/>
        <v>24907795.629999999</v>
      </c>
      <c r="E14" s="910"/>
      <c r="F14" s="911" t="s">
        <v>68</v>
      </c>
      <c r="G14" s="1011">
        <v>255964.9</v>
      </c>
      <c r="H14" s="1011">
        <v>204643.56</v>
      </c>
      <c r="I14" s="1502">
        <f t="shared" si="1"/>
        <v>460608.45999999996</v>
      </c>
      <c r="J14" s="491"/>
      <c r="K14" s="909" t="s">
        <v>133</v>
      </c>
      <c r="L14" s="1011">
        <v>4715253.88</v>
      </c>
      <c r="M14" s="1011">
        <v>2587227.2400000002</v>
      </c>
      <c r="N14" s="1502">
        <f t="shared" si="2"/>
        <v>7302481.1200000001</v>
      </c>
      <c r="P14" s="1015"/>
      <c r="Q14" s="1015"/>
      <c r="R14" s="1016"/>
    </row>
    <row r="15" spans="1:18" ht="24" customHeight="1">
      <c r="A15" s="909" t="s">
        <v>69</v>
      </c>
      <c r="B15" s="1011">
        <v>937127.62</v>
      </c>
      <c r="C15" s="1011">
        <v>499200.22</v>
      </c>
      <c r="D15" s="1502">
        <f t="shared" si="0"/>
        <v>1436327.8399999999</v>
      </c>
      <c r="E15" s="910"/>
      <c r="F15" s="911" t="s">
        <v>70</v>
      </c>
      <c r="G15" s="1011">
        <v>7465289.7199999997</v>
      </c>
      <c r="H15" s="1011">
        <v>4915731.08</v>
      </c>
      <c r="I15" s="1502">
        <f t="shared" si="1"/>
        <v>12381020.800000001</v>
      </c>
      <c r="J15" s="491"/>
      <c r="K15" s="909" t="s">
        <v>135</v>
      </c>
      <c r="L15" s="1011">
        <v>4065822.29</v>
      </c>
      <c r="M15" s="1011">
        <v>2201707.04</v>
      </c>
      <c r="N15" s="1502">
        <f t="shared" si="2"/>
        <v>6267529.3300000001</v>
      </c>
      <c r="P15" s="1015"/>
      <c r="Q15" s="1015"/>
      <c r="R15" s="1016"/>
    </row>
    <row r="16" spans="1:18" ht="15" customHeight="1">
      <c r="A16" s="909" t="s">
        <v>71</v>
      </c>
      <c r="B16" s="1011">
        <v>6249985.4199999999</v>
      </c>
      <c r="C16" s="1011">
        <v>4863362.5999999996</v>
      </c>
      <c r="D16" s="1502">
        <f t="shared" si="0"/>
        <v>11113348.02</v>
      </c>
      <c r="E16" s="910"/>
      <c r="F16" s="911" t="s">
        <v>72</v>
      </c>
      <c r="G16" s="1011">
        <v>14194416.02</v>
      </c>
      <c r="H16" s="1011">
        <v>14972515.710000001</v>
      </c>
      <c r="I16" s="1502">
        <f t="shared" si="1"/>
        <v>29166931.73</v>
      </c>
      <c r="J16" s="491"/>
      <c r="K16" s="909" t="s">
        <v>137</v>
      </c>
      <c r="L16" s="1011">
        <v>8092509.4400000004</v>
      </c>
      <c r="M16" s="1011">
        <v>6569416.4500000002</v>
      </c>
      <c r="N16" s="1502">
        <f t="shared" si="2"/>
        <v>14661925.890000001</v>
      </c>
      <c r="P16" s="1015"/>
      <c r="Q16" s="1015"/>
      <c r="R16" s="1016"/>
    </row>
    <row r="17" spans="1:18" ht="15" customHeight="1">
      <c r="A17" s="909" t="s">
        <v>73</v>
      </c>
      <c r="B17" s="1011">
        <v>2399935.16</v>
      </c>
      <c r="C17" s="1011">
        <v>1135361</v>
      </c>
      <c r="D17" s="1502">
        <f t="shared" si="0"/>
        <v>3535296.16</v>
      </c>
      <c r="E17" s="910"/>
      <c r="F17" s="911" t="s">
        <v>74</v>
      </c>
      <c r="G17" s="1011">
        <v>1124341.58</v>
      </c>
      <c r="H17" s="1011">
        <v>398729.76</v>
      </c>
      <c r="I17" s="1502">
        <f t="shared" si="1"/>
        <v>1523071.34</v>
      </c>
      <c r="J17" s="491"/>
      <c r="K17" s="909" t="s">
        <v>139</v>
      </c>
      <c r="L17" s="1011">
        <v>5427090.0800000001</v>
      </c>
      <c r="M17" s="1011">
        <v>3332657.72</v>
      </c>
      <c r="N17" s="1502">
        <f t="shared" si="2"/>
        <v>8759747.8000000007</v>
      </c>
      <c r="P17" s="1015"/>
      <c r="Q17" s="1015"/>
      <c r="R17" s="1016"/>
    </row>
    <row r="18" spans="1:18" ht="15" customHeight="1">
      <c r="A18" s="909" t="s">
        <v>75</v>
      </c>
      <c r="B18" s="1011">
        <v>3557065.64</v>
      </c>
      <c r="C18" s="1011">
        <v>2168203.52</v>
      </c>
      <c r="D18" s="1502">
        <f t="shared" si="0"/>
        <v>5725269.1600000001</v>
      </c>
      <c r="E18" s="910"/>
      <c r="F18" s="911" t="s">
        <v>76</v>
      </c>
      <c r="G18" s="1011">
        <v>5811037.3399999999</v>
      </c>
      <c r="H18" s="1011">
        <v>4225757.37</v>
      </c>
      <c r="I18" s="1502">
        <f t="shared" si="1"/>
        <v>10036794.710000001</v>
      </c>
      <c r="J18" s="491"/>
      <c r="K18" s="909" t="s">
        <v>141</v>
      </c>
      <c r="L18" s="1011">
        <v>3192157.04</v>
      </c>
      <c r="M18" s="1011">
        <v>1147321.94</v>
      </c>
      <c r="N18" s="1502">
        <f t="shared" si="2"/>
        <v>4339478.9800000004</v>
      </c>
      <c r="P18" s="1015"/>
      <c r="Q18" s="1015"/>
      <c r="R18" s="1016"/>
    </row>
    <row r="19" spans="1:18" ht="15" customHeight="1">
      <c r="A19" s="909" t="s">
        <v>77</v>
      </c>
      <c r="B19" s="1011">
        <v>2795517.28</v>
      </c>
      <c r="C19" s="1011">
        <v>1150121.1200000001</v>
      </c>
      <c r="D19" s="1502">
        <f t="shared" si="0"/>
        <v>3945638.4</v>
      </c>
      <c r="E19" s="910"/>
      <c r="F19" s="911" t="s">
        <v>78</v>
      </c>
      <c r="G19" s="1011">
        <v>3578219.78</v>
      </c>
      <c r="H19" s="1011">
        <v>2086568.93</v>
      </c>
      <c r="I19" s="1502">
        <f t="shared" si="1"/>
        <v>5664788.71</v>
      </c>
      <c r="J19" s="491"/>
      <c r="K19" s="909" t="s">
        <v>143</v>
      </c>
      <c r="L19" s="1011">
        <v>31730125.600000001</v>
      </c>
      <c r="M19" s="1011">
        <v>29487210.91</v>
      </c>
      <c r="N19" s="1502">
        <f t="shared" si="2"/>
        <v>61217336.510000005</v>
      </c>
      <c r="P19" s="1015"/>
      <c r="Q19" s="1015"/>
      <c r="R19" s="1016"/>
    </row>
    <row r="20" spans="1:18" ht="24" customHeight="1">
      <c r="A20" s="909" t="s">
        <v>79</v>
      </c>
      <c r="B20" s="1011">
        <v>10100035.699999999</v>
      </c>
      <c r="C20" s="1011">
        <v>8285258.04</v>
      </c>
      <c r="D20" s="1502">
        <f t="shared" si="0"/>
        <v>18385293.739999998</v>
      </c>
      <c r="E20" s="910"/>
      <c r="F20" s="911" t="s">
        <v>80</v>
      </c>
      <c r="G20" s="1011">
        <v>1590789.98</v>
      </c>
      <c r="H20" s="1011">
        <v>2705765.86</v>
      </c>
      <c r="I20" s="1502">
        <f t="shared" si="1"/>
        <v>4296555.84</v>
      </c>
      <c r="J20" s="491"/>
      <c r="K20" s="909" t="s">
        <v>145</v>
      </c>
      <c r="L20" s="1011">
        <v>37369814.619999997</v>
      </c>
      <c r="M20" s="1011">
        <v>23385625.84</v>
      </c>
      <c r="N20" s="1502">
        <f t="shared" si="2"/>
        <v>60755440.459999993</v>
      </c>
      <c r="P20" s="1015"/>
      <c r="Q20" s="1015"/>
      <c r="R20" s="1016"/>
    </row>
    <row r="21" spans="1:18" ht="15" customHeight="1">
      <c r="A21" s="909" t="s">
        <v>81</v>
      </c>
      <c r="B21" s="1011">
        <v>5963347.0800000001</v>
      </c>
      <c r="C21" s="1011">
        <v>3653707.11</v>
      </c>
      <c r="D21" s="1502">
        <f t="shared" si="0"/>
        <v>9617054.1899999995</v>
      </c>
      <c r="E21" s="910"/>
      <c r="F21" s="911" t="s">
        <v>82</v>
      </c>
      <c r="G21" s="1011">
        <v>4085918.7</v>
      </c>
      <c r="H21" s="1011">
        <v>1987831.97</v>
      </c>
      <c r="I21" s="1502">
        <f t="shared" si="1"/>
        <v>6073750.6699999999</v>
      </c>
      <c r="J21" s="491"/>
      <c r="K21" s="909" t="s">
        <v>147</v>
      </c>
      <c r="L21" s="1011">
        <v>1024917.24</v>
      </c>
      <c r="M21" s="1011">
        <v>935932.79</v>
      </c>
      <c r="N21" s="1502">
        <f t="shared" si="2"/>
        <v>1960850.03</v>
      </c>
      <c r="P21" s="1015"/>
      <c r="Q21" s="1015"/>
      <c r="R21" s="1016"/>
    </row>
    <row r="22" spans="1:18" ht="15" customHeight="1">
      <c r="A22" s="909" t="s">
        <v>83</v>
      </c>
      <c r="B22" s="1011">
        <v>4791408.7</v>
      </c>
      <c r="C22" s="1011">
        <v>3115230.45</v>
      </c>
      <c r="D22" s="1502">
        <f t="shared" si="0"/>
        <v>7906639.1500000004</v>
      </c>
      <c r="E22" s="910"/>
      <c r="F22" s="911" t="s">
        <v>84</v>
      </c>
      <c r="G22" s="1011">
        <v>107117071.02</v>
      </c>
      <c r="H22" s="1011">
        <v>118541529.64</v>
      </c>
      <c r="I22" s="1502">
        <f t="shared" si="1"/>
        <v>225658600.66</v>
      </c>
      <c r="J22" s="491"/>
      <c r="K22" s="909" t="s">
        <v>149</v>
      </c>
      <c r="L22" s="1011">
        <v>1591847.7</v>
      </c>
      <c r="M22" s="1011">
        <v>1392097.54</v>
      </c>
      <c r="N22" s="1502">
        <f t="shared" si="2"/>
        <v>2983945.24</v>
      </c>
      <c r="P22" s="1015"/>
      <c r="Q22" s="1015"/>
      <c r="R22" s="1016"/>
    </row>
    <row r="23" spans="1:18" ht="15" customHeight="1">
      <c r="A23" s="909" t="s">
        <v>85</v>
      </c>
      <c r="B23" s="1011">
        <v>964627.96</v>
      </c>
      <c r="C23" s="1011">
        <v>1630494.74</v>
      </c>
      <c r="D23" s="1502">
        <f t="shared" si="0"/>
        <v>2595122.7000000002</v>
      </c>
      <c r="E23" s="910"/>
      <c r="F23" s="911" t="s">
        <v>86</v>
      </c>
      <c r="G23" s="1011">
        <v>6518642.7400000002</v>
      </c>
      <c r="H23" s="1011">
        <v>6549001.6900000004</v>
      </c>
      <c r="I23" s="1502">
        <f t="shared" si="1"/>
        <v>13067644.43</v>
      </c>
      <c r="J23" s="491"/>
      <c r="K23" s="909" t="s">
        <v>151</v>
      </c>
      <c r="L23" s="1011">
        <v>7421923.7800000003</v>
      </c>
      <c r="M23" s="1011">
        <v>7640211.4900000002</v>
      </c>
      <c r="N23" s="1502">
        <f t="shared" si="2"/>
        <v>15062135.27</v>
      </c>
      <c r="P23" s="1015"/>
      <c r="Q23" s="1015"/>
      <c r="R23" s="1016"/>
    </row>
    <row r="24" spans="1:18" ht="15" customHeight="1">
      <c r="A24" s="909" t="s">
        <v>87</v>
      </c>
      <c r="B24" s="1011">
        <v>2313203.2400000002</v>
      </c>
      <c r="C24" s="1011">
        <v>981332.79</v>
      </c>
      <c r="D24" s="1502">
        <f t="shared" si="0"/>
        <v>3294536.0300000003</v>
      </c>
      <c r="E24" s="910"/>
      <c r="F24" s="911" t="s">
        <v>88</v>
      </c>
      <c r="G24" s="1011">
        <v>2024449.48</v>
      </c>
      <c r="H24" s="1011">
        <v>719933.49</v>
      </c>
      <c r="I24" s="1502">
        <f t="shared" si="1"/>
        <v>2744382.9699999997</v>
      </c>
      <c r="J24" s="491"/>
      <c r="K24" s="909" t="s">
        <v>153</v>
      </c>
      <c r="L24" s="1011">
        <v>7810101.96</v>
      </c>
      <c r="M24" s="1011">
        <v>7496386.04</v>
      </c>
      <c r="N24" s="1502">
        <f t="shared" si="2"/>
        <v>15306488</v>
      </c>
      <c r="P24" s="1015"/>
      <c r="Q24" s="1015"/>
      <c r="R24" s="1016"/>
    </row>
    <row r="25" spans="1:18" ht="24" customHeight="1">
      <c r="A25" s="909" t="s">
        <v>89</v>
      </c>
      <c r="B25" s="1011">
        <v>77894766.579999998</v>
      </c>
      <c r="C25" s="1011">
        <v>73594410.430000007</v>
      </c>
      <c r="D25" s="1502">
        <f t="shared" si="0"/>
        <v>151489177.00999999</v>
      </c>
      <c r="E25" s="910"/>
      <c r="F25" s="911" t="s">
        <v>90</v>
      </c>
      <c r="G25" s="1011">
        <v>2440128.02</v>
      </c>
      <c r="H25" s="1011">
        <v>1681081.99</v>
      </c>
      <c r="I25" s="1502">
        <f t="shared" si="1"/>
        <v>4121210.01</v>
      </c>
      <c r="J25" s="491"/>
      <c r="K25" s="909" t="s">
        <v>155</v>
      </c>
      <c r="L25" s="1011">
        <v>8894250.6799999997</v>
      </c>
      <c r="M25" s="1011">
        <v>10906321.800000001</v>
      </c>
      <c r="N25" s="1502">
        <f t="shared" si="2"/>
        <v>19800572.48</v>
      </c>
      <c r="P25" s="1015"/>
      <c r="Q25" s="1015"/>
      <c r="R25" s="1016"/>
    </row>
    <row r="26" spans="1:18" ht="15" customHeight="1">
      <c r="A26" s="909" t="s">
        <v>91</v>
      </c>
      <c r="B26" s="1011">
        <v>2721477.8</v>
      </c>
      <c r="C26" s="1011">
        <v>1958797.24</v>
      </c>
      <c r="D26" s="1502">
        <f t="shared" si="0"/>
        <v>4680275.04</v>
      </c>
      <c r="E26" s="910"/>
      <c r="F26" s="911" t="s">
        <v>92</v>
      </c>
      <c r="G26" s="1011">
        <v>1258670.28</v>
      </c>
      <c r="H26" s="1011">
        <v>894436.52</v>
      </c>
      <c r="I26" s="1502">
        <f t="shared" si="1"/>
        <v>2153106.7999999998</v>
      </c>
      <c r="J26" s="491"/>
      <c r="K26" s="909" t="s">
        <v>157</v>
      </c>
      <c r="L26" s="1011">
        <v>2989077.44</v>
      </c>
      <c r="M26" s="1011">
        <v>1869062.47</v>
      </c>
      <c r="N26" s="1502">
        <f t="shared" si="2"/>
        <v>4858139.91</v>
      </c>
      <c r="P26" s="1015"/>
      <c r="Q26" s="1015"/>
      <c r="R26" s="1016"/>
    </row>
    <row r="27" spans="1:18" ht="15" customHeight="1">
      <c r="A27" s="909" t="s">
        <v>93</v>
      </c>
      <c r="B27" s="1011">
        <v>866261.34</v>
      </c>
      <c r="C27" s="1011">
        <v>299412.96999999997</v>
      </c>
      <c r="D27" s="1502">
        <f t="shared" si="0"/>
        <v>1165674.31</v>
      </c>
      <c r="E27" s="910"/>
      <c r="F27" s="911" t="s">
        <v>94</v>
      </c>
      <c r="G27" s="1011">
        <v>5211318.0199999996</v>
      </c>
      <c r="H27" s="1011">
        <v>8263951.6900000004</v>
      </c>
      <c r="I27" s="1502">
        <f t="shared" si="1"/>
        <v>13475269.710000001</v>
      </c>
      <c r="J27" s="491"/>
      <c r="K27" s="909" t="s">
        <v>159</v>
      </c>
      <c r="L27" s="1011">
        <v>6814800.4800000004</v>
      </c>
      <c r="M27" s="1011">
        <v>4307637.87</v>
      </c>
      <c r="N27" s="1502">
        <f t="shared" si="2"/>
        <v>11122438.350000001</v>
      </c>
      <c r="P27" s="1015"/>
      <c r="Q27" s="1015"/>
      <c r="R27" s="1016"/>
    </row>
    <row r="28" spans="1:18" ht="15" customHeight="1">
      <c r="A28" s="909" t="s">
        <v>95</v>
      </c>
      <c r="B28" s="1011">
        <v>11756403.42</v>
      </c>
      <c r="C28" s="1011">
        <v>11135238.34</v>
      </c>
      <c r="D28" s="1502">
        <f t="shared" si="0"/>
        <v>22891641.759999998</v>
      </c>
      <c r="E28" s="910"/>
      <c r="F28" s="913" t="s">
        <v>386</v>
      </c>
      <c r="G28" s="1011">
        <v>1558001.12</v>
      </c>
      <c r="H28" s="1011">
        <v>1645871.72</v>
      </c>
      <c r="I28" s="1502">
        <f t="shared" si="1"/>
        <v>3203872.84</v>
      </c>
      <c r="J28" s="491"/>
      <c r="K28" s="909" t="s">
        <v>161</v>
      </c>
      <c r="L28" s="1011">
        <v>5166894.3600000003</v>
      </c>
      <c r="M28" s="1011">
        <v>6324363.3700000001</v>
      </c>
      <c r="N28" s="1502">
        <f t="shared" si="2"/>
        <v>11491257.73</v>
      </c>
      <c r="P28" s="1015"/>
      <c r="Q28" s="1015"/>
      <c r="R28" s="1016"/>
    </row>
    <row r="29" spans="1:18" ht="15" customHeight="1">
      <c r="A29" s="909" t="s">
        <v>97</v>
      </c>
      <c r="B29" s="1011">
        <v>1764253.8</v>
      </c>
      <c r="C29" s="1011">
        <v>805900.74</v>
      </c>
      <c r="D29" s="1502">
        <f t="shared" si="0"/>
        <v>2570154.54</v>
      </c>
      <c r="E29" s="910"/>
      <c r="F29" s="911" t="s">
        <v>98</v>
      </c>
      <c r="G29" s="1011">
        <v>14314994.52</v>
      </c>
      <c r="H29" s="1011">
        <v>17610749.620000001</v>
      </c>
      <c r="I29" s="1502">
        <f t="shared" si="1"/>
        <v>31925744.140000001</v>
      </c>
      <c r="J29" s="491"/>
      <c r="K29" s="909" t="s">
        <v>163</v>
      </c>
      <c r="L29" s="1011">
        <v>15806360.119999999</v>
      </c>
      <c r="M29" s="1011">
        <v>14361410.140000001</v>
      </c>
      <c r="N29" s="1502">
        <f t="shared" si="2"/>
        <v>30167770.259999998</v>
      </c>
      <c r="P29" s="1015"/>
      <c r="Q29" s="1015"/>
      <c r="R29" s="1016"/>
    </row>
    <row r="30" spans="1:18" ht="24" customHeight="1">
      <c r="A30" s="909" t="s">
        <v>99</v>
      </c>
      <c r="B30" s="1011">
        <v>2601957.06</v>
      </c>
      <c r="C30" s="1011">
        <v>1076975.42</v>
      </c>
      <c r="D30" s="1502">
        <f t="shared" si="0"/>
        <v>3678932.48</v>
      </c>
      <c r="E30" s="910"/>
      <c r="F30" s="911" t="s">
        <v>100</v>
      </c>
      <c r="G30" s="1011">
        <v>2400992.88</v>
      </c>
      <c r="H30" s="1011">
        <v>2074312.76</v>
      </c>
      <c r="I30" s="1502">
        <f t="shared" si="1"/>
        <v>4475305.6399999997</v>
      </c>
      <c r="J30" s="491"/>
      <c r="P30" s="1015"/>
      <c r="Q30" s="1015"/>
      <c r="R30" s="1016"/>
    </row>
    <row r="31" spans="1:18" ht="15" customHeight="1">
      <c r="A31" s="909" t="s">
        <v>101</v>
      </c>
      <c r="B31" s="1011">
        <v>5399589.6799999997</v>
      </c>
      <c r="C31" s="1011">
        <v>2894109.24</v>
      </c>
      <c r="D31" s="1502">
        <f t="shared" si="0"/>
        <v>8293698.9199999999</v>
      </c>
      <c r="E31" s="910"/>
      <c r="F31" s="911" t="s">
        <v>102</v>
      </c>
      <c r="G31" s="1011">
        <v>4268901.9000000004</v>
      </c>
      <c r="H31" s="1011">
        <v>3531589.58</v>
      </c>
      <c r="I31" s="1502">
        <f t="shared" si="1"/>
        <v>7800491.4800000004</v>
      </c>
      <c r="J31" s="491"/>
      <c r="K31" s="914" t="s">
        <v>22</v>
      </c>
      <c r="L31" s="1503">
        <f>SUM(B5:B39,G5:G39,L5:L29)</f>
        <v>1215144608.8799999</v>
      </c>
      <c r="M31" s="1503">
        <f>SUM(C5:C39,H5:H39,M5:M29)</f>
        <v>1175384497.1399999</v>
      </c>
      <c r="N31" s="1503">
        <f>SUM(L31:M31)</f>
        <v>2390529106.0199995</v>
      </c>
      <c r="P31" s="1015"/>
      <c r="Q31" s="1015"/>
      <c r="R31" s="1016"/>
    </row>
    <row r="32" spans="1:18" ht="15" customHeight="1">
      <c r="A32" s="909" t="s">
        <v>103</v>
      </c>
      <c r="B32" s="1011">
        <v>1786465.64</v>
      </c>
      <c r="C32" s="1011">
        <v>2875946.37</v>
      </c>
      <c r="D32" s="1502">
        <f t="shared" si="0"/>
        <v>4662412.01</v>
      </c>
      <c r="E32" s="910"/>
      <c r="F32" s="911" t="s">
        <v>104</v>
      </c>
      <c r="G32" s="1011">
        <v>2065700.04</v>
      </c>
      <c r="H32" s="1011">
        <v>2438789.2799999998</v>
      </c>
      <c r="I32" s="1502">
        <f t="shared" si="1"/>
        <v>4504489.32</v>
      </c>
      <c r="J32" s="491"/>
      <c r="K32" s="491"/>
      <c r="L32" s="491"/>
      <c r="M32" s="491"/>
      <c r="N32" s="915"/>
      <c r="P32" s="1015"/>
      <c r="Q32" s="1015"/>
      <c r="R32" s="1016"/>
    </row>
    <row r="33" spans="1:18" ht="15" customHeight="1">
      <c r="A33" s="909" t="s">
        <v>105</v>
      </c>
      <c r="B33" s="1011">
        <v>240466311.34</v>
      </c>
      <c r="C33" s="1011">
        <v>244279434.53</v>
      </c>
      <c r="D33" s="1502">
        <f t="shared" si="0"/>
        <v>484745745.87</v>
      </c>
      <c r="E33" s="910"/>
      <c r="F33" s="911" t="s">
        <v>106</v>
      </c>
      <c r="G33" s="1011">
        <v>1626751.98</v>
      </c>
      <c r="H33" s="1011">
        <v>1285172.68</v>
      </c>
      <c r="I33" s="1502">
        <f t="shared" si="1"/>
        <v>2911924.66</v>
      </c>
      <c r="J33" s="491"/>
      <c r="K33" s="491"/>
      <c r="L33" s="491"/>
      <c r="M33" s="491"/>
      <c r="N33" s="915"/>
      <c r="P33" s="1015"/>
      <c r="Q33" s="1015"/>
      <c r="R33" s="1016"/>
    </row>
    <row r="34" spans="1:18" ht="15" customHeight="1">
      <c r="A34" s="909" t="s">
        <v>107</v>
      </c>
      <c r="B34" s="1011">
        <v>15329334.68</v>
      </c>
      <c r="C34" s="1011">
        <v>14868863.41</v>
      </c>
      <c r="D34" s="1502">
        <f t="shared" si="0"/>
        <v>30198198.09</v>
      </c>
      <c r="E34" s="910"/>
      <c r="F34" s="911" t="s">
        <v>108</v>
      </c>
      <c r="G34" s="1011">
        <v>2729939.46</v>
      </c>
      <c r="H34" s="1011">
        <v>2052513.05</v>
      </c>
      <c r="I34" s="1502">
        <f t="shared" si="1"/>
        <v>4782452.51</v>
      </c>
      <c r="J34" s="491"/>
      <c r="K34" s="491"/>
      <c r="L34" s="491"/>
      <c r="M34" s="491"/>
      <c r="N34" s="915"/>
      <c r="P34" s="1015"/>
      <c r="Q34" s="1015"/>
      <c r="R34" s="1016"/>
    </row>
    <row r="35" spans="1:18" ht="24" customHeight="1">
      <c r="A35" s="909" t="s">
        <v>109</v>
      </c>
      <c r="B35" s="1011">
        <v>2785997.88</v>
      </c>
      <c r="C35" s="1011">
        <v>1536971.44</v>
      </c>
      <c r="D35" s="1502">
        <f t="shared" si="0"/>
        <v>4322969.32</v>
      </c>
      <c r="E35" s="910"/>
      <c r="F35" s="911" t="s">
        <v>110</v>
      </c>
      <c r="G35" s="1011">
        <v>6597970.7599999998</v>
      </c>
      <c r="H35" s="1011">
        <v>6057740.7699999996</v>
      </c>
      <c r="I35" s="1502">
        <f t="shared" si="1"/>
        <v>12655711.529999999</v>
      </c>
      <c r="J35" s="491"/>
      <c r="K35" s="491"/>
      <c r="L35" s="491"/>
      <c r="M35" s="491"/>
      <c r="N35" s="915"/>
      <c r="P35" s="1015"/>
      <c r="Q35" s="1015"/>
      <c r="R35" s="1016"/>
    </row>
    <row r="36" spans="1:18" ht="15" customHeight="1">
      <c r="A36" s="909" t="s">
        <v>111</v>
      </c>
      <c r="B36" s="1011">
        <v>4865448.0999999996</v>
      </c>
      <c r="C36" s="1011">
        <v>2802837.9</v>
      </c>
      <c r="D36" s="1502">
        <f t="shared" si="0"/>
        <v>7668286</v>
      </c>
      <c r="E36" s="910"/>
      <c r="F36" s="911" t="s">
        <v>112</v>
      </c>
      <c r="G36" s="1011">
        <v>4320729.46</v>
      </c>
      <c r="H36" s="1011">
        <v>3132058.85</v>
      </c>
      <c r="I36" s="1502">
        <f t="shared" si="1"/>
        <v>7452788.3100000005</v>
      </c>
      <c r="J36" s="491"/>
      <c r="K36" s="491"/>
      <c r="L36" s="491"/>
      <c r="M36" s="491"/>
      <c r="N36" s="915"/>
      <c r="P36" s="1015"/>
      <c r="Q36" s="1015"/>
      <c r="R36" s="1016"/>
    </row>
    <row r="37" spans="1:18" ht="15" customHeight="1">
      <c r="A37" s="909" t="s">
        <v>24</v>
      </c>
      <c r="B37" s="1011">
        <v>9800704.8599999994</v>
      </c>
      <c r="C37" s="1011">
        <v>7721596.9699999997</v>
      </c>
      <c r="D37" s="1502">
        <f t="shared" si="0"/>
        <v>17522301.829999998</v>
      </c>
      <c r="E37" s="910"/>
      <c r="F37" s="911" t="s">
        <v>113</v>
      </c>
      <c r="G37" s="1011">
        <v>2974269.58</v>
      </c>
      <c r="H37" s="1011">
        <v>1852127.8</v>
      </c>
      <c r="I37" s="1502">
        <f t="shared" si="1"/>
        <v>4826397.38</v>
      </c>
      <c r="J37" s="491"/>
      <c r="K37" s="491"/>
      <c r="L37" s="491"/>
      <c r="M37" s="491"/>
      <c r="N37" s="915"/>
      <c r="P37" s="1015"/>
      <c r="Q37" s="1015"/>
      <c r="R37" s="1016"/>
    </row>
    <row r="38" spans="1:18" ht="15" customHeight="1">
      <c r="A38" s="909" t="s">
        <v>114</v>
      </c>
      <c r="B38" s="1011">
        <v>18976305.32</v>
      </c>
      <c r="C38" s="1011">
        <v>22069025.41</v>
      </c>
      <c r="D38" s="1502">
        <f t="shared" si="0"/>
        <v>41045330.730000004</v>
      </c>
      <c r="E38" s="910"/>
      <c r="F38" s="911" t="s">
        <v>115</v>
      </c>
      <c r="G38" s="1011">
        <v>10859468.66</v>
      </c>
      <c r="H38" s="1011">
        <v>4357043.9400000004</v>
      </c>
      <c r="I38" s="1502">
        <f t="shared" si="1"/>
        <v>15216512.600000001</v>
      </c>
      <c r="J38" s="491"/>
      <c r="K38" s="491"/>
      <c r="L38" s="491"/>
      <c r="M38" s="491"/>
      <c r="N38" s="915"/>
      <c r="P38" s="1015"/>
      <c r="Q38" s="1015"/>
      <c r="R38" s="1016"/>
    </row>
    <row r="39" spans="1:18" ht="15" customHeight="1">
      <c r="A39" s="916" t="s">
        <v>116</v>
      </c>
      <c r="B39" s="1012">
        <v>3160425.86</v>
      </c>
      <c r="C39" s="1012">
        <v>2536441.56</v>
      </c>
      <c r="D39" s="1504">
        <f t="shared" si="0"/>
        <v>5696867.4199999999</v>
      </c>
      <c r="E39" s="910"/>
      <c r="F39" s="917" t="s">
        <v>117</v>
      </c>
      <c r="G39" s="1012">
        <v>5367858.5</v>
      </c>
      <c r="H39" s="1012">
        <v>5163230.46</v>
      </c>
      <c r="I39" s="1504">
        <f t="shared" si="1"/>
        <v>10531088.960000001</v>
      </c>
      <c r="J39" s="491"/>
      <c r="K39" s="491"/>
      <c r="L39" s="491"/>
      <c r="M39" s="491"/>
      <c r="N39" s="915"/>
      <c r="P39" s="1015"/>
      <c r="Q39" s="1015"/>
      <c r="R39" s="1016"/>
    </row>
    <row r="40" spans="1:18" ht="11.15" customHeight="1">
      <c r="A40" s="899"/>
      <c r="B40" s="918"/>
      <c r="C40" s="918"/>
      <c r="D40" s="918"/>
      <c r="E40" s="919"/>
      <c r="F40" s="919"/>
      <c r="G40" s="918"/>
      <c r="H40" s="918"/>
      <c r="I40" s="918"/>
      <c r="J40" s="918"/>
      <c r="K40" s="918"/>
      <c r="L40" s="918"/>
      <c r="M40" s="918"/>
      <c r="P40" s="1015"/>
      <c r="Q40" s="1015"/>
      <c r="R40" s="1016"/>
    </row>
    <row r="41" spans="1:18" ht="18">
      <c r="A41" s="888" t="s">
        <v>49</v>
      </c>
      <c r="B41" s="920"/>
      <c r="C41" s="491"/>
      <c r="D41" s="491"/>
      <c r="E41" s="911"/>
      <c r="F41" s="911"/>
      <c r="G41" s="491"/>
      <c r="H41" s="491"/>
      <c r="I41" s="491"/>
      <c r="J41" s="491"/>
      <c r="K41" s="491"/>
      <c r="L41" s="491"/>
      <c r="M41" s="491"/>
      <c r="P41" s="1015"/>
      <c r="Q41" s="1015"/>
      <c r="R41" s="1016"/>
    </row>
    <row r="42" spans="1:18">
      <c r="A42" s="899" t="str">
        <f>A2</f>
        <v>Local Sales Tax Distribution - Fiscal Year 2023</v>
      </c>
      <c r="B42" s="920"/>
      <c r="C42" s="918"/>
      <c r="D42" s="918"/>
      <c r="E42" s="919"/>
      <c r="F42" s="919"/>
      <c r="G42" s="918"/>
      <c r="H42" s="918"/>
      <c r="I42" s="918"/>
      <c r="J42" s="918"/>
      <c r="K42" s="918"/>
      <c r="L42" s="918"/>
      <c r="M42" s="918"/>
      <c r="P42" s="1015"/>
      <c r="Q42" s="1015"/>
      <c r="R42" s="1016"/>
    </row>
    <row r="43" spans="1:18" ht="11.15" customHeight="1" thickBot="1">
      <c r="A43" s="901"/>
      <c r="B43" s="902"/>
      <c r="C43" s="903"/>
      <c r="D43" s="903"/>
      <c r="E43" s="911"/>
      <c r="F43" s="901"/>
      <c r="G43" s="902"/>
      <c r="H43" s="903"/>
      <c r="I43" s="903"/>
      <c r="J43" s="905"/>
      <c r="K43" s="901"/>
      <c r="L43" s="902"/>
      <c r="M43" s="903"/>
      <c r="N43" s="903"/>
      <c r="P43" s="1015"/>
      <c r="Q43" s="1015"/>
      <c r="R43" s="1016"/>
    </row>
    <row r="44" spans="1:18" ht="21">
      <c r="A44" s="906" t="s">
        <v>23</v>
      </c>
      <c r="B44" s="907" t="s">
        <v>1015</v>
      </c>
      <c r="C44" s="908" t="s">
        <v>923</v>
      </c>
      <c r="D44" s="908" t="s">
        <v>1016</v>
      </c>
      <c r="E44" s="911"/>
      <c r="F44" s="906" t="s">
        <v>23</v>
      </c>
      <c r="G44" s="907" t="s">
        <v>1015</v>
      </c>
      <c r="H44" s="908" t="s">
        <v>923</v>
      </c>
      <c r="I44" s="908" t="s">
        <v>1016</v>
      </c>
      <c r="J44" s="905"/>
      <c r="K44" s="906" t="s">
        <v>23</v>
      </c>
      <c r="L44" s="907" t="s">
        <v>1015</v>
      </c>
      <c r="M44" s="908" t="s">
        <v>923</v>
      </c>
      <c r="N44" s="908" t="s">
        <v>1016</v>
      </c>
      <c r="P44" s="1015"/>
      <c r="Q44" s="1015"/>
      <c r="R44" s="1016"/>
    </row>
    <row r="45" spans="1:18" ht="15" customHeight="1">
      <c r="A45" s="909" t="s">
        <v>168</v>
      </c>
      <c r="B45" s="1013">
        <v>22228751.640000001</v>
      </c>
      <c r="C45" s="1013">
        <v>39269217.719999999</v>
      </c>
      <c r="D45" s="1501">
        <f t="shared" ref="D45:D59" si="3">SUM(B45:C45)</f>
        <v>61497969.359999999</v>
      </c>
      <c r="E45" s="910"/>
      <c r="F45" s="911" t="s">
        <v>138</v>
      </c>
      <c r="G45" s="1011">
        <v>7521348.1699999999</v>
      </c>
      <c r="H45" s="1011">
        <v>18267716.079999998</v>
      </c>
      <c r="I45" s="1502">
        <f t="shared" ref="I45:I59" si="4">SUM(G45:H45)</f>
        <v>25789064.25</v>
      </c>
      <c r="J45" s="909"/>
      <c r="K45" s="911" t="s">
        <v>25</v>
      </c>
      <c r="L45" s="1011">
        <v>19205827.579999998</v>
      </c>
      <c r="M45" s="1011">
        <v>27614578.399999999</v>
      </c>
      <c r="N45" s="1502">
        <f t="shared" ref="N45:N52" si="5">SUM(L45:M45)</f>
        <v>46820405.979999997</v>
      </c>
      <c r="P45" s="1015"/>
      <c r="Q45" s="1015"/>
      <c r="R45" s="1016"/>
    </row>
    <row r="46" spans="1:18" ht="15" customHeight="1">
      <c r="A46" s="909" t="s">
        <v>170</v>
      </c>
      <c r="B46" s="1011">
        <v>3278888.94</v>
      </c>
      <c r="C46" s="1011">
        <v>6009637.1500000004</v>
      </c>
      <c r="D46" s="1502">
        <f t="shared" si="3"/>
        <v>9288526.0899999999</v>
      </c>
      <c r="E46" s="910"/>
      <c r="F46" s="911" t="s">
        <v>140</v>
      </c>
      <c r="G46" s="1011">
        <v>5125643.78</v>
      </c>
      <c r="H46" s="1011">
        <v>2590776.9300000002</v>
      </c>
      <c r="I46" s="1502">
        <f t="shared" si="4"/>
        <v>7716420.7100000009</v>
      </c>
      <c r="J46" s="491"/>
      <c r="K46" s="911" t="s">
        <v>165</v>
      </c>
      <c r="L46" s="1011">
        <v>4642272.12</v>
      </c>
      <c r="M46" s="1011">
        <v>9288733.0500000007</v>
      </c>
      <c r="N46" s="1502">
        <f t="shared" si="5"/>
        <v>13931005.170000002</v>
      </c>
      <c r="P46" s="1015"/>
      <c r="Q46" s="1015"/>
      <c r="R46" s="1016"/>
    </row>
    <row r="47" spans="1:18" ht="15" customHeight="1">
      <c r="A47" s="909" t="s">
        <v>172</v>
      </c>
      <c r="B47" s="1011">
        <v>1126457.02</v>
      </c>
      <c r="C47" s="1011">
        <v>572678.24</v>
      </c>
      <c r="D47" s="1502">
        <f t="shared" si="3"/>
        <v>1699135.26</v>
      </c>
      <c r="E47" s="910"/>
      <c r="F47" s="911" t="s">
        <v>142</v>
      </c>
      <c r="G47" s="1011">
        <v>796452.7</v>
      </c>
      <c r="H47" s="1011">
        <v>1383666.66</v>
      </c>
      <c r="I47" s="1502">
        <f t="shared" si="4"/>
        <v>2180119.36</v>
      </c>
      <c r="J47" s="491"/>
      <c r="K47" s="911" t="s">
        <v>166</v>
      </c>
      <c r="L47" s="1011">
        <v>4164188.98</v>
      </c>
      <c r="M47" s="1011">
        <v>5889492.5800000001</v>
      </c>
      <c r="N47" s="1502">
        <f t="shared" si="5"/>
        <v>10053681.560000001</v>
      </c>
      <c r="P47" s="1015"/>
      <c r="Q47" s="1015"/>
      <c r="R47" s="1016"/>
    </row>
    <row r="48" spans="1:18" ht="15" customHeight="1">
      <c r="A48" s="909" t="s">
        <v>174</v>
      </c>
      <c r="B48" s="1011">
        <v>6517585.04</v>
      </c>
      <c r="C48" s="1011">
        <v>14319032.880000001</v>
      </c>
      <c r="D48" s="1502">
        <f t="shared" si="3"/>
        <v>20836617.920000002</v>
      </c>
      <c r="E48" s="910"/>
      <c r="F48" s="911" t="s">
        <v>144</v>
      </c>
      <c r="G48" s="1011">
        <v>13220268.66</v>
      </c>
      <c r="H48" s="1011">
        <v>21573741.050000001</v>
      </c>
      <c r="I48" s="1502">
        <f t="shared" si="4"/>
        <v>34794009.710000001</v>
      </c>
      <c r="J48" s="491"/>
      <c r="K48" s="911" t="s">
        <v>167</v>
      </c>
      <c r="L48" s="1011">
        <v>20666519.699999999</v>
      </c>
      <c r="M48" s="1011">
        <v>17993117.5</v>
      </c>
      <c r="N48" s="1502">
        <f t="shared" si="5"/>
        <v>38659637.200000003</v>
      </c>
      <c r="P48" s="1015"/>
      <c r="Q48" s="1015"/>
      <c r="R48" s="1016"/>
    </row>
    <row r="49" spans="1:19" ht="24" customHeight="1">
      <c r="A49" s="909" t="s">
        <v>119</v>
      </c>
      <c r="B49" s="1011">
        <v>55278894.530000001</v>
      </c>
      <c r="C49" s="1011">
        <v>57457340.770000003</v>
      </c>
      <c r="D49" s="1502">
        <f t="shared" si="3"/>
        <v>112736235.30000001</v>
      </c>
      <c r="E49" s="910"/>
      <c r="F49" s="911" t="s">
        <v>146</v>
      </c>
      <c r="G49" s="1011">
        <v>9628298.7400000002</v>
      </c>
      <c r="H49" s="1011">
        <v>12754066.449999999</v>
      </c>
      <c r="I49" s="1502">
        <f t="shared" si="4"/>
        <v>22382365.189999998</v>
      </c>
      <c r="J49" s="491"/>
      <c r="K49" s="911" t="s">
        <v>26</v>
      </c>
      <c r="L49" s="1011">
        <v>89004911.620000005</v>
      </c>
      <c r="M49" s="1011">
        <v>90529712.790000007</v>
      </c>
      <c r="N49" s="1502">
        <f t="shared" si="5"/>
        <v>179534624.41000003</v>
      </c>
      <c r="P49" s="1015"/>
      <c r="Q49" s="1015"/>
      <c r="R49" s="1016"/>
    </row>
    <row r="50" spans="1:19" ht="15" customHeight="1">
      <c r="A50" s="909" t="s">
        <v>121</v>
      </c>
      <c r="B50" s="1014">
        <v>3605720.16</v>
      </c>
      <c r="C50" s="1014">
        <v>9761143.0600000005</v>
      </c>
      <c r="D50" s="1501">
        <f t="shared" si="3"/>
        <v>13366863.220000001</v>
      </c>
      <c r="E50" s="910"/>
      <c r="F50" s="911" t="s">
        <v>148</v>
      </c>
      <c r="G50" s="1011">
        <v>4110245.96</v>
      </c>
      <c r="H50" s="1011">
        <v>2984744.67</v>
      </c>
      <c r="I50" s="1502">
        <f t="shared" si="4"/>
        <v>7094990.6299999999</v>
      </c>
      <c r="J50" s="491"/>
      <c r="K50" s="911" t="s">
        <v>169</v>
      </c>
      <c r="L50" s="1011">
        <v>4445538.8</v>
      </c>
      <c r="M50" s="1011">
        <v>7079204.8399999999</v>
      </c>
      <c r="N50" s="1502">
        <f t="shared" si="5"/>
        <v>11524743.640000001</v>
      </c>
      <c r="P50" s="1015"/>
      <c r="Q50" s="1015"/>
      <c r="R50" s="1016"/>
    </row>
    <row r="51" spans="1:19" ht="15" customHeight="1">
      <c r="A51" s="909" t="s">
        <v>123</v>
      </c>
      <c r="B51" s="1011">
        <v>1141264.8999999999</v>
      </c>
      <c r="C51" s="1011">
        <v>1724650.79</v>
      </c>
      <c r="D51" s="1502">
        <f t="shared" si="3"/>
        <v>2865915.69</v>
      </c>
      <c r="E51" s="910"/>
      <c r="F51" s="911" t="s">
        <v>150</v>
      </c>
      <c r="G51" s="1011">
        <v>2944653.8</v>
      </c>
      <c r="H51" s="1011">
        <v>2497873.11</v>
      </c>
      <c r="I51" s="1502">
        <f t="shared" si="4"/>
        <v>5442526.9100000001</v>
      </c>
      <c r="J51" s="491"/>
      <c r="K51" s="911" t="s">
        <v>171</v>
      </c>
      <c r="L51" s="1011">
        <v>1582328.38</v>
      </c>
      <c r="M51" s="1011">
        <v>5394581.3600000003</v>
      </c>
      <c r="N51" s="1502">
        <f t="shared" si="5"/>
        <v>6976909.7400000002</v>
      </c>
      <c r="P51" s="1015"/>
      <c r="Q51" s="1015"/>
      <c r="R51" s="1016"/>
    </row>
    <row r="52" spans="1:19" ht="15" customHeight="1">
      <c r="A52" s="909" t="s">
        <v>125</v>
      </c>
      <c r="B52" s="1011">
        <v>7915872.5800000001</v>
      </c>
      <c r="C52" s="1011">
        <v>11718257.08</v>
      </c>
      <c r="D52" s="1502">
        <f t="shared" si="3"/>
        <v>19634129.66</v>
      </c>
      <c r="E52" s="910"/>
      <c r="F52" s="911" t="s">
        <v>152</v>
      </c>
      <c r="G52" s="1011">
        <v>35747293.460000001</v>
      </c>
      <c r="H52" s="1011">
        <v>33829632.619999997</v>
      </c>
      <c r="I52" s="1502">
        <f t="shared" si="4"/>
        <v>69576926.079999998</v>
      </c>
      <c r="J52" s="491"/>
      <c r="K52" s="911" t="s">
        <v>173</v>
      </c>
      <c r="L52" s="1011">
        <v>5484206.1600000001</v>
      </c>
      <c r="M52" s="1011">
        <v>12722217.880000001</v>
      </c>
      <c r="N52" s="1502">
        <f t="shared" si="5"/>
        <v>18206424.039999999</v>
      </c>
      <c r="P52" s="1015"/>
      <c r="Q52" s="1015"/>
      <c r="R52" s="1016"/>
    </row>
    <row r="53" spans="1:19" ht="24" customHeight="1">
      <c r="A53" s="911" t="s">
        <v>127</v>
      </c>
      <c r="B53" s="1011">
        <v>1295689.96</v>
      </c>
      <c r="C53" s="1011">
        <v>2521615.31</v>
      </c>
      <c r="D53" s="1502">
        <f t="shared" si="3"/>
        <v>3817305.27</v>
      </c>
      <c r="E53" s="910"/>
      <c r="F53" s="911" t="s">
        <v>154</v>
      </c>
      <c r="G53" s="1011">
        <v>38974354.82</v>
      </c>
      <c r="H53" s="1011">
        <v>44617969.869999997</v>
      </c>
      <c r="I53" s="1502">
        <f t="shared" si="4"/>
        <v>83592324.689999998</v>
      </c>
      <c r="J53" s="491"/>
      <c r="K53" s="911"/>
      <c r="L53" s="921"/>
      <c r="M53" s="921"/>
      <c r="N53" s="491"/>
      <c r="P53" s="1015"/>
      <c r="Q53" s="1015"/>
      <c r="R53" s="1016"/>
    </row>
    <row r="54" spans="1:19" ht="15" customHeight="1">
      <c r="A54" s="911" t="s">
        <v>105</v>
      </c>
      <c r="B54" s="1011">
        <v>4400057.38</v>
      </c>
      <c r="C54" s="1011">
        <v>13575394.609999999</v>
      </c>
      <c r="D54" s="1502">
        <f t="shared" si="3"/>
        <v>17975451.989999998</v>
      </c>
      <c r="E54" s="910"/>
      <c r="F54" s="911" t="s">
        <v>156</v>
      </c>
      <c r="G54" s="1011">
        <v>895877.08</v>
      </c>
      <c r="H54" s="1011">
        <v>2099788.3199999998</v>
      </c>
      <c r="I54" s="1502">
        <f t="shared" si="4"/>
        <v>2995665.4</v>
      </c>
      <c r="J54" s="491"/>
      <c r="K54" s="922" t="s">
        <v>27</v>
      </c>
      <c r="L54" s="1505">
        <f>SUM(B45:B59,G45:G59,L45:L52)</f>
        <v>471495768.94000006</v>
      </c>
      <c r="M54" s="1505">
        <f>SUM(C45:C59,H45:H59,M45:M52)</f>
        <v>595457153.53000009</v>
      </c>
      <c r="N54" s="1505">
        <f>SUM(L54:M54)</f>
        <v>1066952922.4700001</v>
      </c>
      <c r="P54" s="1015"/>
      <c r="Q54" s="1015"/>
      <c r="R54" s="1016"/>
    </row>
    <row r="55" spans="1:19" ht="15" customHeight="1">
      <c r="A55" s="911" t="s">
        <v>129</v>
      </c>
      <c r="B55" s="1011">
        <v>3361390.04</v>
      </c>
      <c r="C55" s="1011">
        <v>5874831.4900000002</v>
      </c>
      <c r="D55" s="1502">
        <f t="shared" si="3"/>
        <v>9236221.5300000012</v>
      </c>
      <c r="E55" s="910"/>
      <c r="F55" s="911" t="s">
        <v>158</v>
      </c>
      <c r="G55" s="1011">
        <v>5249395.46</v>
      </c>
      <c r="H55" s="1011">
        <v>5317779.5</v>
      </c>
      <c r="I55" s="1502">
        <f t="shared" si="4"/>
        <v>10567174.960000001</v>
      </c>
      <c r="J55" s="491"/>
      <c r="L55" s="1506"/>
      <c r="M55" s="1506"/>
      <c r="N55" s="1507"/>
      <c r="P55" s="1015"/>
      <c r="Q55" s="1015"/>
      <c r="R55" s="1016"/>
    </row>
    <row r="56" spans="1:19" ht="15" customHeight="1">
      <c r="A56" s="911" t="s">
        <v>24</v>
      </c>
      <c r="B56" s="1011">
        <v>1808677.44</v>
      </c>
      <c r="C56" s="1011">
        <v>2336760.12</v>
      </c>
      <c r="D56" s="1502">
        <f t="shared" si="3"/>
        <v>4145437.56</v>
      </c>
      <c r="E56" s="910"/>
      <c r="F56" s="911" t="s">
        <v>160</v>
      </c>
      <c r="G56" s="1011">
        <v>2821959.9</v>
      </c>
      <c r="H56" s="1011">
        <v>1107241.5</v>
      </c>
      <c r="I56" s="1502">
        <f t="shared" si="4"/>
        <v>3929201.4</v>
      </c>
      <c r="J56" s="491"/>
      <c r="K56" s="923" t="s">
        <v>22</v>
      </c>
      <c r="L56" s="1505">
        <f>L31</f>
        <v>1215144608.8799999</v>
      </c>
      <c r="M56" s="1505">
        <f>M31</f>
        <v>1175384497.1399999</v>
      </c>
      <c r="N56" s="1505">
        <f>SUM(L56:M56)</f>
        <v>2390529106.0199995</v>
      </c>
      <c r="P56" s="1015"/>
      <c r="Q56" s="1015"/>
      <c r="R56" s="1016"/>
    </row>
    <row r="57" spans="1:19" ht="24" customHeight="1">
      <c r="A57" s="911" t="s">
        <v>132</v>
      </c>
      <c r="B57" s="1011">
        <v>4936314.46</v>
      </c>
      <c r="C57" s="1011">
        <v>15824100.76</v>
      </c>
      <c r="D57" s="1502">
        <f t="shared" si="3"/>
        <v>20760415.219999999</v>
      </c>
      <c r="E57" s="910"/>
      <c r="F57" s="911" t="s">
        <v>162</v>
      </c>
      <c r="G57" s="1011">
        <v>18514087.800000001</v>
      </c>
      <c r="H57" s="1011">
        <v>11649880.109999999</v>
      </c>
      <c r="I57" s="1502">
        <f t="shared" si="4"/>
        <v>30163967.91</v>
      </c>
      <c r="J57" s="491"/>
      <c r="K57" s="891"/>
      <c r="L57" s="1507"/>
      <c r="M57" s="1507"/>
      <c r="N57" s="1507"/>
      <c r="P57" s="1015"/>
      <c r="Q57" s="1015"/>
      <c r="R57" s="1016"/>
    </row>
    <row r="58" spans="1:19" ht="15" customHeight="1">
      <c r="A58" s="911" t="s">
        <v>134</v>
      </c>
      <c r="B58" s="1011">
        <v>1524154.52</v>
      </c>
      <c r="C58" s="1011">
        <v>3094744.87</v>
      </c>
      <c r="D58" s="1502">
        <f t="shared" si="3"/>
        <v>4618899.3900000006</v>
      </c>
      <c r="E58" s="910"/>
      <c r="F58" s="911" t="s">
        <v>164</v>
      </c>
      <c r="G58" s="1011">
        <v>2010699.34</v>
      </c>
      <c r="H58" s="1011">
        <v>1496193.5</v>
      </c>
      <c r="I58" s="1502">
        <f t="shared" si="4"/>
        <v>3506892.84</v>
      </c>
      <c r="J58" s="491"/>
      <c r="K58" s="922" t="s">
        <v>28</v>
      </c>
      <c r="L58" s="1505">
        <f>SUM(L54:L56)</f>
        <v>1686640377.8199999</v>
      </c>
      <c r="M58" s="1505">
        <f>SUM(M54:M56)</f>
        <v>1770841650.6700001</v>
      </c>
      <c r="N58" s="1505">
        <f>SUM(N54:N56)</f>
        <v>3457482028.4899998</v>
      </c>
      <c r="P58" s="1015"/>
      <c r="Q58" s="1015"/>
      <c r="R58" s="1016"/>
    </row>
    <row r="59" spans="1:19" ht="15" customHeight="1">
      <c r="A59" s="916" t="s">
        <v>136</v>
      </c>
      <c r="B59" s="1012">
        <v>25414562.460000001</v>
      </c>
      <c r="C59" s="1012">
        <v>21849099.059999999</v>
      </c>
      <c r="D59" s="1504">
        <f t="shared" si="3"/>
        <v>47263661.519999996</v>
      </c>
      <c r="E59" s="910"/>
      <c r="F59" s="917" t="s">
        <v>128</v>
      </c>
      <c r="G59" s="1012">
        <v>30905114.859999999</v>
      </c>
      <c r="H59" s="1012">
        <v>50865940.850000001</v>
      </c>
      <c r="I59" s="1504">
        <f t="shared" si="4"/>
        <v>81771055.710000008</v>
      </c>
      <c r="J59" s="491"/>
      <c r="K59" s="491"/>
      <c r="L59" s="491"/>
      <c r="M59" s="491"/>
      <c r="N59" s="915"/>
      <c r="P59" s="1015"/>
      <c r="Q59" s="1015"/>
      <c r="R59" s="1016"/>
    </row>
    <row r="60" spans="1:19" ht="11.15" customHeight="1">
      <c r="A60" s="924"/>
      <c r="B60" s="918"/>
      <c r="C60" s="918"/>
      <c r="D60" s="918"/>
      <c r="E60" s="919"/>
      <c r="J60" s="891"/>
      <c r="K60" s="891"/>
      <c r="L60" s="891"/>
      <c r="M60" s="891"/>
      <c r="P60" s="1015"/>
      <c r="Q60" s="1015"/>
      <c r="R60" s="1016"/>
    </row>
    <row r="61" spans="1:19" s="1265" customFormat="1" ht="11" hidden="1" customHeight="1">
      <c r="A61" s="1263" t="s">
        <v>18</v>
      </c>
      <c r="B61" s="1264"/>
      <c r="C61" s="1264"/>
      <c r="D61" s="1264"/>
      <c r="F61" s="1263"/>
      <c r="G61" s="1264"/>
      <c r="H61" s="1264"/>
      <c r="I61" s="1264"/>
      <c r="J61" s="1264"/>
      <c r="K61" s="1264"/>
      <c r="L61" s="1264"/>
      <c r="M61" s="1264"/>
      <c r="R61" s="1266"/>
    </row>
    <row r="62" spans="1:19" s="1265" customFormat="1" ht="11" hidden="1" customHeight="1">
      <c r="A62" s="1263"/>
      <c r="B62" s="1258"/>
      <c r="C62" s="1258"/>
      <c r="D62" s="1258"/>
      <c r="F62" s="1263"/>
      <c r="G62" s="1258"/>
      <c r="H62" s="1623"/>
      <c r="I62" s="1624"/>
      <c r="J62" s="1258"/>
      <c r="K62" s="1258"/>
      <c r="L62" s="1258"/>
      <c r="M62" s="1258"/>
      <c r="R62" s="1266"/>
    </row>
    <row r="63" spans="1:19">
      <c r="A63" s="788" t="s">
        <v>957</v>
      </c>
      <c r="B63" s="706"/>
      <c r="C63" s="706"/>
      <c r="D63" s="706"/>
      <c r="E63" s="707"/>
      <c r="F63" s="705"/>
      <c r="G63" s="705"/>
      <c r="H63" s="705"/>
      <c r="I63" s="705"/>
      <c r="J63" s="705"/>
      <c r="K63" s="705"/>
      <c r="L63" s="705"/>
      <c r="M63" s="705"/>
      <c r="N63" s="705"/>
      <c r="O63" s="705"/>
      <c r="P63" s="1015"/>
      <c r="Q63" s="1015"/>
      <c r="R63" s="1016"/>
      <c r="S63" s="705"/>
    </row>
    <row r="64" spans="1:19" s="705" customFormat="1" ht="12.75" customHeight="1">
      <c r="A64" s="919"/>
      <c r="B64" s="918"/>
      <c r="C64" s="918"/>
      <c r="D64" s="918"/>
      <c r="E64" s="919"/>
      <c r="F64" s="919"/>
      <c r="G64" s="918"/>
      <c r="H64" s="918"/>
      <c r="I64" s="918"/>
      <c r="J64" s="918"/>
      <c r="K64" s="918"/>
      <c r="L64" s="918"/>
      <c r="M64" s="918"/>
      <c r="N64" s="891"/>
      <c r="O64" s="891"/>
      <c r="P64" s="1015"/>
      <c r="Q64" s="1015"/>
      <c r="R64" s="1016"/>
      <c r="S64" s="891"/>
    </row>
    <row r="65" spans="1:18">
      <c r="A65" s="919"/>
      <c r="B65" s="918"/>
      <c r="C65" s="918"/>
      <c r="D65" s="918"/>
      <c r="E65" s="919"/>
      <c r="F65" s="919"/>
      <c r="G65" s="918"/>
      <c r="H65" s="918"/>
      <c r="I65" s="918"/>
      <c r="J65" s="918"/>
      <c r="K65" s="918"/>
      <c r="L65" s="918"/>
      <c r="M65" s="918"/>
      <c r="P65" s="1015"/>
      <c r="Q65" s="1015"/>
      <c r="R65" s="1016"/>
    </row>
    <row r="66" spans="1:18">
      <c r="A66" s="919"/>
      <c r="B66" s="918"/>
      <c r="C66" s="918"/>
      <c r="D66" s="918"/>
      <c r="E66" s="919"/>
      <c r="F66" s="919"/>
      <c r="G66" s="918"/>
      <c r="H66" s="918"/>
      <c r="I66" s="918"/>
      <c r="J66" s="918"/>
      <c r="K66" s="918"/>
      <c r="L66" s="918"/>
      <c r="M66" s="918"/>
      <c r="P66" s="1015"/>
      <c r="Q66" s="1015"/>
      <c r="R66" s="1016"/>
    </row>
    <row r="67" spans="1:18">
      <c r="A67" s="919"/>
      <c r="B67" s="918"/>
      <c r="C67" s="918"/>
      <c r="D67" s="918"/>
      <c r="E67" s="919"/>
      <c r="F67" s="919"/>
      <c r="G67" s="918"/>
      <c r="H67" s="918"/>
      <c r="I67" s="918"/>
      <c r="J67" s="918"/>
      <c r="K67" s="918"/>
      <c r="L67" s="918"/>
      <c r="M67" s="918"/>
      <c r="P67" s="1015"/>
      <c r="Q67" s="1015"/>
      <c r="R67" s="1016"/>
    </row>
    <row r="68" spans="1:18">
      <c r="A68" s="919"/>
      <c r="B68" s="918"/>
      <c r="C68" s="918"/>
      <c r="D68" s="918"/>
      <c r="E68" s="919"/>
      <c r="F68" s="919"/>
      <c r="G68" s="918"/>
      <c r="H68" s="918"/>
      <c r="I68" s="918"/>
      <c r="J68" s="918"/>
      <c r="K68" s="918"/>
      <c r="L68" s="918"/>
      <c r="M68" s="918"/>
      <c r="P68" s="1015"/>
      <c r="Q68" s="1015"/>
      <c r="R68" s="1016"/>
    </row>
    <row r="69" spans="1:18">
      <c r="A69" s="919"/>
      <c r="B69" s="918"/>
      <c r="C69" s="918"/>
      <c r="D69" s="918"/>
      <c r="E69" s="919"/>
      <c r="F69" s="919"/>
      <c r="G69" s="918"/>
      <c r="H69" s="918"/>
      <c r="I69" s="918"/>
      <c r="J69" s="918"/>
      <c r="K69" s="918"/>
      <c r="L69" s="918"/>
      <c r="M69" s="918"/>
      <c r="P69" s="1015"/>
      <c r="Q69" s="1015"/>
      <c r="R69" s="1016"/>
    </row>
    <row r="70" spans="1:18">
      <c r="A70" s="918"/>
      <c r="B70" s="918"/>
      <c r="C70" s="918"/>
      <c r="D70" s="918"/>
      <c r="E70" s="919"/>
      <c r="F70" s="919"/>
      <c r="G70" s="918"/>
      <c r="H70" s="918"/>
      <c r="I70" s="918"/>
      <c r="J70" s="918"/>
      <c r="K70" s="918"/>
      <c r="L70" s="918"/>
      <c r="M70" s="918"/>
      <c r="P70" s="1015"/>
      <c r="Q70" s="1015"/>
      <c r="R70" s="1016"/>
    </row>
    <row r="71" spans="1:18" s="898" customFormat="1">
      <c r="A71" s="897"/>
      <c r="B71" s="897"/>
      <c r="C71" s="897"/>
      <c r="D71" s="897"/>
      <c r="F71" s="1378"/>
      <c r="G71" s="1376"/>
      <c r="H71" s="1376"/>
      <c r="I71" s="1376"/>
      <c r="J71" s="1376"/>
      <c r="K71" s="1376"/>
      <c r="L71" s="1376"/>
      <c r="M71" s="1376"/>
      <c r="P71" s="1375"/>
      <c r="Q71" s="1375"/>
      <c r="R71" s="1381"/>
    </row>
    <row r="72" spans="1:18" s="1377" customFormat="1" ht="11" customHeight="1">
      <c r="A72" s="1379"/>
      <c r="B72" s="1379"/>
      <c r="C72" s="1379"/>
      <c r="D72" s="1379"/>
      <c r="F72" s="1380"/>
      <c r="G72" s="1379"/>
      <c r="H72" s="1625"/>
      <c r="I72" s="1626"/>
      <c r="J72" s="1379"/>
      <c r="K72" s="1379"/>
      <c r="L72" s="1379"/>
      <c r="M72" s="1379"/>
      <c r="R72" s="1384"/>
    </row>
    <row r="73" spans="1:18">
      <c r="P73" s="1015"/>
      <c r="Q73" s="1015"/>
      <c r="R73" s="1016"/>
    </row>
    <row r="74" spans="1:18">
      <c r="P74" s="1015"/>
      <c r="Q74" s="1015"/>
      <c r="R74" s="1016"/>
    </row>
    <row r="75" spans="1:18">
      <c r="P75" s="1015"/>
      <c r="Q75" s="1015"/>
      <c r="R75" s="1016"/>
    </row>
    <row r="76" spans="1:18">
      <c r="P76" s="1015"/>
      <c r="Q76" s="1015"/>
      <c r="R76" s="1016"/>
    </row>
    <row r="77" spans="1:18">
      <c r="P77" s="1015"/>
      <c r="Q77" s="1015"/>
      <c r="R77" s="1016"/>
    </row>
    <row r="78" spans="1:18">
      <c r="P78" s="1015"/>
      <c r="Q78" s="1015"/>
      <c r="R78" s="1016"/>
    </row>
    <row r="79" spans="1:18">
      <c r="P79" s="1015"/>
      <c r="Q79" s="1015"/>
      <c r="R79" s="1016"/>
    </row>
    <row r="80" spans="1:18">
      <c r="P80" s="1015"/>
      <c r="Q80" s="1015"/>
      <c r="R80" s="1016"/>
    </row>
    <row r="81" spans="16:18">
      <c r="P81" s="1015"/>
      <c r="Q81" s="1015"/>
      <c r="R81" s="1016"/>
    </row>
    <row r="82" spans="16:18">
      <c r="P82" s="1015"/>
      <c r="Q82" s="1015"/>
      <c r="R82" s="1016"/>
    </row>
    <row r="83" spans="16:18">
      <c r="P83" s="1015"/>
      <c r="Q83" s="1015"/>
      <c r="R83" s="1016"/>
    </row>
    <row r="84" spans="16:18">
      <c r="P84" s="1015"/>
      <c r="Q84" s="1015"/>
      <c r="R84" s="1016"/>
    </row>
    <row r="85" spans="16:18">
      <c r="P85" s="1015"/>
      <c r="Q85" s="1015"/>
      <c r="R85" s="1016"/>
    </row>
    <row r="86" spans="16:18">
      <c r="P86" s="1015"/>
      <c r="Q86" s="1015"/>
      <c r="R86" s="1016"/>
    </row>
    <row r="87" spans="16:18">
      <c r="P87" s="1015"/>
      <c r="Q87" s="1015"/>
      <c r="R87" s="1016"/>
    </row>
    <row r="88" spans="16:18">
      <c r="P88" s="1015"/>
      <c r="Q88" s="1015"/>
      <c r="R88" s="1016"/>
    </row>
    <row r="89" spans="16:18">
      <c r="P89" s="1015"/>
      <c r="Q89" s="1015"/>
      <c r="R89" s="1016"/>
    </row>
    <row r="90" spans="16:18">
      <c r="P90" s="1015"/>
      <c r="Q90" s="1015"/>
      <c r="R90" s="1016"/>
    </row>
    <row r="91" spans="16:18">
      <c r="P91" s="1015"/>
      <c r="Q91" s="1015"/>
      <c r="R91" s="1016"/>
    </row>
    <row r="92" spans="16:18">
      <c r="P92" s="1015"/>
      <c r="Q92" s="1015"/>
      <c r="R92" s="1016"/>
    </row>
    <row r="93" spans="16:18">
      <c r="P93" s="1015"/>
      <c r="Q93" s="1015"/>
      <c r="R93" s="1016"/>
    </row>
    <row r="94" spans="16:18">
      <c r="P94" s="1015"/>
      <c r="Q94" s="1015"/>
      <c r="R94" s="1016"/>
    </row>
    <row r="95" spans="16:18">
      <c r="P95" s="1015"/>
      <c r="Q95" s="1015"/>
      <c r="R95" s="1016"/>
    </row>
    <row r="96" spans="16:18">
      <c r="P96" s="1015"/>
      <c r="Q96" s="1015"/>
      <c r="R96" s="1016"/>
    </row>
    <row r="97" spans="16:18">
      <c r="P97" s="1015"/>
      <c r="Q97" s="1015"/>
      <c r="R97" s="1016"/>
    </row>
    <row r="98" spans="16:18">
      <c r="P98" s="1015"/>
      <c r="Q98" s="1015"/>
      <c r="R98" s="1016"/>
    </row>
    <row r="99" spans="16:18">
      <c r="P99" s="1015"/>
      <c r="Q99" s="1015"/>
      <c r="R99" s="1016"/>
    </row>
    <row r="100" spans="16:18">
      <c r="P100" s="1015"/>
      <c r="Q100" s="1015"/>
      <c r="R100" s="1016"/>
    </row>
    <row r="101" spans="16:18">
      <c r="P101" s="1015"/>
      <c r="Q101" s="1015"/>
      <c r="R101" s="1016"/>
    </row>
    <row r="102" spans="16:18">
      <c r="P102" s="1015"/>
      <c r="Q102" s="1015"/>
      <c r="R102" s="1016"/>
    </row>
    <row r="103" spans="16:18">
      <c r="P103" s="1015"/>
      <c r="Q103" s="1015"/>
      <c r="R103" s="1016"/>
    </row>
    <row r="104" spans="16:18">
      <c r="P104" s="1015"/>
      <c r="Q104" s="1015"/>
      <c r="R104" s="1016"/>
    </row>
    <row r="105" spans="16:18">
      <c r="P105" s="1015"/>
      <c r="Q105" s="1015"/>
      <c r="R105" s="1016"/>
    </row>
    <row r="106" spans="16:18">
      <c r="P106" s="1015"/>
      <c r="Q106" s="1015"/>
      <c r="R106" s="1016"/>
    </row>
    <row r="107" spans="16:18">
      <c r="P107" s="1015"/>
      <c r="Q107" s="1015"/>
      <c r="R107" s="1016"/>
    </row>
    <row r="108" spans="16:18">
      <c r="P108" s="1015"/>
      <c r="Q108" s="1015"/>
      <c r="R108" s="1016"/>
    </row>
    <row r="109" spans="16:18">
      <c r="P109" s="1015"/>
      <c r="Q109" s="1015"/>
      <c r="R109" s="1016"/>
    </row>
    <row r="110" spans="16:18">
      <c r="P110" s="1015"/>
      <c r="Q110" s="1015"/>
      <c r="R110" s="1016"/>
    </row>
    <row r="111" spans="16:18">
      <c r="P111" s="1015"/>
      <c r="Q111" s="1015"/>
      <c r="R111" s="1016"/>
    </row>
    <row r="112" spans="16:18">
      <c r="P112" s="1015"/>
      <c r="Q112" s="1015"/>
      <c r="R112" s="1016"/>
    </row>
    <row r="113" spans="16:18">
      <c r="P113" s="1015"/>
      <c r="Q113" s="1015"/>
      <c r="R113" s="1016"/>
    </row>
    <row r="114" spans="16:18">
      <c r="P114" s="1015"/>
      <c r="Q114" s="1015"/>
      <c r="R114" s="1016"/>
    </row>
    <row r="115" spans="16:18">
      <c r="P115" s="1015"/>
      <c r="Q115" s="1015"/>
      <c r="R115" s="1016"/>
    </row>
    <row r="116" spans="16:18">
      <c r="P116" s="1015"/>
      <c r="Q116" s="1015"/>
      <c r="R116" s="1016"/>
    </row>
    <row r="117" spans="16:18">
      <c r="P117" s="1015"/>
      <c r="Q117" s="1015"/>
      <c r="R117" s="1016"/>
    </row>
    <row r="118" spans="16:18">
      <c r="P118" s="1015"/>
      <c r="Q118" s="1015"/>
      <c r="R118" s="1016"/>
    </row>
    <row r="119" spans="16:18">
      <c r="P119" s="1015"/>
      <c r="Q119" s="1015"/>
      <c r="R119" s="1016"/>
    </row>
    <row r="120" spans="16:18">
      <c r="P120" s="1015"/>
      <c r="Q120" s="1015"/>
      <c r="R120" s="1016"/>
    </row>
    <row r="121" spans="16:18">
      <c r="P121" s="1015"/>
      <c r="Q121" s="1015"/>
      <c r="R121" s="1016"/>
    </row>
    <row r="122" spans="16:18">
      <c r="P122" s="1015"/>
      <c r="Q122" s="1015"/>
      <c r="R122" s="1016"/>
    </row>
    <row r="123" spans="16:18">
      <c r="P123" s="1015"/>
      <c r="Q123" s="1015"/>
      <c r="R123" s="1016"/>
    </row>
    <row r="124" spans="16:18">
      <c r="P124" s="1015"/>
      <c r="Q124" s="1015"/>
      <c r="R124" s="1016"/>
    </row>
    <row r="125" spans="16:18">
      <c r="P125" s="1015"/>
      <c r="Q125" s="1015"/>
      <c r="R125" s="1016"/>
    </row>
    <row r="126" spans="16:18">
      <c r="P126" s="1015"/>
      <c r="Q126" s="1015"/>
      <c r="R126" s="1016"/>
    </row>
    <row r="127" spans="16:18">
      <c r="P127" s="1015"/>
      <c r="Q127" s="1015"/>
      <c r="R127" s="1016"/>
    </row>
    <row r="128" spans="16:18">
      <c r="P128" s="1015"/>
      <c r="Q128" s="1015"/>
      <c r="R128" s="1016"/>
    </row>
    <row r="129" spans="16:18">
      <c r="P129" s="1015"/>
      <c r="Q129" s="1015"/>
      <c r="R129" s="1016"/>
    </row>
    <row r="130" spans="16:18">
      <c r="P130" s="1015"/>
      <c r="Q130" s="1015"/>
      <c r="R130" s="1016"/>
    </row>
    <row r="131" spans="16:18">
      <c r="P131" s="1015"/>
      <c r="Q131" s="1015"/>
      <c r="R131" s="1016"/>
    </row>
    <row r="132" spans="16:18">
      <c r="P132" s="1015"/>
      <c r="Q132" s="1015"/>
      <c r="R132" s="1016"/>
    </row>
    <row r="133" spans="16:18">
      <c r="P133" s="1015"/>
      <c r="Q133" s="1015"/>
      <c r="R133" s="1016"/>
    </row>
    <row r="134" spans="16:18">
      <c r="P134" s="1015"/>
      <c r="Q134" s="1015"/>
      <c r="R134" s="1016"/>
    </row>
    <row r="135" spans="16:18">
      <c r="P135" s="1015"/>
      <c r="Q135" s="1015"/>
      <c r="R135" s="1016"/>
    </row>
    <row r="136" spans="16:18">
      <c r="P136" s="1015"/>
      <c r="Q136" s="1015"/>
      <c r="R136" s="1016"/>
    </row>
    <row r="137" spans="16:18">
      <c r="P137" s="1015"/>
      <c r="Q137" s="1015"/>
      <c r="R137" s="1016"/>
    </row>
    <row r="138" spans="16:18">
      <c r="P138" s="1015"/>
      <c r="Q138" s="1015"/>
      <c r="R138" s="1016"/>
    </row>
    <row r="139" spans="16:18">
      <c r="P139" s="1015"/>
      <c r="Q139" s="1015"/>
      <c r="R139" s="1016"/>
    </row>
  </sheetData>
  <customSheetViews>
    <customSheetView guid="{E6BBE5A7-0B25-4EE8-BA45-5EA5DBAF3AD4}" showPageBreaks="1" printArea="1">
      <selection activeCell="C50" sqref="C50"/>
      <rowBreaks count="1" manualBreakCount="1">
        <brk id="46" max="16383" man="1"/>
      </rowBreaks>
      <pageMargins left="0.25" right="0.25" top="0.25" bottom="0.5" header="0.5" footer="0.2"/>
      <printOptions horizontalCentered="1" verticalCentered="1"/>
      <pageSetup scale="71" orientation="landscape" r:id="rId1"/>
      <headerFooter alignWithMargins="0"/>
    </customSheetView>
  </customSheetViews>
  <mergeCells count="2">
    <mergeCell ref="H62:I62"/>
    <mergeCell ref="H72:I72"/>
  </mergeCells>
  <conditionalFormatting sqref="E5:E59">
    <cfRule type="cellIs" dxfId="1" priority="1" stopIfTrue="1" operator="notBetween">
      <formula>-0.1</formula>
      <formula>0.1</formula>
    </cfRule>
  </conditionalFormatting>
  <conditionalFormatting sqref="N32:N42 N59">
    <cfRule type="cellIs" dxfId="0" priority="3" stopIfTrue="1" operator="notBetween">
      <formula>-0.1</formula>
      <formula>0.1</formula>
    </cfRule>
  </conditionalFormatting>
  <hyperlinks>
    <hyperlink ref="P1" location="TOC!A1" display="Back" xr:uid="{00000000-0004-0000-1500-000000000000}"/>
  </hyperlinks>
  <pageMargins left="0.5" right="0.35" top="0.35" bottom="0.25" header="0.25" footer="0.25"/>
  <pageSetup scale="86" fitToHeight="2" orientation="landscape" r:id="rId2"/>
  <headerFooter scaleWithDoc="0">
    <oddHeader>&amp;R&amp;P</oddHeader>
  </headerFooter>
  <rowBreaks count="1" manualBreakCount="1">
    <brk id="40" max="1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J38"/>
  <sheetViews>
    <sheetView zoomScaleNormal="100" workbookViewId="0"/>
  </sheetViews>
  <sheetFormatPr defaultRowHeight="12.5"/>
  <cols>
    <col min="1" max="1" width="11.6328125" customWidth="1"/>
    <col min="2" max="2" width="15" customWidth="1"/>
    <col min="3" max="3" width="13.7265625" customWidth="1"/>
    <col min="4" max="4" width="13" customWidth="1"/>
    <col min="5" max="5" width="15" customWidth="1"/>
    <col min="6" max="6" width="15.6328125" customWidth="1"/>
    <col min="7" max="7" width="20" customWidth="1"/>
    <col min="8" max="8" width="19.1796875" customWidth="1"/>
    <col min="9" max="9" width="10.90625" bestFit="1" customWidth="1"/>
    <col min="10" max="10" width="12.453125" bestFit="1" customWidth="1"/>
  </cols>
  <sheetData>
    <row r="1" spans="1:10" ht="18">
      <c r="A1" s="357" t="s">
        <v>234</v>
      </c>
      <c r="B1" s="6"/>
      <c r="C1" s="6"/>
      <c r="D1" s="6"/>
      <c r="E1" s="8"/>
      <c r="F1" s="43"/>
      <c r="G1" s="43"/>
      <c r="H1" s="6"/>
      <c r="I1" s="855" t="s">
        <v>984</v>
      </c>
    </row>
    <row r="2" spans="1:10" ht="15.5">
      <c r="A2" s="44" t="s">
        <v>177</v>
      </c>
      <c r="B2" s="6"/>
      <c r="C2" s="6"/>
      <c r="D2" s="6"/>
      <c r="E2" s="8"/>
      <c r="F2" s="45"/>
      <c r="G2" s="45"/>
      <c r="H2" s="6"/>
    </row>
    <row r="3" spans="1:10" ht="6" customHeight="1">
      <c r="A3" s="15"/>
      <c r="B3" s="222" t="s">
        <v>739</v>
      </c>
      <c r="C3" s="6"/>
      <c r="D3" s="6"/>
      <c r="E3" s="8"/>
      <c r="F3" s="15"/>
      <c r="G3" s="15"/>
      <c r="H3" s="6"/>
    </row>
    <row r="4" spans="1:10" ht="6" customHeight="1" thickBot="1">
      <c r="A4" s="214"/>
      <c r="B4" s="6"/>
      <c r="C4" s="6"/>
      <c r="D4" s="6"/>
      <c r="E4" s="8"/>
      <c r="F4" s="15"/>
      <c r="G4" s="15"/>
      <c r="H4" s="6"/>
    </row>
    <row r="5" spans="1:10" ht="15" customHeight="1" thickTop="1">
      <c r="A5" s="46"/>
      <c r="B5" s="1267" t="s">
        <v>178</v>
      </c>
      <c r="C5" s="1276" t="s">
        <v>1219</v>
      </c>
      <c r="D5" s="1273" t="s">
        <v>179</v>
      </c>
      <c r="E5" s="1268" t="s">
        <v>180</v>
      </c>
      <c r="F5" s="1278" t="s">
        <v>181</v>
      </c>
      <c r="G5" s="1269" t="s">
        <v>1218</v>
      </c>
      <c r="H5" s="47"/>
    </row>
    <row r="6" spans="1:10" ht="15" customHeight="1">
      <c r="A6" s="48" t="s">
        <v>29</v>
      </c>
      <c r="B6" s="1275" t="s">
        <v>182</v>
      </c>
      <c r="C6" s="1277" t="s">
        <v>1220</v>
      </c>
      <c r="D6" s="1274" t="s">
        <v>20</v>
      </c>
      <c r="E6" s="1272" t="s">
        <v>20</v>
      </c>
      <c r="F6" s="1271" t="s">
        <v>183</v>
      </c>
      <c r="G6" s="1270" t="s">
        <v>1246</v>
      </c>
      <c r="H6" s="49"/>
    </row>
    <row r="7" spans="1:10" ht="15" hidden="1" customHeight="1">
      <c r="A7" s="50">
        <v>2010</v>
      </c>
      <c r="B7" s="211">
        <v>275338000</v>
      </c>
      <c r="C7" s="211">
        <v>5635000</v>
      </c>
      <c r="D7" s="211">
        <v>5671000</v>
      </c>
      <c r="E7" s="211">
        <v>3618000</v>
      </c>
      <c r="F7" s="211">
        <v>6223000</v>
      </c>
      <c r="G7" s="347" t="s">
        <v>48</v>
      </c>
      <c r="H7" s="347"/>
    </row>
    <row r="8" spans="1:10" ht="15" hidden="1" customHeight="1">
      <c r="A8" s="50">
        <v>2011</v>
      </c>
      <c r="B8" s="15">
        <v>276572000</v>
      </c>
      <c r="C8" s="15">
        <v>6176000</v>
      </c>
      <c r="D8" s="15">
        <v>2713000</v>
      </c>
      <c r="E8" s="15">
        <v>3477000</v>
      </c>
      <c r="F8" s="15">
        <v>5985000</v>
      </c>
      <c r="G8" s="347" t="s">
        <v>48</v>
      </c>
      <c r="H8" s="347"/>
    </row>
    <row r="9" spans="1:10" ht="15" hidden="1" customHeight="1">
      <c r="A9" s="50">
        <v>2012</v>
      </c>
      <c r="B9" s="15">
        <v>307149000</v>
      </c>
      <c r="C9" s="15">
        <v>6254000</v>
      </c>
      <c r="D9" s="15">
        <v>298000</v>
      </c>
      <c r="E9" s="15">
        <v>3676000</v>
      </c>
      <c r="F9" s="1279">
        <v>6880000</v>
      </c>
      <c r="G9" s="347" t="s">
        <v>48</v>
      </c>
      <c r="H9" s="347"/>
    </row>
    <row r="10" spans="1:10" ht="15" customHeight="1">
      <c r="A10" s="50">
        <v>2013</v>
      </c>
      <c r="B10" s="15">
        <v>360109000</v>
      </c>
      <c r="C10" s="15">
        <v>6181000</v>
      </c>
      <c r="D10" s="15">
        <v>-268000</v>
      </c>
      <c r="E10" s="15">
        <v>5514000</v>
      </c>
      <c r="F10" s="1279">
        <v>7327000</v>
      </c>
      <c r="G10" s="347" t="s">
        <v>48</v>
      </c>
      <c r="H10" s="347"/>
    </row>
    <row r="11" spans="1:10" ht="15" customHeight="1">
      <c r="A11" s="50">
        <v>2014</v>
      </c>
      <c r="B11" s="15">
        <v>296103000</v>
      </c>
      <c r="C11" s="15">
        <v>6425000</v>
      </c>
      <c r="D11" s="15">
        <v>196000</v>
      </c>
      <c r="E11" s="15">
        <v>4222000</v>
      </c>
      <c r="F11" s="1279">
        <v>6979000</v>
      </c>
      <c r="G11" s="1281">
        <v>320421000</v>
      </c>
      <c r="H11" s="347"/>
    </row>
    <row r="12" spans="1:10" ht="15" customHeight="1">
      <c r="A12" s="50">
        <v>2015</v>
      </c>
      <c r="B12" s="15">
        <v>331713000</v>
      </c>
      <c r="C12" s="15">
        <v>6419000</v>
      </c>
      <c r="D12" s="15">
        <v>98000</v>
      </c>
      <c r="E12" s="15">
        <v>4493000</v>
      </c>
      <c r="F12" s="1279">
        <v>7089000</v>
      </c>
      <c r="G12" s="1282">
        <v>300641000</v>
      </c>
      <c r="H12" s="347"/>
    </row>
    <row r="13" spans="1:10" ht="15" customHeight="1">
      <c r="A13" s="50">
        <v>2016</v>
      </c>
      <c r="B13" s="15">
        <v>354104000</v>
      </c>
      <c r="C13" s="15">
        <v>6364000</v>
      </c>
      <c r="D13" s="15">
        <v>222000</v>
      </c>
      <c r="E13" s="15">
        <v>4688000</v>
      </c>
      <c r="F13" s="1279">
        <v>6538000</v>
      </c>
      <c r="G13" s="1282">
        <v>339081000</v>
      </c>
      <c r="H13" s="347"/>
    </row>
    <row r="14" spans="1:10" ht="15" customHeight="1">
      <c r="A14" s="50">
        <v>2017</v>
      </c>
      <c r="B14" s="15">
        <v>378757000</v>
      </c>
      <c r="C14" s="15">
        <v>6521000</v>
      </c>
      <c r="D14" s="15">
        <v>8202000</v>
      </c>
      <c r="E14" s="15">
        <v>3597000</v>
      </c>
      <c r="F14" s="1279">
        <v>6346000</v>
      </c>
      <c r="G14" s="1282">
        <v>340910000</v>
      </c>
      <c r="H14" s="402"/>
      <c r="I14" s="399"/>
      <c r="J14" s="399"/>
    </row>
    <row r="15" spans="1:10" ht="15" customHeight="1">
      <c r="A15" s="50">
        <v>2018</v>
      </c>
      <c r="B15" s="15">
        <v>380183000</v>
      </c>
      <c r="C15" s="15">
        <v>6415000</v>
      </c>
      <c r="D15" s="15">
        <v>932000</v>
      </c>
      <c r="E15" s="15">
        <v>7365000</v>
      </c>
      <c r="F15" s="1279">
        <v>6469000</v>
      </c>
      <c r="G15" s="1282">
        <v>337947000</v>
      </c>
      <c r="H15" s="403"/>
      <c r="I15" s="399"/>
      <c r="J15" s="399"/>
    </row>
    <row r="16" spans="1:10" ht="15" customHeight="1">
      <c r="A16" s="50">
        <v>2019</v>
      </c>
      <c r="B16" s="15">
        <v>372107000</v>
      </c>
      <c r="C16" s="15">
        <v>6738000</v>
      </c>
      <c r="D16" s="15">
        <v>191000</v>
      </c>
      <c r="E16" s="15">
        <v>5681000</v>
      </c>
      <c r="F16" s="1279">
        <v>6444000</v>
      </c>
      <c r="G16" s="1283">
        <v>382018000</v>
      </c>
      <c r="H16" s="404"/>
      <c r="I16" s="399"/>
      <c r="J16" s="399"/>
    </row>
    <row r="17" spans="1:10" ht="15" customHeight="1">
      <c r="A17" s="50">
        <v>2020</v>
      </c>
      <c r="B17" s="15">
        <f>ROUND(39715917.44+-6507.25+-48621.15+487130322.81+-59669923.88,-3)</f>
        <v>467121000</v>
      </c>
      <c r="C17" s="15">
        <f>ROUND(6074046.59+-46849.18+0+560500.22,-3)</f>
        <v>6588000</v>
      </c>
      <c r="D17" s="15">
        <f>ROUND(10996+69278.18,-3)</f>
        <v>80000</v>
      </c>
      <c r="E17" s="15">
        <f>ROUND(6772425.16,-3)</f>
        <v>6772000</v>
      </c>
      <c r="F17" s="1279">
        <f>ROUND(5794346.74+726593.281,-3)</f>
        <v>6521000</v>
      </c>
      <c r="G17" s="1283">
        <f>ROUND(603081210.21-242492835.9,-3)</f>
        <v>360588000</v>
      </c>
      <c r="H17" s="404"/>
      <c r="I17" s="404"/>
      <c r="J17" s="404"/>
    </row>
    <row r="18" spans="1:10" ht="15" customHeight="1">
      <c r="A18" s="50">
        <v>2021</v>
      </c>
      <c r="B18" s="15">
        <f>ROUND(656755933.34,-3)</f>
        <v>656756000</v>
      </c>
      <c r="C18" s="15">
        <f>ROUND(7768577.65,-3)</f>
        <v>7769000</v>
      </c>
      <c r="D18" s="15">
        <f>ROUND(810177.55,-3)</f>
        <v>810000</v>
      </c>
      <c r="E18" s="15">
        <f>ROUND(9398274.96,-3)</f>
        <v>9398000</v>
      </c>
      <c r="F18" s="1279">
        <f>ROUND(6050514.76,-3)</f>
        <v>6051000</v>
      </c>
      <c r="G18" s="1283">
        <f>ROUND(363104671.05,-3)</f>
        <v>363105000</v>
      </c>
      <c r="H18" s="404"/>
      <c r="I18" s="399"/>
      <c r="J18" s="399"/>
    </row>
    <row r="19" spans="1:10" ht="15" customHeight="1">
      <c r="A19" s="50">
        <v>2022</v>
      </c>
      <c r="B19" s="617">
        <v>634000000</v>
      </c>
      <c r="C19" s="617">
        <v>8542000</v>
      </c>
      <c r="D19" s="617">
        <v>27000</v>
      </c>
      <c r="E19" s="617">
        <v>9070000</v>
      </c>
      <c r="F19" s="1280">
        <v>6110000</v>
      </c>
      <c r="G19" s="1284">
        <v>426830000</v>
      </c>
      <c r="H19" s="400"/>
      <c r="I19" s="399"/>
      <c r="J19" s="399"/>
    </row>
    <row r="20" spans="1:10" ht="15" customHeight="1">
      <c r="A20" s="50">
        <v>2023</v>
      </c>
      <c r="B20" s="617">
        <v>415504000</v>
      </c>
      <c r="C20" s="617">
        <v>8465000</v>
      </c>
      <c r="D20" s="617">
        <v>0</v>
      </c>
      <c r="E20" s="617">
        <v>9306000</v>
      </c>
      <c r="F20" s="1280">
        <v>6681000</v>
      </c>
      <c r="G20" s="1284">
        <v>450877000</v>
      </c>
      <c r="H20" s="400"/>
      <c r="I20" s="399"/>
      <c r="J20" s="399"/>
    </row>
    <row r="21" spans="1:10" s="704" customFormat="1" ht="13">
      <c r="A21" s="791"/>
      <c r="B21" s="790"/>
      <c r="C21" s="790"/>
      <c r="D21" s="790"/>
      <c r="E21" s="790"/>
      <c r="F21" s="790"/>
      <c r="G21" s="790"/>
      <c r="H21" s="791"/>
      <c r="I21" s="792" t="s">
        <v>741</v>
      </c>
    </row>
    <row r="22" spans="1:10" s="1258" customFormat="1" ht="14.5" customHeight="1">
      <c r="A22" s="1627" t="s">
        <v>1256</v>
      </c>
      <c r="B22" s="1627"/>
      <c r="C22" s="1627"/>
      <c r="D22" s="1627"/>
      <c r="E22" s="1627"/>
      <c r="F22" s="1627"/>
      <c r="G22" s="1627"/>
      <c r="H22" s="1627"/>
    </row>
    <row r="23" spans="1:10" s="1258" customFormat="1" ht="50" customHeight="1">
      <c r="A23" s="1628" t="s">
        <v>1344</v>
      </c>
      <c r="B23" s="1628"/>
      <c r="C23" s="1628"/>
      <c r="D23" s="1628"/>
      <c r="E23" s="1628"/>
      <c r="F23" s="1628"/>
      <c r="G23" s="1628"/>
      <c r="H23" s="1628"/>
    </row>
    <row r="24" spans="1:10" s="1258" customFormat="1" ht="27" customHeight="1">
      <c r="A24" s="1628" t="s">
        <v>1257</v>
      </c>
      <c r="B24" s="1628"/>
      <c r="C24" s="1628"/>
      <c r="D24" s="1628"/>
      <c r="E24" s="1628"/>
      <c r="F24" s="1628"/>
      <c r="G24" s="1628"/>
      <c r="H24" s="1628"/>
    </row>
    <row r="25" spans="1:10" s="1258" customFormat="1" ht="15" customHeight="1">
      <c r="A25" s="1627" t="s">
        <v>753</v>
      </c>
      <c r="B25" s="1627"/>
      <c r="C25" s="1627"/>
      <c r="D25" s="1627"/>
      <c r="E25" s="1627"/>
      <c r="F25" s="1627"/>
      <c r="G25" s="1627"/>
      <c r="H25" s="1627"/>
    </row>
    <row r="26" spans="1:10" s="1258" customFormat="1" ht="15" customHeight="1">
      <c r="A26" s="1627" t="s">
        <v>754</v>
      </c>
      <c r="B26" s="1627"/>
      <c r="C26" s="1627"/>
      <c r="D26" s="1627"/>
      <c r="E26" s="1627"/>
      <c r="F26" s="1627"/>
      <c r="G26" s="1627"/>
      <c r="H26" s="1627"/>
    </row>
    <row r="27" spans="1:10" s="1258" customFormat="1" ht="50" customHeight="1">
      <c r="A27" s="1627" t="s">
        <v>1217</v>
      </c>
      <c r="B27" s="1627"/>
      <c r="C27" s="1627"/>
      <c r="D27" s="1627"/>
      <c r="E27" s="1627"/>
      <c r="F27" s="1627"/>
      <c r="G27" s="1627"/>
      <c r="H27" s="1627"/>
    </row>
    <row r="28" spans="1:10" s="705" customFormat="1" ht="12.75" customHeight="1">
      <c r="A28" s="788" t="s">
        <v>956</v>
      </c>
      <c r="B28" s="706"/>
      <c r="C28" s="706"/>
      <c r="D28" s="706"/>
      <c r="E28" s="707"/>
    </row>
    <row r="36" spans="1:10" s="1572" customFormat="1" ht="11.5"/>
    <row r="37" spans="1:10" s="1572" customFormat="1" ht="11.5">
      <c r="A37" s="1573"/>
      <c r="B37" s="1573"/>
      <c r="C37" s="1573"/>
      <c r="D37" s="1573"/>
      <c r="E37" s="1573"/>
      <c r="F37" s="1573"/>
      <c r="G37" s="1573"/>
      <c r="H37" s="1573"/>
      <c r="I37" s="1382"/>
      <c r="J37" s="1382"/>
    </row>
    <row r="38" spans="1:10" s="1379" customFormat="1" ht="11.5">
      <c r="A38" s="1574"/>
      <c r="B38" s="1574"/>
      <c r="C38" s="1574"/>
      <c r="D38" s="1574"/>
      <c r="E38" s="1574"/>
      <c r="F38" s="1574"/>
      <c r="G38" s="1574"/>
      <c r="H38" s="1574"/>
    </row>
  </sheetData>
  <customSheetViews>
    <customSheetView guid="{E6BBE5A7-0B25-4EE8-BA45-5EA5DBAF3AD4}">
      <selection activeCell="A19" sqref="A19"/>
      <pageMargins left="0.75" right="0.75" top="0.75" bottom="1" header="0.5" footer="0.5"/>
      <printOptions horizontalCentered="1"/>
      <pageSetup scale="88" orientation="landscape" r:id="rId1"/>
      <headerFooter alignWithMargins="0"/>
    </customSheetView>
  </customSheetViews>
  <mergeCells count="6">
    <mergeCell ref="A22:H22"/>
    <mergeCell ref="A24:H24"/>
    <mergeCell ref="A23:H23"/>
    <mergeCell ref="A27:H27"/>
    <mergeCell ref="A25:H25"/>
    <mergeCell ref="A26:H26"/>
  </mergeCells>
  <phoneticPr fontId="15" type="noConversion"/>
  <hyperlinks>
    <hyperlink ref="I1" location="TOC!A1" display="Back" xr:uid="{00000000-0004-0000-1600-000000000000}"/>
  </hyperlinks>
  <pageMargins left="0.6" right="0.25" top="0.5" bottom="0.25" header="0.25" footer="0.25"/>
  <pageSetup orientation="landscape" r:id="rId2"/>
  <headerFooter scaleWithDoc="0">
    <oddHeader>&amp;R&amp;P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dimension ref="A1:Y66"/>
  <sheetViews>
    <sheetView zoomScaleNormal="100" workbookViewId="0"/>
  </sheetViews>
  <sheetFormatPr defaultRowHeight="12.5"/>
  <cols>
    <col min="1" max="1" width="12.6328125" customWidth="1"/>
    <col min="2" max="2" width="14.6328125" customWidth="1"/>
    <col min="3" max="5" width="13.7265625" customWidth="1"/>
    <col min="6" max="7" width="15.6328125" customWidth="1"/>
    <col min="8" max="8" width="14.6328125" customWidth="1"/>
    <col min="9" max="9" width="13.7265625" customWidth="1"/>
    <col min="10" max="10" width="8.7265625" customWidth="1"/>
    <col min="11" max="11" width="12.54296875" bestFit="1" customWidth="1"/>
    <col min="12" max="12" width="11.81640625" customWidth="1"/>
    <col min="13" max="13" width="12" customWidth="1"/>
    <col min="14" max="14" width="11.54296875" customWidth="1"/>
    <col min="15" max="15" width="12.26953125" customWidth="1"/>
    <col min="16" max="16" width="9.81640625" customWidth="1"/>
    <col min="17" max="17" width="9.81640625" bestFit="1" customWidth="1"/>
    <col min="18" max="18" width="11" customWidth="1"/>
    <col min="19" max="20" width="9.26953125" bestFit="1" customWidth="1"/>
    <col min="21" max="21" width="9.81640625" bestFit="1" customWidth="1"/>
    <col min="22" max="22" width="10.7265625" customWidth="1"/>
    <col min="23" max="24" width="9.26953125" bestFit="1" customWidth="1"/>
  </cols>
  <sheetData>
    <row r="1" spans="1:25" ht="17.5" customHeight="1">
      <c r="A1" s="51" t="s">
        <v>235</v>
      </c>
      <c r="B1" s="6"/>
      <c r="C1" s="6"/>
      <c r="D1" s="6"/>
      <c r="E1" s="6"/>
      <c r="F1" s="8"/>
      <c r="G1" s="6"/>
      <c r="H1" s="6"/>
      <c r="K1" s="855" t="s">
        <v>984</v>
      </c>
    </row>
    <row r="2" spans="1:25" ht="15.65" customHeight="1">
      <c r="A2" s="3" t="s">
        <v>751</v>
      </c>
      <c r="B2" s="6"/>
      <c r="C2" s="6"/>
      <c r="D2" s="6"/>
      <c r="E2" s="6"/>
      <c r="F2" s="8"/>
      <c r="G2" s="6"/>
      <c r="H2" s="6"/>
    </row>
    <row r="3" spans="1:25" ht="5" customHeight="1">
      <c r="A3" s="223"/>
      <c r="B3" s="238"/>
      <c r="C3" s="6"/>
      <c r="D3" s="6"/>
      <c r="E3" s="238"/>
      <c r="F3" s="6"/>
      <c r="G3" s="6"/>
      <c r="H3" s="238"/>
    </row>
    <row r="4" spans="1:25" ht="5" customHeight="1" thickBot="1">
      <c r="A4" s="1289"/>
      <c r="B4" s="1290"/>
      <c r="C4" s="1291"/>
      <c r="D4" s="1291"/>
      <c r="E4" s="1290"/>
      <c r="F4" s="1291"/>
      <c r="G4" s="1291"/>
      <c r="H4" s="1290"/>
    </row>
    <row r="5" spans="1:25" ht="27" customHeight="1" thickTop="1">
      <c r="A5" s="1292" t="s">
        <v>29</v>
      </c>
      <c r="B5" s="1292" t="s">
        <v>1222</v>
      </c>
      <c r="C5" s="1292" t="s">
        <v>1223</v>
      </c>
      <c r="D5" s="1293" t="s">
        <v>1224</v>
      </c>
      <c r="E5" s="1293" t="s">
        <v>1234</v>
      </c>
      <c r="F5" s="1293" t="s">
        <v>258</v>
      </c>
      <c r="G5" s="1293" t="s">
        <v>1226</v>
      </c>
      <c r="H5" s="1292" t="s">
        <v>1225</v>
      </c>
      <c r="I5" s="1397" t="s">
        <v>1262</v>
      </c>
      <c r="K5" s="83"/>
      <c r="L5" s="83"/>
      <c r="M5" s="83"/>
      <c r="N5" s="83"/>
      <c r="O5" s="83"/>
      <c r="P5" s="83"/>
      <c r="Q5" s="83"/>
      <c r="R5" s="83"/>
      <c r="S5" s="83"/>
      <c r="T5" s="83"/>
      <c r="U5" s="83"/>
      <c r="V5" s="83"/>
      <c r="W5" s="83"/>
      <c r="X5" s="83"/>
      <c r="Y5" s="83"/>
    </row>
    <row r="6" spans="1:25" ht="12.75" hidden="1" customHeight="1">
      <c r="A6" s="50">
        <v>2010</v>
      </c>
      <c r="B6" s="211">
        <v>5107000</v>
      </c>
      <c r="C6" s="211">
        <v>146000</v>
      </c>
      <c r="D6" s="211">
        <v>99000</v>
      </c>
      <c r="E6" s="211">
        <v>549000</v>
      </c>
      <c r="F6" s="346">
        <v>158389000</v>
      </c>
      <c r="G6" s="346">
        <v>17668000</v>
      </c>
      <c r="H6" s="211">
        <v>8309000</v>
      </c>
      <c r="I6" s="211"/>
      <c r="K6" s="83"/>
      <c r="L6" s="83"/>
      <c r="M6" s="83"/>
      <c r="N6" s="83"/>
      <c r="O6" s="83"/>
      <c r="P6" s="83"/>
      <c r="Q6" s="83"/>
      <c r="R6" s="83"/>
      <c r="S6" s="83"/>
      <c r="T6" s="83"/>
      <c r="U6" s="83"/>
      <c r="V6" s="83"/>
      <c r="W6" s="83"/>
      <c r="X6" s="83"/>
      <c r="Y6" s="83"/>
    </row>
    <row r="7" spans="1:25" ht="12.5" hidden="1" customHeight="1">
      <c r="A7" s="50">
        <v>2011</v>
      </c>
      <c r="B7" s="15">
        <v>5143000</v>
      </c>
      <c r="C7" s="15">
        <v>151000</v>
      </c>
      <c r="D7" s="15">
        <v>102000</v>
      </c>
      <c r="E7" s="15">
        <v>424000</v>
      </c>
      <c r="F7" s="15">
        <v>155719000</v>
      </c>
      <c r="G7" s="15">
        <v>18012000</v>
      </c>
      <c r="H7" s="15">
        <v>6449000</v>
      </c>
      <c r="I7" s="15"/>
      <c r="K7" s="83"/>
      <c r="L7" s="83"/>
      <c r="M7" s="83"/>
      <c r="N7" s="83"/>
      <c r="O7" s="83"/>
      <c r="P7" s="83"/>
      <c r="Q7" s="83"/>
      <c r="R7" s="83"/>
      <c r="S7" s="83"/>
      <c r="T7" s="83"/>
      <c r="U7" s="83"/>
      <c r="V7" s="83"/>
      <c r="W7" s="83"/>
      <c r="X7" s="83"/>
    </row>
    <row r="8" spans="1:25" ht="15" hidden="1" customHeight="1">
      <c r="A8" s="1288">
        <v>2012</v>
      </c>
      <c r="B8" s="15">
        <v>3412000</v>
      </c>
      <c r="C8" s="15">
        <v>149000</v>
      </c>
      <c r="D8" s="15">
        <v>172000</v>
      </c>
      <c r="E8" s="15">
        <v>596000</v>
      </c>
      <c r="F8" s="15">
        <v>173911000</v>
      </c>
      <c r="G8" s="15">
        <v>18542000</v>
      </c>
      <c r="H8" s="15">
        <v>4725000</v>
      </c>
      <c r="I8" s="15"/>
    </row>
    <row r="9" spans="1:25" ht="15" customHeight="1">
      <c r="A9" s="1288">
        <v>2013</v>
      </c>
      <c r="B9" s="15">
        <v>2544000</v>
      </c>
      <c r="C9" s="15">
        <v>160000</v>
      </c>
      <c r="D9" s="15">
        <v>265000</v>
      </c>
      <c r="E9" s="15">
        <v>895000</v>
      </c>
      <c r="F9" s="15">
        <v>169297000</v>
      </c>
      <c r="G9" s="15">
        <v>18577000</v>
      </c>
      <c r="H9" s="15">
        <v>5753000</v>
      </c>
      <c r="I9" s="15"/>
    </row>
    <row r="10" spans="1:25" ht="15" customHeight="1">
      <c r="A10" s="1288">
        <v>2014</v>
      </c>
      <c r="B10" s="15">
        <v>2611000</v>
      </c>
      <c r="C10" s="15">
        <v>152000</v>
      </c>
      <c r="D10" s="15">
        <v>224000</v>
      </c>
      <c r="E10" s="15">
        <v>811000</v>
      </c>
      <c r="F10" s="15">
        <v>161619000</v>
      </c>
      <c r="G10" s="15">
        <v>19007000</v>
      </c>
      <c r="H10" s="15">
        <v>2919000</v>
      </c>
      <c r="I10" s="15"/>
    </row>
    <row r="11" spans="1:25" ht="15" customHeight="1">
      <c r="A11" s="1288">
        <v>2015</v>
      </c>
      <c r="B11" s="15">
        <v>2738000</v>
      </c>
      <c r="C11" s="15">
        <v>175000</v>
      </c>
      <c r="D11" s="15">
        <v>289000</v>
      </c>
      <c r="E11" s="15">
        <v>735000</v>
      </c>
      <c r="F11" s="15">
        <v>159856000</v>
      </c>
      <c r="G11" s="15">
        <v>19141000</v>
      </c>
      <c r="H11" s="15">
        <v>5001000</v>
      </c>
      <c r="I11" s="15"/>
    </row>
    <row r="12" spans="1:25" ht="15" customHeight="1">
      <c r="A12" s="1288">
        <v>2016</v>
      </c>
      <c r="B12" s="15">
        <v>2871000</v>
      </c>
      <c r="C12" s="15">
        <v>183000</v>
      </c>
      <c r="D12" s="15">
        <v>320000</v>
      </c>
      <c r="E12" s="15">
        <v>1036000</v>
      </c>
      <c r="F12" s="15">
        <v>159286000</v>
      </c>
      <c r="G12" s="15">
        <v>19455000</v>
      </c>
      <c r="H12" s="15">
        <v>6056000</v>
      </c>
      <c r="I12" s="15" t="s">
        <v>1263</v>
      </c>
    </row>
    <row r="13" spans="1:25" ht="15" customHeight="1">
      <c r="A13" s="1288">
        <v>2017</v>
      </c>
      <c r="B13" s="15">
        <v>2769000</v>
      </c>
      <c r="C13" s="15">
        <v>207000</v>
      </c>
      <c r="D13" s="15">
        <v>265000</v>
      </c>
      <c r="E13" s="15">
        <v>1058000</v>
      </c>
      <c r="F13" s="15">
        <v>151117000</v>
      </c>
      <c r="G13" s="15">
        <v>20081000</v>
      </c>
      <c r="H13" s="15">
        <v>4273000</v>
      </c>
      <c r="I13" s="15" t="s">
        <v>1263</v>
      </c>
    </row>
    <row r="14" spans="1:25" ht="15" customHeight="1">
      <c r="A14" s="1288">
        <v>2018</v>
      </c>
      <c r="B14" s="15">
        <v>2795000</v>
      </c>
      <c r="C14" s="15">
        <v>201000</v>
      </c>
      <c r="D14" s="15">
        <v>357000</v>
      </c>
      <c r="E14" s="15">
        <v>1159000</v>
      </c>
      <c r="F14" s="15">
        <v>139202000</v>
      </c>
      <c r="G14" s="15">
        <v>21181000</v>
      </c>
      <c r="H14" s="15">
        <v>12015000</v>
      </c>
      <c r="I14" s="15" t="s">
        <v>1263</v>
      </c>
    </row>
    <row r="15" spans="1:25" ht="15" customHeight="1">
      <c r="A15" s="1288">
        <v>2019</v>
      </c>
      <c r="B15" s="15">
        <v>3060000</v>
      </c>
      <c r="C15" s="15">
        <v>205000</v>
      </c>
      <c r="D15" s="15">
        <v>309000</v>
      </c>
      <c r="E15" s="15">
        <v>1050000</v>
      </c>
      <c r="F15" s="15">
        <v>129451000</v>
      </c>
      <c r="G15" s="15">
        <v>21838000</v>
      </c>
      <c r="H15" s="15">
        <v>12577000</v>
      </c>
      <c r="I15" s="15">
        <v>136000</v>
      </c>
    </row>
    <row r="16" spans="1:25" ht="15" customHeight="1">
      <c r="A16" s="1288">
        <v>2020</v>
      </c>
      <c r="B16" s="15">
        <f>ROUND(3214035.05+0,-3)</f>
        <v>3214000</v>
      </c>
      <c r="C16" s="351">
        <f>ROUND(207801.87+0,-3)</f>
        <v>208000</v>
      </c>
      <c r="D16" s="351">
        <f>ROUND(365532.86,-3)</f>
        <v>366000</v>
      </c>
      <c r="E16" s="351">
        <f>ROUND(934707.14+0,-3)</f>
        <v>935000</v>
      </c>
      <c r="F16" s="15">
        <f>ROUND(131950330.82,-3)</f>
        <v>131950000</v>
      </c>
      <c r="G16" s="15">
        <f>ROUND(21687544.8,-3)</f>
        <v>21688000</v>
      </c>
      <c r="H16" s="351">
        <f>ROUND(7557161.83+0,-3)</f>
        <v>7557000</v>
      </c>
      <c r="I16" s="351">
        <v>341000</v>
      </c>
    </row>
    <row r="17" spans="1:10" ht="15" customHeight="1">
      <c r="A17" s="1288">
        <v>2021</v>
      </c>
      <c r="B17" s="15">
        <f>ROUND(2893448.35,-3)</f>
        <v>2893000</v>
      </c>
      <c r="C17" s="351">
        <f>ROUND(195393.74+0,-3)</f>
        <v>195000</v>
      </c>
      <c r="D17" s="351">
        <f>ROUND(353186.52,-3)</f>
        <v>353000</v>
      </c>
      <c r="E17" s="351">
        <f>ROUND(1362564.58,-3)</f>
        <v>1363000</v>
      </c>
      <c r="F17" s="15">
        <f>ROUND(234194399.6,-3)</f>
        <v>234194000</v>
      </c>
      <c r="G17" s="15">
        <f>ROUND(52437827.86,-3)</f>
        <v>52438000</v>
      </c>
      <c r="H17" s="351">
        <f>ROUND(7253196.86,-3)</f>
        <v>7253000</v>
      </c>
      <c r="I17" s="351">
        <v>353000</v>
      </c>
    </row>
    <row r="18" spans="1:10" ht="15" customHeight="1">
      <c r="A18" s="1288">
        <v>2022</v>
      </c>
      <c r="B18" s="15">
        <v>3195000</v>
      </c>
      <c r="C18" s="351">
        <v>202000</v>
      </c>
      <c r="D18" s="351">
        <v>376000</v>
      </c>
      <c r="E18" s="351">
        <v>1744000</v>
      </c>
      <c r="F18" s="15">
        <v>219818000</v>
      </c>
      <c r="G18" s="15">
        <v>58809000</v>
      </c>
      <c r="H18" s="351">
        <v>8495000</v>
      </c>
      <c r="I18" s="351">
        <v>349000</v>
      </c>
    </row>
    <row r="19" spans="1:10" ht="15" customHeight="1">
      <c r="A19" s="1288">
        <v>2023</v>
      </c>
      <c r="B19" s="15">
        <v>3436000</v>
      </c>
      <c r="C19" s="351">
        <v>196000</v>
      </c>
      <c r="D19" s="351">
        <v>309000</v>
      </c>
      <c r="E19" s="351">
        <v>1853000</v>
      </c>
      <c r="F19" s="15">
        <v>188683000</v>
      </c>
      <c r="G19" s="15">
        <v>57449000</v>
      </c>
      <c r="H19" s="351">
        <v>12881000</v>
      </c>
      <c r="I19" s="351">
        <v>336000</v>
      </c>
    </row>
    <row r="20" spans="1:10">
      <c r="A20" s="220"/>
      <c r="B20" s="618"/>
      <c r="C20" s="618"/>
      <c r="D20" s="618"/>
      <c r="E20" s="618"/>
      <c r="F20" s="618"/>
      <c r="G20" s="618"/>
      <c r="H20" s="618"/>
      <c r="I20" s="399"/>
    </row>
    <row r="21" spans="1:10" s="1178" customFormat="1" ht="11.5">
      <c r="A21" s="1178" t="s">
        <v>1221</v>
      </c>
      <c r="B21" s="1286"/>
      <c r="C21" s="1286"/>
      <c r="D21" s="1286"/>
      <c r="E21" s="1286"/>
      <c r="F21" s="1286"/>
      <c r="G21" s="1286"/>
      <c r="H21" s="1286"/>
      <c r="I21" s="1286"/>
    </row>
    <row r="22" spans="1:10" s="1180" customFormat="1" ht="15" customHeight="1">
      <c r="A22" s="1630" t="s">
        <v>1258</v>
      </c>
      <c r="B22" s="1630"/>
      <c r="C22" s="1630"/>
      <c r="D22" s="1630"/>
      <c r="E22" s="1630"/>
      <c r="F22" s="1630"/>
      <c r="G22" s="1630"/>
      <c r="H22" s="1630"/>
      <c r="I22" s="1630"/>
      <c r="J22" s="1285"/>
    </row>
    <row r="23" spans="1:10" s="1180" customFormat="1" ht="15" customHeight="1">
      <c r="A23" s="1629" t="s">
        <v>989</v>
      </c>
      <c r="B23" s="1629"/>
      <c r="C23" s="1629"/>
      <c r="D23" s="1629"/>
      <c r="E23" s="1629"/>
      <c r="F23" s="1629"/>
      <c r="G23" s="1629"/>
      <c r="H23" s="1629"/>
      <c r="I23" s="1629"/>
      <c r="J23" s="1285"/>
    </row>
    <row r="24" spans="1:10" s="1180" customFormat="1" ht="27" customHeight="1">
      <c r="A24" s="1629" t="s">
        <v>981</v>
      </c>
      <c r="B24" s="1629"/>
      <c r="C24" s="1629"/>
      <c r="D24" s="1629"/>
      <c r="E24" s="1629"/>
      <c r="F24" s="1629"/>
      <c r="G24" s="1629"/>
      <c r="H24" s="1629"/>
      <c r="I24" s="1629"/>
      <c r="J24" s="1285"/>
    </row>
    <row r="25" spans="1:10" s="1180" customFormat="1" ht="15" customHeight="1">
      <c r="A25" s="1629" t="s">
        <v>184</v>
      </c>
      <c r="B25" s="1629"/>
      <c r="C25" s="1629"/>
      <c r="D25" s="1629"/>
      <c r="E25" s="1629"/>
      <c r="F25" s="1629"/>
      <c r="G25" s="1629"/>
      <c r="H25" s="1629"/>
      <c r="I25" s="1629"/>
      <c r="J25" s="1285"/>
    </row>
    <row r="26" spans="1:10" s="1180" customFormat="1" ht="27" customHeight="1">
      <c r="A26" s="1627" t="s">
        <v>987</v>
      </c>
      <c r="B26" s="1629"/>
      <c r="C26" s="1629"/>
      <c r="D26" s="1629"/>
      <c r="E26" s="1629"/>
      <c r="F26" s="1629"/>
      <c r="G26" s="1629"/>
      <c r="H26" s="1629"/>
      <c r="I26" s="1629"/>
      <c r="J26" s="1285"/>
    </row>
    <row r="27" spans="1:10" s="1180" customFormat="1" ht="38" customHeight="1">
      <c r="A27" s="1629" t="s">
        <v>988</v>
      </c>
      <c r="B27" s="1629"/>
      <c r="C27" s="1629"/>
      <c r="D27" s="1629"/>
      <c r="E27" s="1629"/>
      <c r="F27" s="1629"/>
      <c r="G27" s="1629"/>
      <c r="H27" s="1629"/>
      <c r="I27" s="1629"/>
      <c r="J27" s="1285"/>
    </row>
    <row r="28" spans="1:10" s="1180" customFormat="1" ht="27" customHeight="1">
      <c r="A28" s="1629" t="s">
        <v>752</v>
      </c>
      <c r="B28" s="1629"/>
      <c r="C28" s="1629"/>
      <c r="D28" s="1629"/>
      <c r="E28" s="1629"/>
      <c r="F28" s="1629"/>
      <c r="G28" s="1629"/>
      <c r="H28" s="1629"/>
      <c r="I28" s="1629"/>
      <c r="J28" s="1285"/>
    </row>
    <row r="29" spans="1:10" s="1180" customFormat="1" ht="14" customHeight="1">
      <c r="A29" s="1629" t="s">
        <v>1264</v>
      </c>
      <c r="B29" s="1629"/>
      <c r="C29" s="1629"/>
      <c r="D29" s="1629"/>
      <c r="E29" s="1629"/>
      <c r="F29" s="1629"/>
      <c r="G29" s="1629"/>
      <c r="H29" s="1629"/>
      <c r="I29" s="1629"/>
      <c r="J29" s="1285"/>
    </row>
    <row r="30" spans="1:10" ht="18">
      <c r="A30" s="51" t="s">
        <v>236</v>
      </c>
      <c r="B30" s="6"/>
      <c r="C30" s="6"/>
      <c r="D30" s="6"/>
      <c r="E30" s="6"/>
      <c r="F30" s="8"/>
      <c r="G30" s="6"/>
      <c r="H30" s="6"/>
    </row>
    <row r="31" spans="1:10" ht="15.5">
      <c r="A31" s="3" t="s">
        <v>751</v>
      </c>
      <c r="B31" s="6"/>
      <c r="C31" s="6"/>
      <c r="D31" s="6"/>
      <c r="E31" s="6"/>
      <c r="F31" s="8"/>
      <c r="G31" s="6"/>
      <c r="H31" s="6"/>
    </row>
    <row r="32" spans="1:10" ht="5" customHeight="1">
      <c r="A32" s="223"/>
      <c r="B32" s="6"/>
      <c r="C32" s="6"/>
      <c r="D32" s="6"/>
      <c r="E32" s="6"/>
      <c r="F32" s="6"/>
      <c r="G32" s="6"/>
      <c r="H32" s="6"/>
      <c r="I32" s="6"/>
    </row>
    <row r="33" spans="1:11" ht="5" customHeight="1" thickBot="1">
      <c r="A33" s="1289"/>
      <c r="B33" s="1291"/>
      <c r="C33" s="1291"/>
      <c r="D33" s="1291"/>
      <c r="E33" s="1291"/>
      <c r="F33" s="1291"/>
      <c r="G33" s="1291"/>
      <c r="H33" s="1291"/>
      <c r="I33" s="1291"/>
    </row>
    <row r="34" spans="1:11" ht="27" customHeight="1" thickTop="1">
      <c r="A34" s="1292" t="s">
        <v>29</v>
      </c>
      <c r="B34" s="1292" t="s">
        <v>1227</v>
      </c>
      <c r="C34" s="1292" t="s">
        <v>1228</v>
      </c>
      <c r="D34" s="1292" t="s">
        <v>1229</v>
      </c>
      <c r="E34" s="1292" t="s">
        <v>1247</v>
      </c>
      <c r="F34" s="1292" t="s">
        <v>1233</v>
      </c>
      <c r="G34" s="1293" t="s">
        <v>1230</v>
      </c>
      <c r="H34" s="1292" t="s">
        <v>1231</v>
      </c>
      <c r="I34" s="1292" t="s">
        <v>1232</v>
      </c>
    </row>
    <row r="35" spans="1:11" ht="15" hidden="1" customHeight="1">
      <c r="A35" s="50">
        <v>2010</v>
      </c>
      <c r="B35" s="211">
        <v>287000</v>
      </c>
      <c r="C35" s="211">
        <v>117000</v>
      </c>
      <c r="D35" s="211">
        <v>272000</v>
      </c>
      <c r="E35" s="211">
        <v>1875000</v>
      </c>
      <c r="F35" s="211">
        <v>200000</v>
      </c>
      <c r="G35" s="211">
        <v>994000</v>
      </c>
      <c r="H35" s="211">
        <v>11000</v>
      </c>
      <c r="I35" s="346">
        <v>115000</v>
      </c>
    </row>
    <row r="36" spans="1:11" ht="15" hidden="1" customHeight="1">
      <c r="A36" s="50">
        <v>2011</v>
      </c>
      <c r="B36" s="15">
        <v>240000</v>
      </c>
      <c r="C36" s="15">
        <v>103000</v>
      </c>
      <c r="D36" s="15">
        <v>192000</v>
      </c>
      <c r="E36" s="15">
        <v>1849000</v>
      </c>
      <c r="F36" s="15">
        <v>174000</v>
      </c>
      <c r="G36" s="15">
        <v>888000</v>
      </c>
      <c r="H36" s="15">
        <v>9000</v>
      </c>
      <c r="I36" s="474">
        <v>94000</v>
      </c>
      <c r="J36" s="157"/>
    </row>
    <row r="37" spans="1:11" ht="15" hidden="1" customHeight="1">
      <c r="A37" s="1288">
        <v>2012</v>
      </c>
      <c r="B37" s="15">
        <v>301000</v>
      </c>
      <c r="C37" s="15">
        <v>131000</v>
      </c>
      <c r="D37" s="15">
        <v>537000</v>
      </c>
      <c r="E37" s="15">
        <v>1837000</v>
      </c>
      <c r="F37" s="15">
        <v>191000</v>
      </c>
      <c r="G37" s="15">
        <v>931000</v>
      </c>
      <c r="H37" s="15">
        <v>8000</v>
      </c>
      <c r="I37" s="474">
        <v>123000</v>
      </c>
      <c r="J37" s="157"/>
    </row>
    <row r="38" spans="1:11" ht="15" customHeight="1">
      <c r="A38" s="1288">
        <v>2013</v>
      </c>
      <c r="B38" s="15">
        <v>291000</v>
      </c>
      <c r="C38" s="15">
        <v>168000</v>
      </c>
      <c r="D38" s="15">
        <v>500000</v>
      </c>
      <c r="E38" s="15">
        <v>2036000</v>
      </c>
      <c r="F38" s="15">
        <v>194000</v>
      </c>
      <c r="G38" s="15">
        <v>844000</v>
      </c>
      <c r="H38" s="15">
        <v>9000</v>
      </c>
      <c r="I38" s="15">
        <v>93000</v>
      </c>
      <c r="J38" s="157"/>
    </row>
    <row r="39" spans="1:11" ht="15" customHeight="1">
      <c r="A39" s="1288">
        <v>2014</v>
      </c>
      <c r="B39" s="15">
        <v>401000</v>
      </c>
      <c r="C39" s="15">
        <v>129000</v>
      </c>
      <c r="D39" s="15">
        <v>516000</v>
      </c>
      <c r="E39" s="15">
        <v>2166000</v>
      </c>
      <c r="F39" s="15">
        <v>210000</v>
      </c>
      <c r="G39" s="15">
        <v>888000</v>
      </c>
      <c r="H39" s="15">
        <v>11000</v>
      </c>
      <c r="I39" s="15">
        <v>170000</v>
      </c>
      <c r="J39" s="157"/>
    </row>
    <row r="40" spans="1:11" ht="15" customHeight="1">
      <c r="A40" s="1288">
        <v>2015</v>
      </c>
      <c r="B40" s="15">
        <v>375000</v>
      </c>
      <c r="C40" s="15">
        <v>192000</v>
      </c>
      <c r="D40" s="15">
        <v>439000</v>
      </c>
      <c r="E40" s="15">
        <v>2385000</v>
      </c>
      <c r="F40" s="15">
        <v>213000</v>
      </c>
      <c r="G40" s="15">
        <v>927000</v>
      </c>
      <c r="H40" s="15">
        <v>11000</v>
      </c>
      <c r="I40" s="15">
        <v>125000</v>
      </c>
      <c r="J40" s="157"/>
    </row>
    <row r="41" spans="1:11" ht="15" customHeight="1">
      <c r="A41" s="1288">
        <v>2016</v>
      </c>
      <c r="B41" s="15">
        <v>401000</v>
      </c>
      <c r="C41" s="15">
        <v>126000</v>
      </c>
      <c r="D41" s="15">
        <v>291000</v>
      </c>
      <c r="E41" s="15">
        <v>2221000</v>
      </c>
      <c r="F41" s="15">
        <v>219000</v>
      </c>
      <c r="G41" s="15">
        <v>906000</v>
      </c>
      <c r="H41" s="15">
        <v>11000</v>
      </c>
      <c r="I41" s="15">
        <v>116000</v>
      </c>
      <c r="J41" s="157"/>
      <c r="K41" s="6"/>
    </row>
    <row r="42" spans="1:11" ht="15" customHeight="1">
      <c r="A42" s="1288">
        <v>2017</v>
      </c>
      <c r="B42" s="15">
        <v>451000</v>
      </c>
      <c r="C42" s="15">
        <v>88000</v>
      </c>
      <c r="D42" s="15">
        <v>167000</v>
      </c>
      <c r="E42" s="15">
        <v>2583000</v>
      </c>
      <c r="F42" s="15">
        <v>174000</v>
      </c>
      <c r="G42" s="15">
        <v>1004000</v>
      </c>
      <c r="H42" s="15">
        <v>12000</v>
      </c>
      <c r="I42" s="15">
        <v>99000</v>
      </c>
      <c r="J42" s="157"/>
    </row>
    <row r="43" spans="1:11" ht="15" customHeight="1">
      <c r="A43" s="1288">
        <v>2018</v>
      </c>
      <c r="B43" s="15">
        <v>395000</v>
      </c>
      <c r="C43" s="15">
        <v>173000</v>
      </c>
      <c r="D43" s="15">
        <v>173000</v>
      </c>
      <c r="E43" s="15">
        <v>2695000</v>
      </c>
      <c r="F43" s="15">
        <v>169000</v>
      </c>
      <c r="G43" s="15">
        <v>1109000</v>
      </c>
      <c r="H43" s="15">
        <v>12000</v>
      </c>
      <c r="I43" s="15">
        <v>121000</v>
      </c>
      <c r="J43" s="157"/>
    </row>
    <row r="44" spans="1:11" ht="15" customHeight="1">
      <c r="A44" s="1288">
        <v>2019</v>
      </c>
      <c r="B44" s="15">
        <v>398000</v>
      </c>
      <c r="C44" s="15">
        <v>178000</v>
      </c>
      <c r="D44" s="15">
        <v>179000</v>
      </c>
      <c r="E44" s="15">
        <v>2604000</v>
      </c>
      <c r="F44" s="15">
        <v>175000</v>
      </c>
      <c r="G44" s="15">
        <v>664000</v>
      </c>
      <c r="H44" s="15">
        <v>12000</v>
      </c>
      <c r="I44" s="15">
        <v>90000</v>
      </c>
      <c r="J44" s="157"/>
    </row>
    <row r="45" spans="1:11" ht="15" customHeight="1">
      <c r="A45" s="1288">
        <v>2020</v>
      </c>
      <c r="B45" s="15">
        <f>ROUND(460022.04+0,-3)</f>
        <v>460000</v>
      </c>
      <c r="C45" s="351">
        <f>ROUND(218257.13,-3)</f>
        <v>218000</v>
      </c>
      <c r="D45" s="15">
        <f>ROUND(142617.3+0,-3)</f>
        <v>143000</v>
      </c>
      <c r="E45" s="15">
        <f>ROUND(1840522.66+614428.88, -3)</f>
        <v>2455000</v>
      </c>
      <c r="F45" s="15">
        <f>ROUND(216842.49+0,-3)</f>
        <v>217000</v>
      </c>
      <c r="G45" s="15">
        <f>ROUND(878294.38+0,-3)</f>
        <v>878000</v>
      </c>
      <c r="H45" s="15">
        <f>ROUND(12296.11+0,-3)</f>
        <v>12000</v>
      </c>
      <c r="I45" s="15">
        <f>ROUND(87968.28,-3)</f>
        <v>88000</v>
      </c>
      <c r="J45" s="222" t="s">
        <v>876</v>
      </c>
    </row>
    <row r="46" spans="1:11" ht="15" customHeight="1">
      <c r="A46" s="1288">
        <v>2021</v>
      </c>
      <c r="B46" s="15">
        <f>ROUND(435319.53,-3)</f>
        <v>435000</v>
      </c>
      <c r="C46" s="351">
        <f>ROUND(114095.95,-3)</f>
        <v>114000</v>
      </c>
      <c r="D46" s="15">
        <f>ROUND(204881.54,-3)</f>
        <v>205000</v>
      </c>
      <c r="E46" s="15">
        <f>ROUND(2399547.09, -3)</f>
        <v>2400000</v>
      </c>
      <c r="F46" s="15">
        <f>ROUND(233425.8,-3)</f>
        <v>233000</v>
      </c>
      <c r="G46" s="15">
        <f>ROUND(1597402.6,-3)</f>
        <v>1597000</v>
      </c>
      <c r="H46" s="15">
        <f>ROUND(13309.03,-3)</f>
        <v>13000</v>
      </c>
      <c r="I46" s="15">
        <f>ROUND(81848.49,-3)</f>
        <v>82000</v>
      </c>
      <c r="J46" s="222" t="s">
        <v>876</v>
      </c>
    </row>
    <row r="47" spans="1:11" ht="15" customHeight="1">
      <c r="A47" s="1288">
        <v>2022</v>
      </c>
      <c r="B47" s="15">
        <v>557000</v>
      </c>
      <c r="C47" s="351">
        <v>159000</v>
      </c>
      <c r="D47" s="15">
        <v>159000</v>
      </c>
      <c r="E47" s="15">
        <v>2576000</v>
      </c>
      <c r="F47" s="15">
        <v>229000</v>
      </c>
      <c r="G47" s="15">
        <v>2314000</v>
      </c>
      <c r="H47" s="15">
        <v>16000</v>
      </c>
      <c r="I47" s="15">
        <v>109000</v>
      </c>
      <c r="J47" s="222"/>
    </row>
    <row r="48" spans="1:11" ht="15" customHeight="1">
      <c r="A48" s="1288">
        <v>2023</v>
      </c>
      <c r="B48" s="15">
        <v>508000</v>
      </c>
      <c r="C48" s="351">
        <v>192000</v>
      </c>
      <c r="D48" s="15">
        <v>338000</v>
      </c>
      <c r="E48" s="15">
        <v>2513000</v>
      </c>
      <c r="F48" s="15">
        <v>264000</v>
      </c>
      <c r="G48" s="15">
        <v>3203000</v>
      </c>
      <c r="H48" s="15">
        <v>18000</v>
      </c>
      <c r="I48" s="15">
        <v>105000</v>
      </c>
      <c r="J48" s="222"/>
    </row>
    <row r="49" spans="1:11">
      <c r="B49" s="618"/>
      <c r="C49" s="618"/>
      <c r="D49" s="618"/>
      <c r="E49" s="618"/>
      <c r="F49" s="618"/>
      <c r="G49" s="618"/>
      <c r="H49" s="618"/>
      <c r="I49" s="618"/>
      <c r="J49" s="401"/>
      <c r="K49" s="399"/>
    </row>
    <row r="50" spans="1:11" s="1178" customFormat="1" ht="11.5">
      <c r="A50" s="1178" t="s">
        <v>1221</v>
      </c>
      <c r="B50" s="1286"/>
      <c r="C50" s="1286"/>
      <c r="D50" s="1286"/>
      <c r="E50" s="1286"/>
      <c r="F50" s="1286"/>
      <c r="G50" s="1286"/>
      <c r="H50" s="1286"/>
      <c r="I50" s="1286"/>
    </row>
    <row r="51" spans="1:11" s="1178" customFormat="1" ht="15" customHeight="1">
      <c r="A51" s="1629" t="s">
        <v>1265</v>
      </c>
      <c r="B51" s="1629"/>
      <c r="C51" s="1629"/>
      <c r="D51" s="1629"/>
      <c r="E51" s="1629"/>
      <c r="F51" s="1629"/>
      <c r="G51" s="1629"/>
      <c r="H51" s="1629"/>
      <c r="I51" s="1629"/>
      <c r="J51" s="1287"/>
    </row>
    <row r="52" spans="1:11" s="1178" customFormat="1" ht="15" customHeight="1">
      <c r="A52" s="1629" t="s">
        <v>1266</v>
      </c>
      <c r="B52" s="1629"/>
      <c r="C52" s="1629"/>
      <c r="D52" s="1629"/>
      <c r="E52" s="1629"/>
      <c r="F52" s="1629"/>
      <c r="G52" s="1629"/>
      <c r="H52" s="1629"/>
      <c r="I52" s="1629"/>
      <c r="J52" s="1287"/>
    </row>
    <row r="53" spans="1:11" s="1178" customFormat="1" ht="15" customHeight="1">
      <c r="A53" s="1629" t="s">
        <v>1267</v>
      </c>
      <c r="B53" s="1629"/>
      <c r="C53" s="1629"/>
      <c r="D53" s="1629"/>
      <c r="E53" s="1629"/>
      <c r="F53" s="1629"/>
      <c r="G53" s="1629"/>
      <c r="H53" s="1629"/>
      <c r="I53" s="1629"/>
      <c r="J53" s="1287"/>
    </row>
    <row r="54" spans="1:11" s="1178" customFormat="1" ht="27" customHeight="1">
      <c r="A54" s="1629" t="s">
        <v>1268</v>
      </c>
      <c r="B54" s="1629"/>
      <c r="C54" s="1629"/>
      <c r="D54" s="1629"/>
      <c r="E54" s="1629"/>
      <c r="F54" s="1629"/>
      <c r="G54" s="1629"/>
      <c r="H54" s="1629"/>
      <c r="I54" s="1629"/>
      <c r="J54" s="1287"/>
    </row>
    <row r="55" spans="1:11" s="1178" customFormat="1" ht="15" customHeight="1">
      <c r="A55" s="1629" t="s">
        <v>1269</v>
      </c>
      <c r="B55" s="1629"/>
      <c r="C55" s="1629"/>
      <c r="D55" s="1629"/>
      <c r="E55" s="1629"/>
      <c r="F55" s="1629"/>
      <c r="G55" s="1629"/>
      <c r="H55" s="1629"/>
      <c r="I55" s="1629"/>
      <c r="J55" s="1287"/>
    </row>
    <row r="56" spans="1:11" s="1178" customFormat="1" ht="27" customHeight="1">
      <c r="A56" s="1629" t="s">
        <v>1270</v>
      </c>
      <c r="B56" s="1629"/>
      <c r="C56" s="1629"/>
      <c r="D56" s="1629"/>
      <c r="E56" s="1629"/>
      <c r="F56" s="1629"/>
      <c r="G56" s="1629"/>
      <c r="H56" s="1629"/>
      <c r="I56" s="1629"/>
      <c r="J56" s="1287"/>
    </row>
    <row r="57" spans="1:11" s="1178" customFormat="1" ht="15" customHeight="1">
      <c r="A57" s="1629" t="s">
        <v>1271</v>
      </c>
      <c r="B57" s="1629"/>
      <c r="C57" s="1629"/>
      <c r="D57" s="1629"/>
      <c r="E57" s="1629"/>
      <c r="F57" s="1629"/>
      <c r="G57" s="1629"/>
      <c r="H57" s="1629"/>
      <c r="I57" s="1629"/>
      <c r="J57" s="1287"/>
    </row>
    <row r="58" spans="1:11" s="1178" customFormat="1" ht="15" customHeight="1">
      <c r="A58" s="1629" t="s">
        <v>1272</v>
      </c>
      <c r="B58" s="1629"/>
      <c r="C58" s="1629"/>
      <c r="D58" s="1629"/>
      <c r="E58" s="1629"/>
      <c r="F58" s="1629"/>
      <c r="G58" s="1629"/>
      <c r="H58" s="1629"/>
      <c r="I58" s="1629"/>
      <c r="J58" s="1287"/>
    </row>
    <row r="59" spans="1:11" s="705" customFormat="1" ht="12.75" customHeight="1">
      <c r="A59" s="788" t="s">
        <v>956</v>
      </c>
      <c r="B59" s="706"/>
      <c r="C59" s="706"/>
      <c r="D59" s="706"/>
      <c r="E59" s="707"/>
    </row>
    <row r="64" spans="1:11" s="1178" customFormat="1" ht="11.5">
      <c r="B64" s="1286"/>
      <c r="C64" s="1286"/>
      <c r="D64" s="1286"/>
      <c r="E64" s="1286"/>
      <c r="F64" s="1286"/>
      <c r="G64" s="1286"/>
      <c r="H64" s="1286"/>
      <c r="I64" s="1286"/>
    </row>
    <row r="65" spans="1:10" s="1180" customFormat="1" ht="11.5">
      <c r="A65" s="1287"/>
      <c r="B65" s="1287"/>
      <c r="C65" s="1287"/>
      <c r="D65" s="1287"/>
      <c r="E65" s="1287"/>
      <c r="F65" s="1287"/>
      <c r="G65" s="1287"/>
      <c r="H65" s="1287"/>
      <c r="I65" s="1287"/>
      <c r="J65" s="1285"/>
    </row>
    <row r="66" spans="1:10" s="1178" customFormat="1" ht="11.5">
      <c r="A66" s="1287"/>
      <c r="B66" s="1287"/>
      <c r="C66" s="1287"/>
      <c r="D66" s="1287"/>
      <c r="E66" s="1287"/>
      <c r="F66" s="1287"/>
      <c r="G66" s="1287"/>
      <c r="H66" s="1287"/>
      <c r="I66" s="1287"/>
      <c r="J66" s="1287"/>
    </row>
  </sheetData>
  <sortState xmlns:xlrd2="http://schemas.microsoft.com/office/spreadsheetml/2017/richdata2" columnSort="1" ref="K4:Y8">
    <sortCondition ref="K4:Y4"/>
  </sortState>
  <customSheetViews>
    <customSheetView guid="{E6BBE5A7-0B25-4EE8-BA45-5EA5DBAF3AD4}">
      <selection activeCell="F16" sqref="F16"/>
      <rowBreaks count="1" manualBreakCount="1">
        <brk id="25" max="16383" man="1"/>
      </rowBreaks>
      <pageMargins left="0.75" right="0.75" top="1" bottom="1" header="0.5" footer="0.5"/>
      <printOptions horizontalCentered="1"/>
      <pageSetup scale="88" orientation="landscape" r:id="rId1"/>
      <headerFooter alignWithMargins="0"/>
    </customSheetView>
  </customSheetViews>
  <mergeCells count="16">
    <mergeCell ref="A55:I55"/>
    <mergeCell ref="A56:I56"/>
    <mergeCell ref="A57:I57"/>
    <mergeCell ref="A58:I58"/>
    <mergeCell ref="A28:I28"/>
    <mergeCell ref="A51:I51"/>
    <mergeCell ref="A52:I52"/>
    <mergeCell ref="A53:I53"/>
    <mergeCell ref="A54:I54"/>
    <mergeCell ref="A29:I29"/>
    <mergeCell ref="A27:I27"/>
    <mergeCell ref="A22:I22"/>
    <mergeCell ref="A23:I23"/>
    <mergeCell ref="A24:I24"/>
    <mergeCell ref="A25:I25"/>
    <mergeCell ref="A26:I26"/>
  </mergeCells>
  <phoneticPr fontId="15" type="noConversion"/>
  <hyperlinks>
    <hyperlink ref="K1" location="TOC!A1" display="Back" xr:uid="{00000000-0004-0000-1700-000000000000}"/>
  </hyperlinks>
  <pageMargins left="0.6" right="0.25" top="0.5" bottom="0.25" header="0.25" footer="0"/>
  <pageSetup orientation="landscape" r:id="rId2"/>
  <headerFooter scaleWithDoc="0">
    <oddHeader>&amp;R&amp;P</oddHeader>
  </headerFooter>
  <rowBreaks count="1" manualBreakCount="1">
    <brk id="29"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A1:H47"/>
  <sheetViews>
    <sheetView zoomScale="95" zoomScaleNormal="95" workbookViewId="0"/>
  </sheetViews>
  <sheetFormatPr defaultColWidth="9.26953125" defaultRowHeight="12.5"/>
  <cols>
    <col min="1" max="1" width="26" style="71" customWidth="1"/>
    <col min="2" max="2" width="27.26953125" style="71" customWidth="1"/>
    <col min="3" max="3" width="22.1796875" style="71" customWidth="1"/>
    <col min="4" max="5" width="16.453125" style="71" bestFit="1" customWidth="1"/>
    <col min="6" max="6" width="18.1796875" style="71" bestFit="1" customWidth="1"/>
    <col min="7" max="7" width="2.7265625" style="71" customWidth="1"/>
    <col min="8" max="16384" width="9.26953125" style="71"/>
  </cols>
  <sheetData>
    <row r="1" spans="1:8" s="1295" customFormat="1" ht="16" customHeight="1">
      <c r="A1" s="1298" t="s">
        <v>273</v>
      </c>
      <c r="B1" s="1298"/>
      <c r="C1" s="1298"/>
      <c r="H1" s="1299" t="s">
        <v>984</v>
      </c>
    </row>
    <row r="2" spans="1:8" s="1295" customFormat="1" ht="14" customHeight="1">
      <c r="A2" s="1300" t="s">
        <v>1314</v>
      </c>
      <c r="B2" s="1300"/>
      <c r="C2" s="1300"/>
    </row>
    <row r="3" spans="1:8" ht="5" customHeight="1"/>
    <row r="4" spans="1:8" s="1295" customFormat="1" ht="13">
      <c r="A4" s="1296"/>
      <c r="B4" s="1296"/>
      <c r="C4" s="1296"/>
      <c r="D4" s="1297" t="s">
        <v>274</v>
      </c>
      <c r="E4" s="1297" t="s">
        <v>275</v>
      </c>
      <c r="F4" s="1498" t="s">
        <v>16</v>
      </c>
    </row>
    <row r="5" spans="1:8" ht="12.5" customHeight="1">
      <c r="A5" s="387" t="s">
        <v>276</v>
      </c>
      <c r="D5" s="72">
        <v>744546876719.05005</v>
      </c>
      <c r="E5" s="73">
        <v>553215390309</v>
      </c>
      <c r="F5" s="1492">
        <f>SUM(D5:E5)</f>
        <v>1297762267028.05</v>
      </c>
    </row>
    <row r="6" spans="1:8" ht="12.5" customHeight="1">
      <c r="A6" s="386" t="s">
        <v>747</v>
      </c>
      <c r="B6" s="74"/>
      <c r="C6" s="74"/>
      <c r="D6" s="75">
        <v>23692513582.389999</v>
      </c>
      <c r="E6" s="76">
        <v>13335527355</v>
      </c>
      <c r="F6" s="1493">
        <f t="shared" ref="F6:F14" si="0">D6+E6</f>
        <v>37028040937.389999</v>
      </c>
    </row>
    <row r="7" spans="1:8" ht="12.5" customHeight="1">
      <c r="A7" s="386" t="s">
        <v>277</v>
      </c>
      <c r="B7" s="74"/>
      <c r="C7" s="74"/>
      <c r="D7" s="75">
        <v>8080218</v>
      </c>
      <c r="E7" s="76">
        <v>0</v>
      </c>
      <c r="F7" s="1493">
        <f t="shared" si="0"/>
        <v>8080218</v>
      </c>
      <c r="G7" s="365"/>
    </row>
    <row r="8" spans="1:8" ht="12.5" customHeight="1">
      <c r="A8" s="387" t="s">
        <v>278</v>
      </c>
      <c r="D8" s="75">
        <v>59711078681.630005</v>
      </c>
      <c r="E8" s="76">
        <v>42542417823</v>
      </c>
      <c r="F8" s="1493">
        <f t="shared" si="0"/>
        <v>102253496504.63</v>
      </c>
    </row>
    <row r="9" spans="1:8" ht="12.5" customHeight="1">
      <c r="A9" s="387" t="s">
        <v>279</v>
      </c>
      <c r="D9" s="75">
        <v>216580839147</v>
      </c>
      <c r="E9" s="76">
        <v>160316415373</v>
      </c>
      <c r="F9" s="1493">
        <f t="shared" si="0"/>
        <v>376897254520</v>
      </c>
    </row>
    <row r="10" spans="1:8" ht="12.5" customHeight="1">
      <c r="A10" s="387" t="s">
        <v>280</v>
      </c>
      <c r="D10" s="75">
        <v>82599941541</v>
      </c>
      <c r="E10" s="76">
        <v>99069572065</v>
      </c>
      <c r="F10" s="1493">
        <f t="shared" si="0"/>
        <v>181669513606</v>
      </c>
    </row>
    <row r="11" spans="1:8" ht="12.5" customHeight="1">
      <c r="A11" s="387" t="s">
        <v>748</v>
      </c>
      <c r="D11" s="76">
        <v>-2257829551</v>
      </c>
      <c r="E11" s="76">
        <v>0</v>
      </c>
      <c r="F11" s="1493">
        <f t="shared" si="0"/>
        <v>-2257829551</v>
      </c>
    </row>
    <row r="12" spans="1:8" ht="12.5" customHeight="1">
      <c r="A12" s="387" t="s">
        <v>749</v>
      </c>
      <c r="D12" s="1493">
        <f>D5+D6+D7-D8-D9-D10-D11</f>
        <v>411613440700.81006</v>
      </c>
      <c r="E12" s="1493">
        <f>E5+E6+E7-E8-E9-E10-E11</f>
        <v>264622512403</v>
      </c>
      <c r="F12" s="1493">
        <f t="shared" si="0"/>
        <v>676235953103.81006</v>
      </c>
    </row>
    <row r="13" spans="1:8" ht="12.5" customHeight="1">
      <c r="A13" s="387" t="s">
        <v>281</v>
      </c>
      <c r="D13" s="75">
        <v>7726557984.2400484</v>
      </c>
      <c r="E13" s="76">
        <v>16052423841.868313</v>
      </c>
      <c r="F13" s="1493">
        <f t="shared" si="0"/>
        <v>23778981826.10836</v>
      </c>
    </row>
    <row r="14" spans="1:8" ht="12.5" customHeight="1">
      <c r="A14" s="387" t="s">
        <v>282</v>
      </c>
      <c r="D14" s="75">
        <v>1934943568</v>
      </c>
      <c r="E14" s="366">
        <v>1756938601</v>
      </c>
      <c r="F14" s="1493">
        <f t="shared" si="0"/>
        <v>3691882169</v>
      </c>
    </row>
    <row r="15" spans="1:8" ht="12.5" customHeight="1">
      <c r="A15" s="387" t="s">
        <v>283</v>
      </c>
      <c r="D15" s="75">
        <v>351968667</v>
      </c>
      <c r="E15" s="366">
        <v>402695489</v>
      </c>
      <c r="F15" s="1494">
        <f>D15+E15</f>
        <v>754664156</v>
      </c>
    </row>
    <row r="16" spans="1:8" ht="12.5" customHeight="1">
      <c r="A16" s="1499" t="s">
        <v>284</v>
      </c>
      <c r="B16" s="1134"/>
      <c r="C16" s="1134"/>
      <c r="D16" s="1497">
        <f>D13-D14-D15</f>
        <v>5439645749.2400484</v>
      </c>
      <c r="E16" s="1497">
        <f>E13-E14-E15</f>
        <v>13892789751.868313</v>
      </c>
      <c r="F16" s="1495">
        <f>SUM(D16:E16)</f>
        <v>19332435501.10836</v>
      </c>
    </row>
    <row r="17" spans="1:7" ht="5" customHeight="1">
      <c r="A17" s="387"/>
      <c r="D17" s="72"/>
      <c r="E17" s="73"/>
      <c r="F17" s="1492"/>
    </row>
    <row r="18" spans="1:7" ht="5" customHeight="1">
      <c r="A18" s="387"/>
      <c r="D18" s="72"/>
      <c r="E18" s="73"/>
      <c r="F18" s="1492"/>
    </row>
    <row r="19" spans="1:7" ht="12.5" customHeight="1">
      <c r="A19" s="387" t="s">
        <v>43</v>
      </c>
      <c r="D19" s="72">
        <v>54396457.492400475</v>
      </c>
      <c r="E19" s="367">
        <v>110527954.7244603</v>
      </c>
      <c r="F19" s="1492">
        <f>D19+E19</f>
        <v>164924412.21686077</v>
      </c>
    </row>
    <row r="20" spans="1:7" ht="12.5" customHeight="1">
      <c r="A20" s="387" t="s">
        <v>285</v>
      </c>
      <c r="D20" s="75">
        <v>43517165.993920416</v>
      </c>
      <c r="E20" s="75">
        <v>88422363.77956824</v>
      </c>
      <c r="F20" s="1493">
        <f>D20+E20</f>
        <v>131939529.77348866</v>
      </c>
    </row>
    <row r="21" spans="1:7" ht="12.5" customHeight="1">
      <c r="A21" s="387" t="s">
        <v>286</v>
      </c>
      <c r="D21" s="75"/>
      <c r="E21" s="75"/>
      <c r="F21" s="1493"/>
    </row>
    <row r="22" spans="1:7" ht="12.5" customHeight="1">
      <c r="A22" s="387" t="s">
        <v>728</v>
      </c>
      <c r="D22" s="75">
        <v>11500</v>
      </c>
      <c r="E22" s="75">
        <v>267450</v>
      </c>
      <c r="F22" s="1493">
        <f>D22+E22</f>
        <v>278950</v>
      </c>
    </row>
    <row r="23" spans="1:7" ht="12.5" customHeight="1">
      <c r="A23" s="387" t="s">
        <v>287</v>
      </c>
      <c r="D23" s="75">
        <v>1522786</v>
      </c>
      <c r="E23" s="75">
        <v>0</v>
      </c>
      <c r="F23" s="1493">
        <f t="shared" ref="F23:F25" si="1">D23+E23</f>
        <v>1522786</v>
      </c>
      <c r="G23" s="365"/>
    </row>
    <row r="24" spans="1:7" ht="12.5" customHeight="1">
      <c r="A24" s="387" t="s">
        <v>233</v>
      </c>
      <c r="D24" s="75">
        <v>412807</v>
      </c>
      <c r="E24" s="368">
        <v>650267</v>
      </c>
      <c r="F24" s="1493">
        <f>D24+E24</f>
        <v>1063074</v>
      </c>
    </row>
    <row r="25" spans="1:7" ht="12.5" hidden="1" customHeight="1">
      <c r="A25" s="387" t="s">
        <v>750</v>
      </c>
      <c r="D25" s="75">
        <v>0</v>
      </c>
      <c r="E25" s="75">
        <v>0</v>
      </c>
      <c r="F25" s="1493">
        <f t="shared" si="1"/>
        <v>0</v>
      </c>
    </row>
    <row r="26" spans="1:7" ht="12.5" customHeight="1">
      <c r="A26" s="387" t="s">
        <v>725</v>
      </c>
      <c r="D26" s="75">
        <v>0</v>
      </c>
      <c r="E26" s="75">
        <v>0</v>
      </c>
      <c r="F26" s="1493">
        <f>D26+E26</f>
        <v>0</v>
      </c>
      <c r="G26" s="472"/>
    </row>
    <row r="27" spans="1:7" s="1295" customFormat="1" ht="12.5" customHeight="1">
      <c r="A27" s="1500" t="s">
        <v>288</v>
      </c>
      <c r="B27" s="1294"/>
      <c r="C27" s="1294"/>
      <c r="D27" s="1496">
        <f>D19-D20-D22-D23-D24-D25-D26</f>
        <v>8932198.4984800592</v>
      </c>
      <c r="E27" s="1496">
        <f>E19-E20-E22-E23-E24-E25-E26</f>
        <v>21187873.944892064</v>
      </c>
      <c r="F27" s="1496">
        <f>SUM(D27:E27)</f>
        <v>30120072.443372123</v>
      </c>
    </row>
    <row r="28" spans="1:7" ht="6" customHeight="1"/>
    <row r="29" spans="1:7" ht="6" customHeight="1"/>
    <row r="30" spans="1:7" ht="18">
      <c r="A30" s="369" t="s">
        <v>289</v>
      </c>
      <c r="B30" s="369"/>
      <c r="C30" s="369"/>
      <c r="D30" s="370"/>
      <c r="E30" s="370"/>
      <c r="F30" s="371"/>
      <c r="G30" s="371"/>
    </row>
    <row r="31" spans="1:7" ht="15.5">
      <c r="A31" s="372" t="s">
        <v>290</v>
      </c>
      <c r="B31" s="372"/>
      <c r="C31" s="372"/>
      <c r="D31" s="373"/>
      <c r="E31" s="373"/>
      <c r="F31" s="371"/>
      <c r="G31" s="371"/>
    </row>
    <row r="32" spans="1:7" ht="9" customHeight="1" thickBot="1">
      <c r="A32" s="374"/>
      <c r="B32" s="374"/>
      <c r="C32" s="374"/>
      <c r="D32" s="373"/>
      <c r="E32" s="373"/>
      <c r="F32" s="371"/>
      <c r="G32" s="371"/>
    </row>
    <row r="33" spans="1:7" ht="16" customHeight="1">
      <c r="A33" s="708" t="s">
        <v>29</v>
      </c>
      <c r="B33" s="708" t="s">
        <v>291</v>
      </c>
      <c r="C33" s="375"/>
      <c r="E33" s="375"/>
      <c r="F33" s="371"/>
      <c r="G33" s="371"/>
    </row>
    <row r="34" spans="1:7">
      <c r="A34" s="376">
        <v>2016</v>
      </c>
      <c r="B34" s="709">
        <v>21142000</v>
      </c>
      <c r="C34" s="376"/>
      <c r="E34" s="377"/>
      <c r="F34" s="371"/>
      <c r="G34" s="371"/>
    </row>
    <row r="35" spans="1:7">
      <c r="A35" s="376">
        <v>2017</v>
      </c>
      <c r="B35" s="710">
        <v>23068000</v>
      </c>
      <c r="C35" s="376"/>
      <c r="E35" s="377"/>
      <c r="F35" s="371"/>
      <c r="G35" s="371"/>
    </row>
    <row r="36" spans="1:7">
      <c r="A36" s="376">
        <v>2018</v>
      </c>
      <c r="B36" s="710">
        <v>23724800</v>
      </c>
      <c r="C36" s="376"/>
      <c r="E36" s="377"/>
      <c r="F36" s="371"/>
      <c r="G36" s="371"/>
    </row>
    <row r="37" spans="1:7">
      <c r="A37" s="376">
        <v>2019</v>
      </c>
      <c r="B37" s="710">
        <v>29641360</v>
      </c>
      <c r="C37" s="371"/>
      <c r="D37" s="371"/>
      <c r="E37" s="371"/>
      <c r="F37" s="371"/>
      <c r="G37" s="371"/>
    </row>
    <row r="38" spans="1:7">
      <c r="A38" s="376">
        <v>2020</v>
      </c>
      <c r="B38" s="710">
        <v>25949060</v>
      </c>
      <c r="C38" s="371"/>
      <c r="D38" s="371"/>
      <c r="E38" s="371"/>
      <c r="F38" s="371"/>
      <c r="G38" s="371"/>
    </row>
    <row r="39" spans="1:7">
      <c r="A39" s="376">
        <v>2021</v>
      </c>
      <c r="B39" s="710">
        <v>29336130</v>
      </c>
      <c r="C39" s="371"/>
      <c r="D39" s="371"/>
      <c r="E39" s="371"/>
      <c r="F39" s="371"/>
      <c r="G39" s="371"/>
    </row>
    <row r="40" spans="1:7">
      <c r="A40" s="376">
        <v>2022</v>
      </c>
      <c r="B40" s="1490">
        <v>30170420</v>
      </c>
    </row>
    <row r="41" spans="1:7">
      <c r="A41" s="376">
        <v>2023</v>
      </c>
      <c r="B41" s="1491">
        <f>ROUND($F$27,-1)</f>
        <v>30120070</v>
      </c>
    </row>
    <row r="47" spans="1:7" s="705" customFormat="1" ht="12.75" customHeight="1">
      <c r="A47" s="788" t="s">
        <v>952</v>
      </c>
      <c r="B47" s="706"/>
      <c r="C47" s="706"/>
      <c r="D47" s="706"/>
      <c r="E47" s="707"/>
    </row>
  </sheetData>
  <customSheetViews>
    <customSheetView guid="{E6BBE5A7-0B25-4EE8-BA45-5EA5DBAF3AD4}" showPageBreaks="1" printArea="1">
      <selection activeCell="A43" sqref="A43"/>
      <pageMargins left="0.75" right="0.75" top="1" bottom="1" header="0.5" footer="0.5"/>
      <printOptions horizontalCentered="1"/>
      <pageSetup scale="81" orientation="landscape" r:id="rId1"/>
      <headerFooter alignWithMargins="0"/>
    </customSheetView>
  </customSheetViews>
  <hyperlinks>
    <hyperlink ref="H1" location="TOC!A1" display="Back" xr:uid="{00000000-0004-0000-1800-000000000000}"/>
  </hyperlinks>
  <pageMargins left="0.6" right="0.25" top="0.35" bottom="0.25" header="0.25" footer="0.25"/>
  <pageSetup orientation="landscape" r:id="rId2"/>
  <headerFooter scaleWithDoc="0">
    <oddHeader>&amp;R&amp;P</oddHead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dimension ref="A1:H172"/>
  <sheetViews>
    <sheetView zoomScaleNormal="100" zoomScaleSheetLayoutView="90" workbookViewId="0"/>
  </sheetViews>
  <sheetFormatPr defaultColWidth="11.26953125" defaultRowHeight="12.5"/>
  <cols>
    <col min="1" max="5" width="14.6328125" style="91" customWidth="1"/>
    <col min="6" max="7" width="14.6328125" style="167" customWidth="1"/>
    <col min="8" max="8" width="4.81640625" style="91" bestFit="1" customWidth="1"/>
    <col min="9" max="16384" width="11.26953125" style="91"/>
  </cols>
  <sheetData>
    <row r="1" spans="1:8" s="328" customFormat="1" ht="17.5" customHeight="1">
      <c r="A1" s="327" t="s">
        <v>589</v>
      </c>
      <c r="B1" s="327"/>
      <c r="C1" s="327"/>
      <c r="D1" s="327"/>
      <c r="F1" s="329"/>
      <c r="G1" s="329"/>
      <c r="H1" s="855" t="s">
        <v>984</v>
      </c>
    </row>
    <row r="2" spans="1:8" s="328" customFormat="1" ht="15.65" customHeight="1">
      <c r="A2" s="330" t="s">
        <v>772</v>
      </c>
      <c r="B2" s="330"/>
      <c r="C2" s="330"/>
      <c r="D2" s="330"/>
      <c r="F2" s="329"/>
      <c r="G2" s="329"/>
    </row>
    <row r="3" spans="1:8" s="328" customFormat="1" ht="6" customHeight="1" thickBot="1">
      <c r="A3" s="308"/>
      <c r="B3" s="331"/>
      <c r="C3" s="331"/>
      <c r="D3" s="331"/>
      <c r="F3" s="329"/>
      <c r="G3" s="329"/>
    </row>
    <row r="4" spans="1:8" ht="26.5" thickTop="1">
      <c r="A4" s="576" t="s">
        <v>21</v>
      </c>
      <c r="B4" s="577" t="s">
        <v>906</v>
      </c>
      <c r="C4" s="1162" t="s">
        <v>907</v>
      </c>
      <c r="D4" s="1162" t="s">
        <v>908</v>
      </c>
      <c r="E4" s="1162" t="s">
        <v>939</v>
      </c>
      <c r="F4" s="1162" t="s">
        <v>1033</v>
      </c>
      <c r="G4" s="1162" t="s">
        <v>1313</v>
      </c>
    </row>
    <row r="5" spans="1:8" ht="24" customHeight="1">
      <c r="A5" s="333" t="s">
        <v>50</v>
      </c>
      <c r="B5" s="333">
        <v>916004.78999999992</v>
      </c>
      <c r="C5" s="578">
        <v>1023735.09</v>
      </c>
      <c r="D5" s="1007">
        <v>1085444.9900000002</v>
      </c>
      <c r="E5" s="1007">
        <v>1609351.07</v>
      </c>
      <c r="F5" s="1007">
        <v>1723090.65</v>
      </c>
      <c r="G5" s="1007">
        <v>1349437.24</v>
      </c>
    </row>
    <row r="6" spans="1:8">
      <c r="A6" s="90" t="s">
        <v>52</v>
      </c>
      <c r="B6" s="90">
        <v>7310466.5799999982</v>
      </c>
      <c r="C6" s="579">
        <v>6783830.5199999996</v>
      </c>
      <c r="D6" s="1008">
        <v>7677069.2299999986</v>
      </c>
      <c r="E6" s="1008">
        <v>10783141.449999999</v>
      </c>
      <c r="F6" s="1008">
        <v>10110250.65</v>
      </c>
      <c r="G6" s="1008">
        <v>7733689.5899999999</v>
      </c>
    </row>
    <row r="7" spans="1:8">
      <c r="A7" s="90" t="s">
        <v>54</v>
      </c>
      <c r="B7" s="90">
        <v>184885.83</v>
      </c>
      <c r="C7" s="579">
        <v>203069.11</v>
      </c>
      <c r="D7" s="1008">
        <v>291456.63</v>
      </c>
      <c r="E7" s="1008">
        <v>322369.33</v>
      </c>
      <c r="F7" s="1008">
        <v>368867.1</v>
      </c>
      <c r="G7" s="1008">
        <v>392775.42</v>
      </c>
    </row>
    <row r="8" spans="1:8">
      <c r="A8" s="90" t="s">
        <v>56</v>
      </c>
      <c r="B8" s="90">
        <v>343579.66000000003</v>
      </c>
      <c r="C8" s="579">
        <v>365922.63</v>
      </c>
      <c r="D8" s="1008">
        <v>410504.98999999993</v>
      </c>
      <c r="E8" s="1008">
        <v>560960.31000000006</v>
      </c>
      <c r="F8" s="1008">
        <v>680485.66</v>
      </c>
      <c r="G8" s="1008">
        <v>435482.48</v>
      </c>
    </row>
    <row r="9" spans="1:8">
      <c r="A9" s="90" t="s">
        <v>58</v>
      </c>
      <c r="B9" s="90">
        <v>608204.8600000001</v>
      </c>
      <c r="C9" s="579">
        <v>604215.96</v>
      </c>
      <c r="D9" s="1008">
        <v>777235.10999999964</v>
      </c>
      <c r="E9" s="1008">
        <v>989743.54</v>
      </c>
      <c r="F9" s="1008">
        <v>1128793.97</v>
      </c>
      <c r="G9" s="1008">
        <v>906618.13</v>
      </c>
    </row>
    <row r="10" spans="1:8" ht="24" customHeight="1">
      <c r="A10" s="90" t="s">
        <v>60</v>
      </c>
      <c r="B10" s="90">
        <v>329293.32999999996</v>
      </c>
      <c r="C10" s="579">
        <v>312322.24</v>
      </c>
      <c r="D10" s="1008">
        <v>428932.31999999989</v>
      </c>
      <c r="E10" s="1008">
        <v>542059.07999999996</v>
      </c>
      <c r="F10" s="1008">
        <v>601369.59</v>
      </c>
      <c r="G10" s="1008">
        <v>456661.17</v>
      </c>
    </row>
    <row r="11" spans="1:8">
      <c r="A11" s="90" t="s">
        <v>62</v>
      </c>
      <c r="B11" s="90">
        <v>21160588.409999996</v>
      </c>
      <c r="C11" s="579">
        <v>20140024.699999999</v>
      </c>
      <c r="D11" s="1008">
        <v>22966291.539999992</v>
      </c>
      <c r="E11" s="1008">
        <v>31465024.09</v>
      </c>
      <c r="F11" s="1008">
        <v>37330804.600000001</v>
      </c>
      <c r="G11" s="1008">
        <v>15623673.82</v>
      </c>
    </row>
    <row r="12" spans="1:8">
      <c r="A12" s="90" t="s">
        <v>64</v>
      </c>
      <c r="B12" s="90">
        <v>2055632.9099999992</v>
      </c>
      <c r="C12" s="579">
        <v>2172761</v>
      </c>
      <c r="D12" s="1008">
        <v>2555788.8899999997</v>
      </c>
      <c r="E12" s="1008">
        <v>3846710.28</v>
      </c>
      <c r="F12" s="1008">
        <v>3650785.83</v>
      </c>
      <c r="G12" s="1008">
        <v>2718510.66</v>
      </c>
    </row>
    <row r="13" spans="1:8">
      <c r="A13" s="90" t="s">
        <v>66</v>
      </c>
      <c r="B13" s="90">
        <v>1219904.4300000002</v>
      </c>
      <c r="C13" s="579">
        <v>114319.87</v>
      </c>
      <c r="D13" s="1008">
        <v>99799.599999999991</v>
      </c>
      <c r="E13" s="1008">
        <v>180720.6</v>
      </c>
      <c r="F13" s="1009">
        <v>205394.6</v>
      </c>
      <c r="G13" s="1009">
        <v>138453.57999999999</v>
      </c>
      <c r="H13" s="166"/>
    </row>
    <row r="14" spans="1:8">
      <c r="A14" s="334" t="s">
        <v>353</v>
      </c>
      <c r="B14" s="90">
        <v>2970564.3899999978</v>
      </c>
      <c r="C14" s="579">
        <v>2831336.91</v>
      </c>
      <c r="D14" s="1008">
        <v>3621182.8</v>
      </c>
      <c r="E14" s="1008">
        <v>5303106.54</v>
      </c>
      <c r="F14" s="1008">
        <v>5601099.9500000002</v>
      </c>
      <c r="G14" s="1008">
        <v>3722908.1</v>
      </c>
    </row>
    <row r="15" spans="1:8" ht="24" customHeight="1">
      <c r="A15" s="90" t="s">
        <v>69</v>
      </c>
      <c r="B15" s="90">
        <v>71337.399999999994</v>
      </c>
      <c r="C15" s="579">
        <v>76614.27</v>
      </c>
      <c r="D15" s="1008">
        <v>69992.200000000012</v>
      </c>
      <c r="E15" s="1008">
        <v>124373.19</v>
      </c>
      <c r="F15" s="1008">
        <v>168844.41</v>
      </c>
      <c r="G15" s="1008">
        <v>91723.81</v>
      </c>
    </row>
    <row r="16" spans="1:8">
      <c r="A16" s="90" t="s">
        <v>71</v>
      </c>
      <c r="B16" s="90">
        <v>1198286.6199999996</v>
      </c>
      <c r="C16" s="579">
        <v>1237799.42</v>
      </c>
      <c r="D16" s="1008">
        <v>1384786.9600000004</v>
      </c>
      <c r="E16" s="1008">
        <v>1881261.92</v>
      </c>
      <c r="F16" s="1008">
        <v>1613406.33</v>
      </c>
      <c r="G16" s="1008">
        <v>1436608.19</v>
      </c>
    </row>
    <row r="17" spans="1:8">
      <c r="A17" s="90" t="s">
        <v>73</v>
      </c>
      <c r="B17" s="90">
        <v>568169.97</v>
      </c>
      <c r="C17" s="579">
        <v>238211.51</v>
      </c>
      <c r="D17" s="1008">
        <v>338735.82</v>
      </c>
      <c r="E17" s="1008">
        <v>372658.97</v>
      </c>
      <c r="F17" s="1008">
        <v>516299.79</v>
      </c>
      <c r="G17" s="1008">
        <v>407946.45</v>
      </c>
      <c r="H17" s="166"/>
    </row>
    <row r="18" spans="1:8">
      <c r="A18" s="90" t="s">
        <v>75</v>
      </c>
      <c r="B18" s="90">
        <v>142705.30999999997</v>
      </c>
      <c r="C18" s="579">
        <v>211318.05</v>
      </c>
      <c r="D18" s="1008">
        <v>221787.02999999997</v>
      </c>
      <c r="E18" s="1008">
        <v>185409.94</v>
      </c>
      <c r="F18" s="1010">
        <v>206391.39</v>
      </c>
      <c r="G18" s="1010">
        <v>166922.28</v>
      </c>
      <c r="H18" s="169"/>
    </row>
    <row r="19" spans="1:8">
      <c r="A19" s="90" t="s">
        <v>77</v>
      </c>
      <c r="B19" s="90">
        <v>276950.32000000007</v>
      </c>
      <c r="C19" s="579">
        <v>262685.05</v>
      </c>
      <c r="D19" s="1008">
        <v>360367.95999999996</v>
      </c>
      <c r="E19" s="1008">
        <v>433154.52</v>
      </c>
      <c r="F19" s="1008">
        <v>449447.81</v>
      </c>
      <c r="G19" s="1008">
        <v>405464.99</v>
      </c>
    </row>
    <row r="20" spans="1:8" ht="24" customHeight="1">
      <c r="A20" s="90" t="s">
        <v>79</v>
      </c>
      <c r="B20" s="90">
        <v>1075193.4499999997</v>
      </c>
      <c r="C20" s="579">
        <v>1193786.6399999999</v>
      </c>
      <c r="D20" s="1008">
        <v>1599313.3999999992</v>
      </c>
      <c r="E20" s="1008">
        <v>2290163.75</v>
      </c>
      <c r="F20" s="1008">
        <v>2227666.79</v>
      </c>
      <c r="G20" s="1008">
        <v>1902268.59</v>
      </c>
    </row>
    <row r="21" spans="1:8">
      <c r="A21" s="90" t="s">
        <v>81</v>
      </c>
      <c r="B21" s="90">
        <v>1002241.3700000002</v>
      </c>
      <c r="C21" s="579">
        <v>1027898.34</v>
      </c>
      <c r="D21" s="1008">
        <v>1286025.810000001</v>
      </c>
      <c r="E21" s="1008">
        <v>1975227.45</v>
      </c>
      <c r="F21" s="1008">
        <v>2320586.44</v>
      </c>
      <c r="G21" s="1008">
        <v>2102643.5499999998</v>
      </c>
    </row>
    <row r="22" spans="1:8">
      <c r="A22" s="90" t="s">
        <v>83</v>
      </c>
      <c r="B22" s="90">
        <v>513755.00999999983</v>
      </c>
      <c r="C22" s="579">
        <v>504441.19</v>
      </c>
      <c r="D22" s="1008">
        <v>563956.03999999992</v>
      </c>
      <c r="E22" s="1008">
        <v>830616.78</v>
      </c>
      <c r="F22" s="1008">
        <v>906639.28</v>
      </c>
      <c r="G22" s="1008">
        <v>777631.18</v>
      </c>
    </row>
    <row r="23" spans="1:8">
      <c r="A23" s="90" t="s">
        <v>85</v>
      </c>
      <c r="B23" s="90">
        <v>173996.02</v>
      </c>
      <c r="C23" s="579">
        <v>178512.76</v>
      </c>
      <c r="D23" s="1008">
        <v>225086.27</v>
      </c>
      <c r="E23" s="1008">
        <v>320140.81</v>
      </c>
      <c r="F23" s="1008">
        <v>304983.31</v>
      </c>
      <c r="G23" s="1008">
        <v>206401.53</v>
      </c>
    </row>
    <row r="24" spans="1:8">
      <c r="A24" s="90" t="s">
        <v>87</v>
      </c>
      <c r="B24" s="90">
        <v>174388.63</v>
      </c>
      <c r="C24" s="579">
        <v>180717.68</v>
      </c>
      <c r="D24" s="1008">
        <v>222549.5</v>
      </c>
      <c r="E24" s="1008">
        <v>308541.71000000002</v>
      </c>
      <c r="F24" s="1008">
        <v>296035</v>
      </c>
      <c r="G24" s="1008">
        <v>195667.69</v>
      </c>
    </row>
    <row r="25" spans="1:8" ht="24" customHeight="1">
      <c r="A25" s="90" t="s">
        <v>89</v>
      </c>
      <c r="B25" s="90">
        <v>17478977.450000003</v>
      </c>
      <c r="C25" s="579">
        <v>18302320.93</v>
      </c>
      <c r="D25" s="1008">
        <v>21225125.040000003</v>
      </c>
      <c r="E25" s="1008">
        <v>30462586.079999998</v>
      </c>
      <c r="F25" s="1008">
        <v>29420781.420000002</v>
      </c>
      <c r="G25" s="1008">
        <v>21051338.489999998</v>
      </c>
    </row>
    <row r="26" spans="1:8">
      <c r="A26" s="90" t="s">
        <v>91</v>
      </c>
      <c r="B26" s="90">
        <v>679722.70999999973</v>
      </c>
      <c r="C26" s="579">
        <v>757346.96</v>
      </c>
      <c r="D26" s="1008">
        <v>882197.54999999993</v>
      </c>
      <c r="E26" s="1008">
        <v>1503083.69</v>
      </c>
      <c r="F26" s="1008">
        <v>1419606.68</v>
      </c>
      <c r="G26" s="1008">
        <v>857933.74</v>
      </c>
    </row>
    <row r="27" spans="1:8">
      <c r="A27" s="90" t="s">
        <v>93</v>
      </c>
      <c r="B27" s="90">
        <v>105853.02</v>
      </c>
      <c r="C27" s="579">
        <v>117564.11</v>
      </c>
      <c r="D27" s="1008">
        <v>99354.15</v>
      </c>
      <c r="E27" s="1008">
        <v>169734.01</v>
      </c>
      <c r="F27" s="1008">
        <v>145657.82999999999</v>
      </c>
      <c r="G27" s="1008">
        <v>94625.36</v>
      </c>
    </row>
    <row r="28" spans="1:8">
      <c r="A28" s="90" t="s">
        <v>95</v>
      </c>
      <c r="B28" s="90">
        <v>2101620.0999999996</v>
      </c>
      <c r="C28" s="579">
        <v>2219808.7000000002</v>
      </c>
      <c r="D28" s="1008">
        <v>2676410.46</v>
      </c>
      <c r="E28" s="1008">
        <v>3948394.85</v>
      </c>
      <c r="F28" s="1008">
        <v>3563539.67</v>
      </c>
      <c r="G28" s="1008">
        <v>2746787.57</v>
      </c>
    </row>
    <row r="29" spans="1:8">
      <c r="A29" s="90" t="s">
        <v>97</v>
      </c>
      <c r="B29" s="90">
        <v>186255.38999999998</v>
      </c>
      <c r="C29" s="579">
        <v>229777.33</v>
      </c>
      <c r="D29" s="1008">
        <v>302178.89</v>
      </c>
      <c r="E29" s="1008">
        <v>311021.46000000002</v>
      </c>
      <c r="F29" s="1008">
        <v>361067.55</v>
      </c>
      <c r="G29" s="1008">
        <v>321325.37</v>
      </c>
    </row>
    <row r="30" spans="1:8" ht="24" customHeight="1">
      <c r="A30" s="90" t="s">
        <v>99</v>
      </c>
      <c r="B30" s="90">
        <v>188804.97</v>
      </c>
      <c r="C30" s="579">
        <v>76371.22</v>
      </c>
      <c r="D30" s="1008">
        <v>562230.54</v>
      </c>
      <c r="E30" s="1008">
        <v>91030.89</v>
      </c>
      <c r="F30" s="1008">
        <v>115745.48</v>
      </c>
      <c r="G30" s="1008">
        <v>117450.54</v>
      </c>
    </row>
    <row r="31" spans="1:8">
      <c r="A31" s="90" t="s">
        <v>101</v>
      </c>
      <c r="B31" s="90">
        <v>592965.0199999999</v>
      </c>
      <c r="C31" s="579">
        <v>736016.09</v>
      </c>
      <c r="D31" s="1008">
        <v>907140.01999999979</v>
      </c>
      <c r="E31" s="1008">
        <v>1040011.46</v>
      </c>
      <c r="F31" s="1008">
        <v>1077572.31</v>
      </c>
      <c r="G31" s="1008">
        <v>828183.64</v>
      </c>
    </row>
    <row r="32" spans="1:8">
      <c r="A32" s="90" t="s">
        <v>103</v>
      </c>
      <c r="B32" s="90">
        <v>269412.54000000004</v>
      </c>
      <c r="C32" s="579">
        <v>360528.14</v>
      </c>
      <c r="D32" s="1008">
        <v>345444.18</v>
      </c>
      <c r="E32" s="1008">
        <v>551733.09</v>
      </c>
      <c r="F32" s="1008">
        <v>558883.96</v>
      </c>
      <c r="G32" s="1008">
        <v>428221.23</v>
      </c>
    </row>
    <row r="33" spans="1:7">
      <c r="A33" s="90" t="s">
        <v>105</v>
      </c>
      <c r="B33" s="90">
        <v>85641787.530000046</v>
      </c>
      <c r="C33" s="579">
        <v>82100501.609999999</v>
      </c>
      <c r="D33" s="1008">
        <v>106314702.31000006</v>
      </c>
      <c r="E33" s="1008">
        <v>145339962.56999999</v>
      </c>
      <c r="F33" s="1008">
        <v>125697445.23999999</v>
      </c>
      <c r="G33" s="1008">
        <v>73283557.140000001</v>
      </c>
    </row>
    <row r="34" spans="1:7">
      <c r="A34" s="90" t="s">
        <v>107</v>
      </c>
      <c r="B34" s="90">
        <v>4763659.9399999995</v>
      </c>
      <c r="C34" s="579">
        <v>4622955.63</v>
      </c>
      <c r="D34" s="1008">
        <v>6240755.6200000048</v>
      </c>
      <c r="E34" s="1008">
        <v>9271174.6300000008</v>
      </c>
      <c r="F34" s="1008">
        <v>7890420.7599999998</v>
      </c>
      <c r="G34" s="1008">
        <v>4447079.1500000004</v>
      </c>
    </row>
    <row r="35" spans="1:7" ht="24" customHeight="1">
      <c r="A35" s="90" t="s">
        <v>109</v>
      </c>
      <c r="B35" s="167">
        <v>300158.71000000002</v>
      </c>
      <c r="C35" s="1007">
        <v>350741.73</v>
      </c>
      <c r="D35" s="1007">
        <v>391111.7300000001</v>
      </c>
      <c r="E35" s="1007">
        <v>576547.26</v>
      </c>
      <c r="F35" s="1007">
        <v>547015.21</v>
      </c>
      <c r="G35" s="1007">
        <v>447718.74</v>
      </c>
    </row>
    <row r="36" spans="1:7">
      <c r="A36" s="90" t="s">
        <v>111</v>
      </c>
      <c r="B36" s="165">
        <v>971906.0899999995</v>
      </c>
      <c r="C36" s="1008">
        <v>851679.42</v>
      </c>
      <c r="D36" s="1008">
        <v>1166850.2100000002</v>
      </c>
      <c r="E36" s="1008">
        <v>1855746.5</v>
      </c>
      <c r="F36" s="1008">
        <v>1649271.52</v>
      </c>
      <c r="G36" s="1008">
        <v>1409739.22</v>
      </c>
    </row>
    <row r="37" spans="1:7">
      <c r="A37" s="90" t="s">
        <v>24</v>
      </c>
      <c r="B37" s="165">
        <v>1805767.9500000007</v>
      </c>
      <c r="C37" s="1008">
        <v>1802646.31</v>
      </c>
      <c r="D37" s="1008">
        <v>2343146.6399999992</v>
      </c>
      <c r="E37" s="1008">
        <v>3891049.54</v>
      </c>
      <c r="F37" s="1008">
        <v>3570115.63</v>
      </c>
      <c r="G37" s="1008">
        <v>2430165.96</v>
      </c>
    </row>
    <row r="38" spans="1:7">
      <c r="A38" s="90" t="s">
        <v>114</v>
      </c>
      <c r="B38" s="165">
        <v>4827371.0199999986</v>
      </c>
      <c r="C38" s="1008">
        <v>4966022.1500000004</v>
      </c>
      <c r="D38" s="1008">
        <v>5458785.2600000007</v>
      </c>
      <c r="E38" s="1008">
        <v>7978901.7599999998</v>
      </c>
      <c r="F38" s="1008">
        <v>7939076.4500000002</v>
      </c>
      <c r="G38" s="1008">
        <v>6126300.1200000001</v>
      </c>
    </row>
    <row r="39" spans="1:7">
      <c r="A39" s="90" t="s">
        <v>116</v>
      </c>
      <c r="B39" s="165">
        <v>260573.52000000002</v>
      </c>
      <c r="C39" s="1008">
        <v>255777.01</v>
      </c>
      <c r="D39" s="1008">
        <v>297823.99999999988</v>
      </c>
      <c r="E39" s="1008">
        <v>433026.16</v>
      </c>
      <c r="F39" s="1008">
        <v>430979.35</v>
      </c>
      <c r="G39" s="1008">
        <v>339820.95</v>
      </c>
    </row>
    <row r="40" spans="1:7" ht="18">
      <c r="A40" s="1631" t="s">
        <v>590</v>
      </c>
      <c r="B40" s="1631"/>
      <c r="C40" s="1631"/>
      <c r="D40" s="1631"/>
    </row>
    <row r="41" spans="1:7" ht="15.5">
      <c r="A41" s="378" t="str">
        <f>A2</f>
        <v xml:space="preserve">Recordation Tax and Deeds of Conveyance Revenue Collections by Locality </v>
      </c>
      <c r="B41" s="378"/>
      <c r="C41" s="378"/>
      <c r="D41" s="378"/>
      <c r="F41" s="389"/>
      <c r="G41" s="389"/>
    </row>
    <row r="42" spans="1:7" ht="6" customHeight="1" thickBot="1">
      <c r="A42" s="335"/>
      <c r="B42" s="335"/>
      <c r="C42" s="335"/>
      <c r="D42" s="335"/>
    </row>
    <row r="43" spans="1:7" ht="26.5" thickTop="1">
      <c r="A43" s="576" t="s">
        <v>21</v>
      </c>
      <c r="B43" s="1162" t="str">
        <f t="shared" ref="B43:F43" si="0">B$4</f>
        <v>Fiscal Year 
2018</v>
      </c>
      <c r="C43" s="1162" t="str">
        <f t="shared" si="0"/>
        <v>Fiscal Year 
2019</v>
      </c>
      <c r="D43" s="1162" t="str">
        <f t="shared" si="0"/>
        <v>Fiscal Year 
2020</v>
      </c>
      <c r="E43" s="1162" t="str">
        <f t="shared" si="0"/>
        <v>Fiscal Year 
2021</v>
      </c>
      <c r="F43" s="1162" t="str">
        <f t="shared" si="0"/>
        <v>Fiscal Year 
2022</v>
      </c>
      <c r="G43" s="1162" t="str">
        <f>G$4</f>
        <v>Fiscal Year 2023</v>
      </c>
    </row>
    <row r="44" spans="1:7" ht="24" customHeight="1">
      <c r="A44" s="90" t="s">
        <v>432</v>
      </c>
      <c r="B44" s="165">
        <v>1442470.3499999996</v>
      </c>
      <c r="C44" s="1008">
        <v>1295330.24</v>
      </c>
      <c r="D44" s="1008">
        <v>1641573.1400000008</v>
      </c>
      <c r="E44" s="1008">
        <v>2376065.5</v>
      </c>
      <c r="F44" s="1008">
        <v>2361135.9700000002</v>
      </c>
      <c r="G44" s="1008">
        <v>1519527.13</v>
      </c>
    </row>
    <row r="45" spans="1:7">
      <c r="A45" s="90" t="s">
        <v>434</v>
      </c>
      <c r="B45" s="165">
        <v>1473017.6400000001</v>
      </c>
      <c r="C45" s="1008">
        <v>1721265.8</v>
      </c>
      <c r="D45" s="1008">
        <v>2498348.4599999995</v>
      </c>
      <c r="E45" s="1008">
        <v>2927588.87</v>
      </c>
      <c r="F45" s="1008">
        <v>3219196.09</v>
      </c>
      <c r="G45" s="1008">
        <v>2348137.64</v>
      </c>
    </row>
    <row r="46" spans="1:7">
      <c r="A46" s="90" t="s">
        <v>436</v>
      </c>
      <c r="B46" s="165">
        <v>309879.81</v>
      </c>
      <c r="C46" s="1008">
        <v>319890.40000000002</v>
      </c>
      <c r="D46" s="1008">
        <v>363379.93999999994</v>
      </c>
      <c r="E46" s="1008">
        <v>467611.27</v>
      </c>
      <c r="F46" s="1008">
        <v>567726.01</v>
      </c>
      <c r="G46" s="1008">
        <v>453670.45</v>
      </c>
    </row>
    <row r="47" spans="1:7">
      <c r="A47" s="90" t="s">
        <v>57</v>
      </c>
      <c r="B47" s="165">
        <v>665860.2100000002</v>
      </c>
      <c r="C47" s="1008">
        <v>815346.86</v>
      </c>
      <c r="D47" s="1008">
        <v>919761.93999999971</v>
      </c>
      <c r="E47" s="1008">
        <v>1325887.18</v>
      </c>
      <c r="F47" s="1008">
        <v>1302309.82</v>
      </c>
      <c r="G47" s="1008">
        <v>848465.8</v>
      </c>
    </row>
    <row r="48" spans="1:7">
      <c r="A48" s="90" t="s">
        <v>442</v>
      </c>
      <c r="B48" s="165">
        <v>168236.08000000005</v>
      </c>
      <c r="C48" s="1008">
        <v>95004.58</v>
      </c>
      <c r="D48" s="1008">
        <v>101834.98000000004</v>
      </c>
      <c r="E48" s="1008">
        <v>171728.01</v>
      </c>
      <c r="F48" s="1008">
        <v>272672.63</v>
      </c>
      <c r="G48" s="1008">
        <v>192090.46</v>
      </c>
    </row>
    <row r="49" spans="1:7" ht="24" customHeight="1">
      <c r="A49" s="333" t="s">
        <v>591</v>
      </c>
      <c r="B49" s="165">
        <v>513838.62999999983</v>
      </c>
      <c r="C49" s="1008">
        <v>420193.85</v>
      </c>
      <c r="D49" s="1008">
        <v>554097.90999999992</v>
      </c>
      <c r="E49" s="1008">
        <v>719066.97</v>
      </c>
      <c r="F49" s="1008">
        <v>792493.91</v>
      </c>
      <c r="G49" s="1008">
        <v>1052664.2</v>
      </c>
    </row>
    <row r="50" spans="1:7">
      <c r="A50" s="90" t="s">
        <v>63</v>
      </c>
      <c r="B50" s="165">
        <v>5228012.49</v>
      </c>
      <c r="C50" s="1008">
        <v>5400252.2999999998</v>
      </c>
      <c r="D50" s="1008">
        <v>6739040.0000000075</v>
      </c>
      <c r="E50" s="1008">
        <v>9856129.4600000009</v>
      </c>
      <c r="F50" s="1008">
        <v>9503388.1099999994</v>
      </c>
      <c r="G50" s="1008">
        <v>6597644.2000000002</v>
      </c>
    </row>
    <row r="51" spans="1:7">
      <c r="A51" s="90" t="s">
        <v>65</v>
      </c>
      <c r="B51" s="165">
        <v>15008362.109999999</v>
      </c>
      <c r="C51" s="1008">
        <v>15947561.550000001</v>
      </c>
      <c r="D51" s="1008">
        <v>19671754.030000005</v>
      </c>
      <c r="E51" s="1008">
        <v>24630987.210000001</v>
      </c>
      <c r="F51" s="1008">
        <v>26278413.440000001</v>
      </c>
      <c r="G51" s="1008">
        <v>18549881.23</v>
      </c>
    </row>
    <row r="52" spans="1:7">
      <c r="A52" s="90" t="s">
        <v>67</v>
      </c>
      <c r="B52" s="165">
        <v>574025.39999999991</v>
      </c>
      <c r="C52" s="1008">
        <v>484790.07</v>
      </c>
      <c r="D52" s="1008">
        <v>574127.3200000003</v>
      </c>
      <c r="E52" s="1008">
        <v>960304.22</v>
      </c>
      <c r="F52" s="1008">
        <v>1112657.02</v>
      </c>
      <c r="G52" s="1008">
        <v>1236086.75</v>
      </c>
    </row>
    <row r="53" spans="1:7">
      <c r="A53" s="90" t="s">
        <v>68</v>
      </c>
      <c r="B53" s="165">
        <v>79329.909999999989</v>
      </c>
      <c r="C53" s="1008">
        <v>49289.98</v>
      </c>
      <c r="D53" s="1008">
        <v>89084.74000000002</v>
      </c>
      <c r="E53" s="1008">
        <v>145278.51999999999</v>
      </c>
      <c r="F53" s="1008">
        <v>129505.19</v>
      </c>
      <c r="G53" s="1008">
        <v>99633.82</v>
      </c>
    </row>
    <row r="54" spans="1:7" ht="24" customHeight="1">
      <c r="A54" s="90" t="s">
        <v>70</v>
      </c>
      <c r="B54" s="165">
        <v>1600880.67</v>
      </c>
      <c r="C54" s="1008">
        <v>1547333.72</v>
      </c>
      <c r="D54" s="1008">
        <v>1959225.4899999998</v>
      </c>
      <c r="E54" s="1008">
        <v>3098198.98</v>
      </c>
      <c r="F54" s="1008">
        <v>2879705.89</v>
      </c>
      <c r="G54" s="1008">
        <v>1913605.31</v>
      </c>
    </row>
    <row r="55" spans="1:7">
      <c r="A55" s="90" t="s">
        <v>72</v>
      </c>
      <c r="B55" s="165">
        <v>4654519.1800000006</v>
      </c>
      <c r="C55" s="1008">
        <v>3995299.62</v>
      </c>
      <c r="D55" s="1008">
        <v>5282264.5499999989</v>
      </c>
      <c r="E55" s="1008">
        <v>8005280.0300000003</v>
      </c>
      <c r="F55" s="1008">
        <v>7428674.1500000004</v>
      </c>
      <c r="G55" s="1008">
        <v>4932264.49</v>
      </c>
    </row>
    <row r="56" spans="1:7">
      <c r="A56" s="90" t="s">
        <v>74</v>
      </c>
      <c r="B56" s="165">
        <v>174800.37000000002</v>
      </c>
      <c r="C56" s="1008">
        <v>147799.13</v>
      </c>
      <c r="D56" s="1008">
        <v>177906.49000000005</v>
      </c>
      <c r="E56" s="1008">
        <v>251196.65</v>
      </c>
      <c r="F56" s="1008">
        <v>268071.81</v>
      </c>
      <c r="G56" s="1008">
        <v>170904.54</v>
      </c>
    </row>
    <row r="57" spans="1:7">
      <c r="A57" s="90" t="s">
        <v>76</v>
      </c>
      <c r="B57" s="165">
        <v>1080523.8700000001</v>
      </c>
      <c r="C57" s="1008">
        <v>1015847.1</v>
      </c>
      <c r="D57" s="1008">
        <v>1538333.5499999996</v>
      </c>
      <c r="E57" s="1008">
        <v>2252647.92</v>
      </c>
      <c r="F57" s="1008">
        <v>2239870.3199999998</v>
      </c>
      <c r="G57" s="1008">
        <v>1331932.45</v>
      </c>
    </row>
    <row r="58" spans="1:7">
      <c r="A58" s="90" t="s">
        <v>78</v>
      </c>
      <c r="B58" s="165">
        <v>633898.45000000007</v>
      </c>
      <c r="C58" s="1008">
        <v>622618</v>
      </c>
      <c r="D58" s="1008">
        <v>796261.98999999964</v>
      </c>
      <c r="E58" s="1008">
        <v>1048178.42</v>
      </c>
      <c r="F58" s="1008">
        <v>1185230.58</v>
      </c>
      <c r="G58" s="1008">
        <v>788247.93</v>
      </c>
    </row>
    <row r="59" spans="1:7" ht="24" customHeight="1">
      <c r="A59" s="90" t="s">
        <v>80</v>
      </c>
      <c r="B59" s="165">
        <v>638175.47000000009</v>
      </c>
      <c r="C59" s="1008">
        <v>554427.6</v>
      </c>
      <c r="D59" s="1008">
        <v>806809.46</v>
      </c>
      <c r="E59" s="1008">
        <v>1362347.36</v>
      </c>
      <c r="F59" s="1008">
        <v>1148480.8799999999</v>
      </c>
      <c r="G59" s="1008">
        <v>973493.06</v>
      </c>
    </row>
    <row r="60" spans="1:7">
      <c r="A60" s="90" t="s">
        <v>82</v>
      </c>
      <c r="B60" s="165">
        <v>182463.91999999998</v>
      </c>
      <c r="C60" s="1008">
        <v>178436.21</v>
      </c>
      <c r="D60" s="1008">
        <v>178872.96000000002</v>
      </c>
      <c r="E60" s="1008">
        <v>290550.92</v>
      </c>
      <c r="F60" s="1008">
        <v>315031.52</v>
      </c>
      <c r="G60" s="1008">
        <v>259549.65</v>
      </c>
    </row>
    <row r="61" spans="1:7">
      <c r="A61" s="90" t="s">
        <v>84</v>
      </c>
      <c r="B61" s="165">
        <v>40425704.25999999</v>
      </c>
      <c r="C61" s="1008">
        <v>39688170.950000003</v>
      </c>
      <c r="D61" s="1008">
        <v>53157736.380000003</v>
      </c>
      <c r="E61" s="1008">
        <v>77452544.010000005</v>
      </c>
      <c r="F61" s="1008">
        <v>68964866.620000005</v>
      </c>
      <c r="G61" s="1008">
        <v>41688679.030000001</v>
      </c>
    </row>
    <row r="62" spans="1:7">
      <c r="A62" s="90" t="s">
        <v>86</v>
      </c>
      <c r="B62" s="165">
        <v>1673683.27</v>
      </c>
      <c r="C62" s="1008">
        <v>1757392.81</v>
      </c>
      <c r="D62" s="1008">
        <v>2198231.9300000006</v>
      </c>
      <c r="E62" s="1008">
        <v>3488527.53</v>
      </c>
      <c r="F62" s="1008">
        <v>3490787.71</v>
      </c>
      <c r="G62" s="1008">
        <v>3093140.3</v>
      </c>
    </row>
    <row r="63" spans="1:7">
      <c r="A63" s="90" t="s">
        <v>88</v>
      </c>
      <c r="B63" s="165">
        <v>221794.17</v>
      </c>
      <c r="C63" s="1008">
        <v>148868.70000000001</v>
      </c>
      <c r="D63" s="1008">
        <v>190064.47000000003</v>
      </c>
      <c r="E63" s="1008">
        <v>221420.32</v>
      </c>
      <c r="F63" s="1008">
        <v>239459.88</v>
      </c>
      <c r="G63" s="1008">
        <v>226645.66</v>
      </c>
    </row>
    <row r="64" spans="1:7" ht="24" customHeight="1">
      <c r="A64" s="90" t="s">
        <v>90</v>
      </c>
      <c r="B64" s="165">
        <v>342163.18000000011</v>
      </c>
      <c r="C64" s="1008">
        <v>405910.12</v>
      </c>
      <c r="D64" s="1008">
        <v>460587.42999999993</v>
      </c>
      <c r="E64" s="1008">
        <v>817720.99</v>
      </c>
      <c r="F64" s="1008">
        <v>744153.3</v>
      </c>
      <c r="G64" s="1008">
        <v>453699.48</v>
      </c>
    </row>
    <row r="65" spans="1:7">
      <c r="A65" s="90" t="s">
        <v>92</v>
      </c>
      <c r="B65" s="165">
        <v>357288.45999999996</v>
      </c>
      <c r="C65" s="1008">
        <v>312730.06</v>
      </c>
      <c r="D65" s="1008">
        <v>388892.24999999988</v>
      </c>
      <c r="E65" s="1008">
        <v>728834.36</v>
      </c>
      <c r="F65" s="1008">
        <v>722974.04</v>
      </c>
      <c r="G65" s="1008">
        <v>417017.86</v>
      </c>
    </row>
    <row r="66" spans="1:7">
      <c r="A66" s="90" t="s">
        <v>94</v>
      </c>
      <c r="B66" s="165">
        <v>782256.71000000008</v>
      </c>
      <c r="C66" s="1008">
        <v>913997.9</v>
      </c>
      <c r="D66" s="1008">
        <v>910756.09</v>
      </c>
      <c r="E66" s="1008">
        <v>1581306.9</v>
      </c>
      <c r="F66" s="1008">
        <v>1397308.98</v>
      </c>
      <c r="G66" s="1008">
        <v>994197.91</v>
      </c>
    </row>
    <row r="67" spans="1:7">
      <c r="A67" s="90" t="s">
        <v>96</v>
      </c>
      <c r="B67" s="165">
        <v>762686.58</v>
      </c>
      <c r="C67" s="1008">
        <v>384709.92</v>
      </c>
      <c r="D67" s="1008">
        <v>592423.35</v>
      </c>
      <c r="E67" s="1008">
        <v>941776.47</v>
      </c>
      <c r="F67" s="1008">
        <v>825371.66</v>
      </c>
      <c r="G67" s="1008">
        <v>639506.76</v>
      </c>
    </row>
    <row r="68" spans="1:7">
      <c r="A68" s="90" t="s">
        <v>98</v>
      </c>
      <c r="B68" s="165">
        <v>3455784.0199999977</v>
      </c>
      <c r="C68" s="1008">
        <v>3078167.35</v>
      </c>
      <c r="D68" s="1008">
        <v>4494921.7700000033</v>
      </c>
      <c r="E68" s="1008">
        <v>5220241.55</v>
      </c>
      <c r="F68" s="1008">
        <v>5006185.6900000004</v>
      </c>
      <c r="G68" s="1008">
        <v>4769623.5599999996</v>
      </c>
    </row>
    <row r="69" spans="1:7" ht="24" customHeight="1">
      <c r="A69" s="90" t="s">
        <v>100</v>
      </c>
      <c r="B69" s="167">
        <v>623465.81000000029</v>
      </c>
      <c r="C69" s="1007">
        <v>629995.38</v>
      </c>
      <c r="D69" s="1007">
        <v>729977.74999999977</v>
      </c>
      <c r="E69" s="1007">
        <v>1451600.96</v>
      </c>
      <c r="F69" s="1007">
        <v>1426099.21</v>
      </c>
      <c r="G69" s="1007">
        <v>897113.28</v>
      </c>
    </row>
    <row r="70" spans="1:7">
      <c r="A70" s="90" t="s">
        <v>102</v>
      </c>
      <c r="B70" s="165">
        <v>1302926.9500000004</v>
      </c>
      <c r="C70" s="1008">
        <v>1189610.2</v>
      </c>
      <c r="D70" s="1008">
        <v>1467213.74</v>
      </c>
      <c r="E70" s="1008">
        <v>2237700.41</v>
      </c>
      <c r="F70" s="1008">
        <v>2285095.4700000002</v>
      </c>
      <c r="G70" s="1008">
        <v>2153688.73</v>
      </c>
    </row>
    <row r="71" spans="1:7">
      <c r="A71" s="90" t="s">
        <v>104</v>
      </c>
      <c r="B71" s="165">
        <v>453247.04999999993</v>
      </c>
      <c r="C71" s="1008">
        <v>496579.51</v>
      </c>
      <c r="D71" s="1008">
        <v>583901.90000000014</v>
      </c>
      <c r="E71" s="1008">
        <v>1240419.83</v>
      </c>
      <c r="F71" s="1008">
        <v>1071061.58</v>
      </c>
      <c r="G71" s="1008">
        <v>1004737.76</v>
      </c>
    </row>
    <row r="72" spans="1:7">
      <c r="A72" s="90" t="s">
        <v>106</v>
      </c>
      <c r="B72" s="165">
        <v>574087.36</v>
      </c>
      <c r="C72" s="1008">
        <v>555922.09</v>
      </c>
      <c r="D72" s="1008">
        <v>755409.69000000006</v>
      </c>
      <c r="E72" s="1008">
        <v>1412853.03</v>
      </c>
      <c r="F72" s="1008">
        <v>1161335.1299999999</v>
      </c>
      <c r="G72" s="1008">
        <v>883254.11</v>
      </c>
    </row>
    <row r="73" spans="1:7">
      <c r="A73" s="90" t="s">
        <v>108</v>
      </c>
      <c r="B73" s="165">
        <v>247151.14999999997</v>
      </c>
      <c r="C73" s="1008">
        <v>280242.59000000003</v>
      </c>
      <c r="D73" s="1008">
        <v>219470.27</v>
      </c>
      <c r="E73" s="1008">
        <v>304820.94</v>
      </c>
      <c r="F73" s="1008">
        <v>432431.43</v>
      </c>
      <c r="G73" s="1008">
        <v>339010.5</v>
      </c>
    </row>
    <row r="74" spans="1:7" ht="24" customHeight="1">
      <c r="A74" s="90" t="s">
        <v>110</v>
      </c>
      <c r="B74" s="165">
        <v>1429921.0199999993</v>
      </c>
      <c r="C74" s="1008">
        <v>1441701.75</v>
      </c>
      <c r="D74" s="1008">
        <v>1823120.6799999995</v>
      </c>
      <c r="E74" s="1008">
        <v>2801675.59</v>
      </c>
      <c r="F74" s="1008">
        <v>3000361.77</v>
      </c>
      <c r="G74" s="1008">
        <v>1961065.42</v>
      </c>
    </row>
    <row r="75" spans="1:7">
      <c r="A75" s="90" t="s">
        <v>112</v>
      </c>
      <c r="B75" s="165">
        <v>496463.16000000015</v>
      </c>
      <c r="C75" s="1008">
        <v>457027.59</v>
      </c>
      <c r="D75" s="1008">
        <v>585266.57000000018</v>
      </c>
      <c r="E75" s="1008">
        <v>879482.51</v>
      </c>
      <c r="F75" s="1008">
        <v>967729.73</v>
      </c>
      <c r="G75" s="1008">
        <v>873864.52</v>
      </c>
    </row>
    <row r="76" spans="1:7">
      <c r="A76" s="90" t="s">
        <v>113</v>
      </c>
      <c r="B76" s="165">
        <v>274494.39000000007</v>
      </c>
      <c r="C76" s="1008">
        <v>241251.87</v>
      </c>
      <c r="D76" s="1008">
        <v>387569.0799999999</v>
      </c>
      <c r="E76" s="1008">
        <v>478785.61</v>
      </c>
      <c r="F76" s="1008">
        <v>471696.05</v>
      </c>
      <c r="G76" s="1008">
        <v>436590.33</v>
      </c>
    </row>
    <row r="77" spans="1:7">
      <c r="A77" s="90" t="s">
        <v>115</v>
      </c>
      <c r="B77" s="165">
        <v>779736.89</v>
      </c>
      <c r="C77" s="1008">
        <v>892836.42</v>
      </c>
      <c r="D77" s="1008">
        <v>1075072.7400000002</v>
      </c>
      <c r="E77" s="1008">
        <v>1326805.08</v>
      </c>
      <c r="F77" s="1008">
        <v>1419187.81</v>
      </c>
      <c r="G77" s="1008">
        <v>1410682.1</v>
      </c>
    </row>
    <row r="78" spans="1:7">
      <c r="A78" s="90" t="s">
        <v>117</v>
      </c>
      <c r="B78" s="165">
        <v>1362940.0500000005</v>
      </c>
      <c r="C78" s="1008">
        <v>1487227.55</v>
      </c>
      <c r="D78" s="1008">
        <v>1972535.7900000005</v>
      </c>
      <c r="E78" s="1008">
        <v>2455836.9700000002</v>
      </c>
      <c r="F78" s="1008">
        <v>2620953.88</v>
      </c>
      <c r="G78" s="1008">
        <v>1505250.05</v>
      </c>
    </row>
    <row r="79" spans="1:7" ht="18">
      <c r="A79" s="1631" t="s">
        <v>590</v>
      </c>
      <c r="B79" s="1631"/>
      <c r="C79" s="1631"/>
      <c r="D79" s="1631"/>
      <c r="E79" s="336"/>
    </row>
    <row r="80" spans="1:7" ht="15.5">
      <c r="A80" s="378" t="str">
        <f>A41</f>
        <v xml:space="preserve">Recordation Tax and Deeds of Conveyance Revenue Collections by Locality </v>
      </c>
      <c r="B80" s="378"/>
      <c r="C80" s="378"/>
      <c r="D80" s="378"/>
      <c r="F80" s="389"/>
      <c r="G80" s="389"/>
    </row>
    <row r="81" spans="1:7" ht="6" customHeight="1" thickBot="1">
      <c r="A81" s="335"/>
      <c r="B81" s="335"/>
      <c r="C81" s="1163"/>
      <c r="D81" s="1163"/>
      <c r="E81" s="1164"/>
      <c r="F81" s="1165"/>
      <c r="G81" s="1165"/>
    </row>
    <row r="82" spans="1:7" ht="26.5" thickTop="1">
      <c r="A82" s="576" t="s">
        <v>21</v>
      </c>
      <c r="B82" s="1162" t="str">
        <f t="shared" ref="B82:F82" si="1">B$4</f>
        <v>Fiscal Year 
2018</v>
      </c>
      <c r="C82" s="1162" t="str">
        <f t="shared" si="1"/>
        <v>Fiscal Year 
2019</v>
      </c>
      <c r="D82" s="1162" t="str">
        <f t="shared" si="1"/>
        <v>Fiscal Year 
2020</v>
      </c>
      <c r="E82" s="1162" t="str">
        <f t="shared" si="1"/>
        <v>Fiscal Year 
2021</v>
      </c>
      <c r="F82" s="1162" t="str">
        <f t="shared" si="1"/>
        <v>Fiscal Year 
2022</v>
      </c>
      <c r="G82" s="1162" t="str">
        <f>G$4</f>
        <v>Fiscal Year 2023</v>
      </c>
    </row>
    <row r="83" spans="1:7" ht="24" customHeight="1">
      <c r="A83" s="90" t="s">
        <v>118</v>
      </c>
      <c r="B83" s="165">
        <v>569395.88000000012</v>
      </c>
      <c r="C83" s="1008">
        <v>402026.12</v>
      </c>
      <c r="D83" s="1008">
        <v>453222.7199999998</v>
      </c>
      <c r="E83" s="1008">
        <v>672030.62</v>
      </c>
      <c r="F83" s="1008">
        <v>841084.94</v>
      </c>
      <c r="G83" s="1008">
        <v>631206.54</v>
      </c>
    </row>
    <row r="84" spans="1:7">
      <c r="A84" s="90" t="s">
        <v>120</v>
      </c>
      <c r="B84" s="165">
        <v>959713.30999999994</v>
      </c>
      <c r="C84" s="1008">
        <v>1006178.59</v>
      </c>
      <c r="D84" s="1008">
        <v>1184889.1199999996</v>
      </c>
      <c r="E84" s="1008">
        <v>1510833.5</v>
      </c>
      <c r="F84" s="1008">
        <v>1856565.04</v>
      </c>
      <c r="G84" s="1008">
        <v>1323845.3500000001</v>
      </c>
    </row>
    <row r="85" spans="1:7">
      <c r="A85" s="90" t="s">
        <v>122</v>
      </c>
      <c r="B85" s="165">
        <v>26344210.129999977</v>
      </c>
      <c r="C85" s="1008">
        <v>26801684.57</v>
      </c>
      <c r="D85" s="1008">
        <v>35560843.670000002</v>
      </c>
      <c r="E85" s="1008">
        <v>57077748.280000001</v>
      </c>
      <c r="F85" s="1008">
        <v>47850203.479999997</v>
      </c>
      <c r="G85" s="1008">
        <v>29341732.190000001</v>
      </c>
    </row>
    <row r="86" spans="1:7">
      <c r="A86" s="90" t="s">
        <v>124</v>
      </c>
      <c r="B86" s="165">
        <v>818605.03000000026</v>
      </c>
      <c r="C86" s="1008">
        <v>679119.52</v>
      </c>
      <c r="D86" s="1008">
        <v>861117.0499999997</v>
      </c>
      <c r="E86" s="1008">
        <v>1209774.8</v>
      </c>
      <c r="F86" s="1008">
        <v>1204760.31</v>
      </c>
      <c r="G86" s="1008">
        <v>915854.61</v>
      </c>
    </row>
    <row r="87" spans="1:7">
      <c r="A87" s="90" t="s">
        <v>126</v>
      </c>
      <c r="B87" s="165">
        <v>381832.67000000004</v>
      </c>
      <c r="C87" s="1008">
        <v>363968.27</v>
      </c>
      <c r="D87" s="1008">
        <v>436841.67000000004</v>
      </c>
      <c r="E87" s="1008">
        <v>792558.93</v>
      </c>
      <c r="F87" s="1008">
        <v>936800.21</v>
      </c>
      <c r="G87" s="1008">
        <v>461650.52</v>
      </c>
    </row>
    <row r="88" spans="1:7" ht="24" customHeight="1">
      <c r="A88" s="90" t="s">
        <v>128</v>
      </c>
      <c r="B88" s="165">
        <v>176704.23999999996</v>
      </c>
      <c r="C88" s="1008">
        <v>205167.83</v>
      </c>
      <c r="D88" s="1008">
        <v>226953.80000000008</v>
      </c>
      <c r="E88" s="1008">
        <v>309660.08</v>
      </c>
      <c r="F88" s="1008">
        <v>254910.79</v>
      </c>
      <c r="G88" s="1008">
        <v>366530.77</v>
      </c>
    </row>
    <row r="89" spans="1:7">
      <c r="A89" s="90" t="s">
        <v>25</v>
      </c>
      <c r="B89" s="165">
        <v>3169185.4299999997</v>
      </c>
      <c r="C89" s="1008">
        <v>3502787.52</v>
      </c>
      <c r="D89" s="1008">
        <v>3746993.8600000017</v>
      </c>
      <c r="E89" s="1008">
        <v>5377044.7000000002</v>
      </c>
      <c r="F89" s="1008">
        <v>4904476.17</v>
      </c>
      <c r="G89" s="1008">
        <v>4012237.62</v>
      </c>
    </row>
    <row r="90" spans="1:7">
      <c r="A90" s="90" t="s">
        <v>130</v>
      </c>
      <c r="B90" s="165">
        <v>615899.92000000004</v>
      </c>
      <c r="C90" s="1008">
        <v>546408.62</v>
      </c>
      <c r="D90" s="1008">
        <v>770962.09000000008</v>
      </c>
      <c r="E90" s="1008">
        <v>1083678.8799999999</v>
      </c>
      <c r="F90" s="1008">
        <v>1151022.3400000001</v>
      </c>
      <c r="G90" s="1008">
        <v>730210.7</v>
      </c>
    </row>
    <row r="91" spans="1:7">
      <c r="A91" s="90" t="s">
        <v>131</v>
      </c>
      <c r="B91" s="165">
        <v>2948389.1300000008</v>
      </c>
      <c r="C91" s="1008">
        <v>2677530.62</v>
      </c>
      <c r="D91" s="1008">
        <v>3308695.16</v>
      </c>
      <c r="E91" s="1008">
        <v>4754630.32</v>
      </c>
      <c r="F91" s="1008">
        <v>4540865.68</v>
      </c>
      <c r="G91" s="1008">
        <v>3976664.63</v>
      </c>
    </row>
    <row r="92" spans="1:7">
      <c r="A92" s="90" t="s">
        <v>133</v>
      </c>
      <c r="B92" s="165">
        <v>368312.44000000012</v>
      </c>
      <c r="C92" s="1008">
        <v>260062.76</v>
      </c>
      <c r="D92" s="1008">
        <v>338693.87999999995</v>
      </c>
      <c r="E92" s="1008">
        <v>379173.09</v>
      </c>
      <c r="F92" s="1008">
        <v>375293.53</v>
      </c>
      <c r="G92" s="1008">
        <v>272979.89</v>
      </c>
    </row>
    <row r="93" spans="1:7" ht="24" customHeight="1">
      <c r="A93" s="333" t="s">
        <v>135</v>
      </c>
      <c r="B93" s="165">
        <v>273738.98</v>
      </c>
      <c r="C93" s="1008">
        <v>218240.83</v>
      </c>
      <c r="D93" s="1008">
        <v>278006.08</v>
      </c>
      <c r="E93" s="1008">
        <v>319019.11</v>
      </c>
      <c r="F93" s="1008">
        <v>442924.61</v>
      </c>
      <c r="G93" s="1008">
        <v>293617.58</v>
      </c>
    </row>
    <row r="94" spans="1:7">
      <c r="A94" s="90" t="s">
        <v>137</v>
      </c>
      <c r="B94" s="165">
        <v>1278803.43</v>
      </c>
      <c r="C94" s="1008">
        <v>1402357.87</v>
      </c>
      <c r="D94" s="1008">
        <v>1589540.57</v>
      </c>
      <c r="E94" s="1008">
        <v>2281469.62</v>
      </c>
      <c r="F94" s="1008">
        <v>2386505.7999999998</v>
      </c>
      <c r="G94" s="1008">
        <v>1776145.89</v>
      </c>
    </row>
    <row r="95" spans="1:7">
      <c r="A95" s="90" t="s">
        <v>139</v>
      </c>
      <c r="B95" s="165">
        <v>389767.91000000009</v>
      </c>
      <c r="C95" s="1008">
        <v>371161.79</v>
      </c>
      <c r="D95" s="1008">
        <v>439458.13999999996</v>
      </c>
      <c r="E95" s="1008">
        <v>491456.93</v>
      </c>
      <c r="F95" s="1008">
        <v>587659.72</v>
      </c>
      <c r="G95" s="1008">
        <v>526995.52</v>
      </c>
    </row>
    <row r="96" spans="1:7">
      <c r="A96" s="90" t="s">
        <v>141</v>
      </c>
      <c r="B96" s="165">
        <v>416032.10999999987</v>
      </c>
      <c r="C96" s="1008">
        <v>323211.2</v>
      </c>
      <c r="D96" s="1008">
        <v>412789.25999999989</v>
      </c>
      <c r="E96" s="1008">
        <v>541911.36</v>
      </c>
      <c r="F96" s="1008">
        <v>645800.04</v>
      </c>
      <c r="G96" s="1008">
        <v>489856.19</v>
      </c>
    </row>
    <row r="97" spans="1:7">
      <c r="A97" s="90" t="s">
        <v>143</v>
      </c>
      <c r="B97" s="165">
        <v>7300265.8299999991</v>
      </c>
      <c r="C97" s="1008">
        <v>6988282.0599999996</v>
      </c>
      <c r="D97" s="1008">
        <v>9502487.5299999993</v>
      </c>
      <c r="E97" s="1008">
        <v>14511881.59</v>
      </c>
      <c r="F97" s="1008">
        <v>13677307.140000001</v>
      </c>
      <c r="G97" s="1008">
        <v>9147765.9600000009</v>
      </c>
    </row>
    <row r="98" spans="1:7" ht="24" customHeight="1">
      <c r="A98" s="90" t="s">
        <v>145</v>
      </c>
      <c r="B98" s="165">
        <v>9275204.3100000005</v>
      </c>
      <c r="C98" s="1008">
        <v>9093558.5</v>
      </c>
      <c r="D98" s="1008">
        <v>12880841.900000004</v>
      </c>
      <c r="E98" s="1008">
        <v>19935747.370000001</v>
      </c>
      <c r="F98" s="1008">
        <v>16931728.18</v>
      </c>
      <c r="G98" s="1008">
        <v>10354416.24</v>
      </c>
    </row>
    <row r="99" spans="1:7">
      <c r="A99" s="90" t="s">
        <v>147</v>
      </c>
      <c r="B99" s="165">
        <v>220285.65999999997</v>
      </c>
      <c r="C99" s="1008">
        <v>240997.16</v>
      </c>
      <c r="D99" s="1008">
        <v>213988.37</v>
      </c>
      <c r="E99" s="1008">
        <v>258408.48</v>
      </c>
      <c r="F99" s="1008">
        <v>313146.25</v>
      </c>
      <c r="G99" s="1008">
        <v>267305.03999999998</v>
      </c>
    </row>
    <row r="100" spans="1:7">
      <c r="A100" s="90" t="s">
        <v>149</v>
      </c>
      <c r="B100" s="165">
        <v>157686.45000000001</v>
      </c>
      <c r="C100" s="1008">
        <v>169532.11</v>
      </c>
      <c r="D100" s="1008">
        <v>219052.22999999998</v>
      </c>
      <c r="E100" s="1008">
        <v>284327.19</v>
      </c>
      <c r="F100" s="1008">
        <v>394364</v>
      </c>
      <c r="G100" s="1008">
        <v>316624.52</v>
      </c>
    </row>
    <row r="101" spans="1:7">
      <c r="A101" s="90" t="s">
        <v>151</v>
      </c>
      <c r="B101" s="165">
        <v>529412.86999999988</v>
      </c>
      <c r="C101" s="1008">
        <v>551970.11</v>
      </c>
      <c r="D101" s="1008">
        <v>619201.65000000014</v>
      </c>
      <c r="E101" s="1008">
        <v>785964.35</v>
      </c>
      <c r="F101" s="1008">
        <v>779113.96</v>
      </c>
      <c r="G101" s="1008">
        <v>716029.78</v>
      </c>
    </row>
    <row r="102" spans="1:7">
      <c r="A102" s="90" t="s">
        <v>153</v>
      </c>
      <c r="B102" s="165">
        <v>1642991.7599999995</v>
      </c>
      <c r="C102" s="1008">
        <v>1584618.26</v>
      </c>
      <c r="D102" s="1008">
        <v>2053348.3400000003</v>
      </c>
      <c r="E102" s="1008">
        <v>3248221.89</v>
      </c>
      <c r="F102" s="1008">
        <v>3248965.47</v>
      </c>
      <c r="G102" s="1008">
        <v>2064113.36</v>
      </c>
    </row>
    <row r="103" spans="1:7" ht="24" customHeight="1">
      <c r="A103" s="90" t="s">
        <v>155</v>
      </c>
      <c r="B103" s="167">
        <v>1202234.8900000001</v>
      </c>
      <c r="C103" s="1007">
        <v>1231828.01</v>
      </c>
      <c r="D103" s="1007">
        <v>1529182.9100000001</v>
      </c>
      <c r="E103" s="1007">
        <v>1979827.95</v>
      </c>
      <c r="F103" s="1007">
        <v>2110386.25</v>
      </c>
      <c r="G103" s="1007">
        <v>1910859.45</v>
      </c>
    </row>
    <row r="104" spans="1:7">
      <c r="A104" s="90" t="s">
        <v>157</v>
      </c>
      <c r="B104" s="165">
        <v>687189.10000000033</v>
      </c>
      <c r="C104" s="1008">
        <v>748660.67</v>
      </c>
      <c r="D104" s="1008">
        <v>823366.21999999974</v>
      </c>
      <c r="E104" s="1008">
        <v>1470104.13</v>
      </c>
      <c r="F104" s="1008">
        <v>1436592.26</v>
      </c>
      <c r="G104" s="1008">
        <v>1139541.25</v>
      </c>
    </row>
    <row r="105" spans="1:7">
      <c r="A105" s="90" t="s">
        <v>159</v>
      </c>
      <c r="B105" s="165">
        <v>313486.45999999996</v>
      </c>
      <c r="C105" s="1008">
        <v>292391.27</v>
      </c>
      <c r="D105" s="1008">
        <v>446724.17999999993</v>
      </c>
      <c r="E105" s="1008">
        <v>418524.9</v>
      </c>
      <c r="F105" s="1008">
        <v>572201.34</v>
      </c>
      <c r="G105" s="1008">
        <v>471792.42</v>
      </c>
    </row>
    <row r="106" spans="1:7">
      <c r="A106" s="90" t="s">
        <v>161</v>
      </c>
      <c r="B106" s="165">
        <v>594264.69999999995</v>
      </c>
      <c r="C106" s="1008">
        <v>510930.62</v>
      </c>
      <c r="D106" s="1008">
        <v>789534.61</v>
      </c>
      <c r="E106" s="1008">
        <v>804919.76</v>
      </c>
      <c r="F106" s="1008">
        <v>1010772.84</v>
      </c>
      <c r="G106" s="1008">
        <v>943531.54</v>
      </c>
    </row>
    <row r="107" spans="1:7">
      <c r="A107" s="90" t="s">
        <v>163</v>
      </c>
      <c r="B107" s="165">
        <v>3912805.1600000006</v>
      </c>
      <c r="C107" s="1008">
        <v>3426230.59</v>
      </c>
      <c r="D107" s="1008">
        <v>4207435.660000002</v>
      </c>
      <c r="E107" s="1008">
        <v>6062372.7599999998</v>
      </c>
      <c r="F107" s="1008">
        <v>5661666.9199999999</v>
      </c>
      <c r="G107" s="1008">
        <v>3611717.36</v>
      </c>
    </row>
    <row r="108" spans="1:7" ht="10.75" customHeight="1">
      <c r="A108" s="337"/>
      <c r="B108" s="337"/>
      <c r="C108" s="337"/>
      <c r="D108" s="337"/>
      <c r="E108" s="332"/>
      <c r="F108" s="332"/>
      <c r="G108" s="332"/>
    </row>
    <row r="109" spans="1:7" ht="13">
      <c r="A109" s="338" t="s">
        <v>22</v>
      </c>
      <c r="B109" s="339">
        <f t="shared" ref="B109" si="2">SUM(B5:B34,B35:B68,B69:B102,B103:B107)</f>
        <v>317011492.09000015</v>
      </c>
      <c r="C109" s="339">
        <f>SUM(C5:C39,C44:C78,C83:C107)</f>
        <v>309985515.51999992</v>
      </c>
      <c r="D109" s="339">
        <f>SUM(D5:D39,D44:D78,D83:D107)</f>
        <v>394179563.19000024</v>
      </c>
      <c r="E109" s="339">
        <f>SUM(E5:E39,E44:E78,E83:E107)</f>
        <v>563241430.41999996</v>
      </c>
      <c r="F109" s="339">
        <f>SUM(F5:F39,F44:F78,F83:F107)</f>
        <v>526165162.75999999</v>
      </c>
      <c r="G109" s="339">
        <f>SUM(G5:G39,G44:G78,G83:G107)</f>
        <v>339180527.05999988</v>
      </c>
    </row>
    <row r="110" spans="1:7" ht="17.5" customHeight="1">
      <c r="A110" s="959" t="s">
        <v>590</v>
      </c>
      <c r="B110" s="959"/>
      <c r="C110" s="959"/>
      <c r="D110" s="959"/>
    </row>
    <row r="111" spans="1:7" ht="15.5" customHeight="1">
      <c r="A111" s="378" t="str">
        <f>A80</f>
        <v xml:space="preserve">Recordation Tax and Deeds of Conveyance Revenue Collections by Locality </v>
      </c>
      <c r="B111" s="378"/>
      <c r="C111" s="378"/>
      <c r="D111" s="378"/>
      <c r="F111" s="389"/>
      <c r="G111" s="389"/>
    </row>
    <row r="112" spans="1:7" ht="6" customHeight="1" thickBot="1">
      <c r="A112" s="335"/>
      <c r="B112" s="335"/>
      <c r="C112" s="335"/>
      <c r="D112" s="335"/>
    </row>
    <row r="113" spans="1:8" ht="26.5" customHeight="1" thickTop="1">
      <c r="A113" s="1489" t="s">
        <v>23</v>
      </c>
      <c r="B113" s="1162" t="str">
        <f t="shared" ref="B113:F113" si="3">B$4</f>
        <v>Fiscal Year 
2018</v>
      </c>
      <c r="C113" s="1162" t="str">
        <f t="shared" si="3"/>
        <v>Fiscal Year 
2019</v>
      </c>
      <c r="D113" s="1162" t="str">
        <f t="shared" si="3"/>
        <v>Fiscal Year 
2020</v>
      </c>
      <c r="E113" s="1162" t="str">
        <f t="shared" si="3"/>
        <v>Fiscal Year 
2021</v>
      </c>
      <c r="F113" s="1162" t="str">
        <f t="shared" si="3"/>
        <v>Fiscal Year 
2022</v>
      </c>
      <c r="G113" s="1162" t="str">
        <f>G$4</f>
        <v>Fiscal Year 2023</v>
      </c>
    </row>
    <row r="114" spans="1:8" ht="20" customHeight="1">
      <c r="A114" s="578" t="s">
        <v>168</v>
      </c>
      <c r="B114" s="333">
        <v>19189001.520000003</v>
      </c>
      <c r="C114" s="1007">
        <v>15829535.57</v>
      </c>
      <c r="D114" s="1007">
        <v>19647871.479999997</v>
      </c>
      <c r="E114" s="1007">
        <v>24486952.300000001</v>
      </c>
      <c r="F114" s="1007">
        <v>23162078.210000001</v>
      </c>
      <c r="G114" s="1007">
        <v>11623034.76</v>
      </c>
      <c r="H114" s="166"/>
    </row>
    <row r="115" spans="1:8" ht="12" customHeight="1">
      <c r="A115" s="579" t="s">
        <v>170</v>
      </c>
      <c r="B115" s="90">
        <v>671445.66000000015</v>
      </c>
      <c r="C115" s="1008">
        <v>436365.84</v>
      </c>
      <c r="D115" s="1008">
        <v>402796.44000000006</v>
      </c>
      <c r="E115" s="1008">
        <v>537783</v>
      </c>
      <c r="F115" s="1008">
        <v>957747.95</v>
      </c>
      <c r="G115" s="1008">
        <v>653498.36</v>
      </c>
    </row>
    <row r="116" spans="1:8" ht="12" customHeight="1">
      <c r="A116" s="579" t="s">
        <v>172</v>
      </c>
      <c r="B116" s="90">
        <v>86014.900000000009</v>
      </c>
      <c r="C116" s="1008">
        <v>103927</v>
      </c>
      <c r="D116" s="1008">
        <v>99939.260000000009</v>
      </c>
      <c r="E116" s="1008">
        <v>196730.71</v>
      </c>
      <c r="F116" s="1008">
        <v>188967.9</v>
      </c>
      <c r="G116" s="1008">
        <v>122883.39</v>
      </c>
    </row>
    <row r="117" spans="1:8" ht="12" customHeight="1">
      <c r="A117" s="579" t="s">
        <v>174</v>
      </c>
      <c r="B117" s="90">
        <v>2044431.6400000008</v>
      </c>
      <c r="C117" s="1008">
        <v>2448300.54</v>
      </c>
      <c r="D117" s="1008">
        <v>2810244.3499999992</v>
      </c>
      <c r="E117" s="1008">
        <v>2912301.01</v>
      </c>
      <c r="F117" s="1008">
        <v>3662574.31</v>
      </c>
      <c r="G117" s="1008">
        <v>2346414.0099999998</v>
      </c>
    </row>
    <row r="118" spans="1:8" ht="20" customHeight="1">
      <c r="A118" s="579" t="s">
        <v>119</v>
      </c>
      <c r="B118" s="90">
        <v>11431326.029999994</v>
      </c>
      <c r="C118" s="1008">
        <v>11711127.99</v>
      </c>
      <c r="D118" s="1008">
        <v>14401491.530000003</v>
      </c>
      <c r="E118" s="1008">
        <v>21603249.43</v>
      </c>
      <c r="F118" s="1008">
        <v>20379848.98</v>
      </c>
      <c r="G118" s="1008">
        <v>13730503.27</v>
      </c>
    </row>
    <row r="119" spans="1:8" ht="12" customHeight="1">
      <c r="A119" s="579" t="s">
        <v>121</v>
      </c>
      <c r="B119" s="90">
        <v>542972.94999999984</v>
      </c>
      <c r="C119" s="1008">
        <v>504463.35999999999</v>
      </c>
      <c r="D119" s="1008">
        <v>577847.50999999989</v>
      </c>
      <c r="E119" s="1008">
        <v>826821.67</v>
      </c>
      <c r="F119" s="1008">
        <v>1113415.6599999999</v>
      </c>
      <c r="G119" s="1008">
        <v>742587.73</v>
      </c>
      <c r="H119" s="166"/>
    </row>
    <row r="120" spans="1:8" ht="12" customHeight="1">
      <c r="A120" s="579" t="s">
        <v>412</v>
      </c>
      <c r="B120" s="90">
        <v>76409.13</v>
      </c>
      <c r="C120" s="1008">
        <v>88998.17</v>
      </c>
      <c r="D120" s="1008">
        <v>52182.38</v>
      </c>
      <c r="E120" s="1008">
        <v>53116.639999999999</v>
      </c>
      <c r="F120" s="1008">
        <v>109577.24</v>
      </c>
      <c r="G120" s="1008">
        <v>73147.37</v>
      </c>
      <c r="H120" s="166"/>
    </row>
    <row r="121" spans="1:8" ht="12" customHeight="1">
      <c r="A121" s="579" t="s">
        <v>125</v>
      </c>
      <c r="B121" s="90">
        <v>673805.5</v>
      </c>
      <c r="C121" s="1008">
        <v>510855.9</v>
      </c>
      <c r="D121" s="1008">
        <v>876366.90999999992</v>
      </c>
      <c r="E121" s="1008">
        <v>1418132.05</v>
      </c>
      <c r="F121" s="1008">
        <v>1265371.1399999999</v>
      </c>
      <c r="G121" s="1008">
        <v>1172279.02</v>
      </c>
    </row>
    <row r="122" spans="1:8" ht="12" customHeight="1">
      <c r="A122" s="579" t="s">
        <v>418</v>
      </c>
      <c r="B122" s="90">
        <v>59787.79</v>
      </c>
      <c r="C122" s="1008">
        <v>159810.54</v>
      </c>
      <c r="D122" s="1008">
        <v>155399.96000000002</v>
      </c>
      <c r="E122" s="1008">
        <v>83820.53</v>
      </c>
      <c r="F122" s="1009">
        <v>124845.06</v>
      </c>
      <c r="G122" s="1009">
        <v>63507.56</v>
      </c>
      <c r="H122" s="166"/>
    </row>
    <row r="123" spans="1:8" ht="20" customHeight="1">
      <c r="A123" s="579" t="s">
        <v>413</v>
      </c>
      <c r="B123" s="90">
        <v>1544945.29</v>
      </c>
      <c r="C123" s="1008">
        <v>1652558.97</v>
      </c>
      <c r="D123" s="1008">
        <v>1761827.9100000001</v>
      </c>
      <c r="E123" s="1008">
        <v>3270225.01</v>
      </c>
      <c r="F123" s="1008">
        <v>2892330.48</v>
      </c>
      <c r="G123" s="1008">
        <v>2612342.62</v>
      </c>
      <c r="H123" s="166"/>
    </row>
    <row r="124" spans="1:8" ht="12" customHeight="1">
      <c r="A124" s="579" t="s">
        <v>423</v>
      </c>
      <c r="B124" s="90">
        <v>1342992</v>
      </c>
      <c r="C124" s="1008">
        <v>1369851.41</v>
      </c>
      <c r="D124" s="1008">
        <v>1304917.4099999999</v>
      </c>
      <c r="E124" s="1008">
        <v>2180925.83</v>
      </c>
      <c r="F124" s="1008">
        <v>1953884.13</v>
      </c>
      <c r="G124" s="1008">
        <v>1217693.02</v>
      </c>
    </row>
    <row r="125" spans="1:8" ht="12" customHeight="1">
      <c r="A125" s="579" t="s">
        <v>424</v>
      </c>
      <c r="B125" s="90">
        <v>142075.51</v>
      </c>
      <c r="C125" s="1008">
        <v>158255.09</v>
      </c>
      <c r="D125" s="1008">
        <v>243652.99</v>
      </c>
      <c r="E125" s="1008">
        <v>241542.23</v>
      </c>
      <c r="F125" s="1008">
        <v>315630.93</v>
      </c>
      <c r="G125" s="1008">
        <v>341286.64</v>
      </c>
    </row>
    <row r="126" spans="1:8" ht="12" customHeight="1">
      <c r="A126" s="579" t="s">
        <v>132</v>
      </c>
      <c r="B126" s="90">
        <v>1230423.9700000002</v>
      </c>
      <c r="C126" s="1008">
        <v>1696546.03</v>
      </c>
      <c r="D126" s="1008">
        <v>1626979.4599999997</v>
      </c>
      <c r="E126" s="1008">
        <v>2786419.69</v>
      </c>
      <c r="F126" s="1008">
        <v>2986181.56</v>
      </c>
      <c r="G126" s="1008">
        <v>1723722.36</v>
      </c>
    </row>
    <row r="127" spans="1:8" ht="12" customHeight="1">
      <c r="A127" s="579" t="s">
        <v>431</v>
      </c>
      <c r="B127" s="90">
        <v>88562.189999999988</v>
      </c>
      <c r="C127" s="1008">
        <v>99133.22</v>
      </c>
      <c r="D127" s="1008">
        <v>111115.28</v>
      </c>
      <c r="E127" s="1008">
        <v>151962.9</v>
      </c>
      <c r="F127" s="1008">
        <v>219606.13</v>
      </c>
      <c r="G127" s="1008">
        <v>110086.98</v>
      </c>
      <c r="H127" s="166"/>
    </row>
    <row r="128" spans="1:8" ht="20" customHeight="1">
      <c r="A128" s="579" t="s">
        <v>136</v>
      </c>
      <c r="B128" s="90">
        <v>3898628.370000002</v>
      </c>
      <c r="C128" s="1008">
        <v>4137072.97</v>
      </c>
      <c r="D128" s="1008">
        <v>4541384.6399999997</v>
      </c>
      <c r="E128" s="1008">
        <v>7433561.79</v>
      </c>
      <c r="F128" s="1008">
        <v>8715383.8699999992</v>
      </c>
      <c r="G128" s="1008">
        <v>6084170.71</v>
      </c>
    </row>
    <row r="129" spans="1:8" ht="12" customHeight="1">
      <c r="A129" s="579" t="s">
        <v>435</v>
      </c>
      <c r="B129" s="90">
        <v>1208332.93</v>
      </c>
      <c r="C129" s="1008">
        <v>1442392.46</v>
      </c>
      <c r="D129" s="1008">
        <v>1355427.92</v>
      </c>
      <c r="E129" s="1008">
        <v>1565376.98</v>
      </c>
      <c r="F129" s="1008">
        <v>2184193.65</v>
      </c>
      <c r="G129" s="1008">
        <v>1899175.79</v>
      </c>
    </row>
    <row r="130" spans="1:8" ht="12" customHeight="1">
      <c r="A130" s="579" t="s">
        <v>140</v>
      </c>
      <c r="B130" s="90">
        <v>491436.28</v>
      </c>
      <c r="C130" s="1008">
        <v>630403.68000000005</v>
      </c>
      <c r="D130" s="1008">
        <v>509234.80000000005</v>
      </c>
      <c r="E130" s="1008">
        <v>765449.01</v>
      </c>
      <c r="F130" s="1008">
        <v>844344.73</v>
      </c>
      <c r="G130" s="1008">
        <v>923422.22</v>
      </c>
    </row>
    <row r="131" spans="1:8" ht="12" customHeight="1">
      <c r="A131" s="579" t="s">
        <v>441</v>
      </c>
      <c r="B131" s="90">
        <v>147325.86000000002</v>
      </c>
      <c r="C131" s="1008">
        <v>132509.29</v>
      </c>
      <c r="D131" s="1008">
        <v>211225.4</v>
      </c>
      <c r="E131" s="1008">
        <v>264106.92</v>
      </c>
      <c r="F131" s="1008">
        <v>354845.96</v>
      </c>
      <c r="G131" s="1008">
        <v>185356.06</v>
      </c>
    </row>
    <row r="132" spans="1:8" ht="12" customHeight="1">
      <c r="A132" s="578" t="s">
        <v>144</v>
      </c>
      <c r="B132" s="90">
        <v>2192495.17</v>
      </c>
      <c r="C132" s="1008">
        <v>2123538.7200000002</v>
      </c>
      <c r="D132" s="1008">
        <v>2428911.4400000013</v>
      </c>
      <c r="E132" s="1008">
        <v>3357043.08</v>
      </c>
      <c r="F132" s="1008">
        <v>3943640.4</v>
      </c>
      <c r="G132" s="1008">
        <v>3311558.15</v>
      </c>
    </row>
    <row r="133" spans="1:8" ht="20" customHeight="1">
      <c r="A133" s="579" t="s">
        <v>320</v>
      </c>
      <c r="B133" s="167">
        <v>2688583.11</v>
      </c>
      <c r="C133" s="1007">
        <v>2586803.04</v>
      </c>
      <c r="D133" s="1007">
        <v>2758790.26</v>
      </c>
      <c r="E133" s="1007">
        <v>2147458.87</v>
      </c>
      <c r="F133" s="1007">
        <v>2644967.39</v>
      </c>
      <c r="G133" s="1007">
        <v>2487237.6</v>
      </c>
      <c r="H133" s="168"/>
    </row>
    <row r="134" spans="1:8" ht="12" customHeight="1">
      <c r="A134" s="579" t="s">
        <v>324</v>
      </c>
      <c r="B134" s="165">
        <v>1102933.04</v>
      </c>
      <c r="C134" s="1008">
        <v>764771.03</v>
      </c>
      <c r="D134" s="1008">
        <v>894547.54999999993</v>
      </c>
      <c r="E134" s="1008">
        <v>876560.21</v>
      </c>
      <c r="F134" s="1008">
        <v>1397666.44</v>
      </c>
      <c r="G134" s="1008">
        <v>954019.22</v>
      </c>
    </row>
    <row r="135" spans="1:8" ht="12" customHeight="1">
      <c r="A135" s="579" t="s">
        <v>150</v>
      </c>
      <c r="B135" s="165">
        <v>126146.64000000001</v>
      </c>
      <c r="C135" s="1008">
        <v>171912.79</v>
      </c>
      <c r="D135" s="1008">
        <v>353097.32</v>
      </c>
      <c r="E135" s="1008">
        <v>399930.35</v>
      </c>
      <c r="F135" s="1008">
        <v>343631.08</v>
      </c>
      <c r="G135" s="1008">
        <v>294914.28000000003</v>
      </c>
      <c r="H135" s="169"/>
    </row>
    <row r="136" spans="1:8" ht="12" customHeight="1">
      <c r="A136" s="579" t="s">
        <v>152</v>
      </c>
      <c r="B136" s="165">
        <v>4697436.2300000014</v>
      </c>
      <c r="C136" s="1008">
        <v>4623860.3499999996</v>
      </c>
      <c r="D136" s="1008">
        <v>6204195.7899999991</v>
      </c>
      <c r="E136" s="1008">
        <v>8174002.79</v>
      </c>
      <c r="F136" s="1008">
        <v>9714162.6999999993</v>
      </c>
      <c r="G136" s="1008">
        <v>6873758.1799999997</v>
      </c>
    </row>
    <row r="137" spans="1:8" ht="12" customHeight="1">
      <c r="A137" s="579" t="s">
        <v>154</v>
      </c>
      <c r="B137" s="165">
        <v>8101583.7900000028</v>
      </c>
      <c r="C137" s="1008">
        <v>8958525.0299999993</v>
      </c>
      <c r="D137" s="1008">
        <v>10219944.739999998</v>
      </c>
      <c r="E137" s="1008">
        <v>12853020.970000001</v>
      </c>
      <c r="F137" s="1008">
        <v>16027711.1</v>
      </c>
      <c r="G137" s="1008">
        <v>9514522.0999999996</v>
      </c>
    </row>
    <row r="138" spans="1:8" ht="20" customHeight="1">
      <c r="A138" s="579" t="s">
        <v>340</v>
      </c>
      <c r="B138" s="165">
        <v>47697.149999999994</v>
      </c>
      <c r="C138" s="1008">
        <v>33539.14</v>
      </c>
      <c r="D138" s="1008">
        <v>34126.039999999994</v>
      </c>
      <c r="E138" s="1008">
        <v>76756.63</v>
      </c>
      <c r="F138" s="1008">
        <v>59418.39</v>
      </c>
      <c r="G138" s="1008">
        <v>156541.54999999999</v>
      </c>
      <c r="H138" s="166"/>
    </row>
    <row r="139" spans="1:8" ht="12" customHeight="1">
      <c r="A139" s="579" t="s">
        <v>158</v>
      </c>
      <c r="B139" s="165">
        <v>724052.32999999973</v>
      </c>
      <c r="C139" s="1008">
        <v>689506.03</v>
      </c>
      <c r="D139" s="1008">
        <v>994761.70999999973</v>
      </c>
      <c r="E139" s="1008">
        <v>1014291.33</v>
      </c>
      <c r="F139" s="1008">
        <v>1773222.3</v>
      </c>
      <c r="G139" s="1008">
        <v>1364195.72</v>
      </c>
    </row>
    <row r="140" spans="1:8" ht="12" customHeight="1">
      <c r="A140" s="579" t="s">
        <v>348</v>
      </c>
      <c r="B140" s="165">
        <v>517639.78999999992</v>
      </c>
      <c r="C140" s="1008">
        <v>481022.93</v>
      </c>
      <c r="D140" s="1008">
        <v>656793.40999999992</v>
      </c>
      <c r="E140" s="1008">
        <v>1173413.32</v>
      </c>
      <c r="F140" s="1008">
        <v>978126.41</v>
      </c>
      <c r="G140" s="1008">
        <v>668170.31999999995</v>
      </c>
    </row>
    <row r="141" spans="1:8" ht="12" customHeight="1">
      <c r="A141" s="579" t="s">
        <v>162</v>
      </c>
      <c r="B141" s="165">
        <v>2768361.3500000006</v>
      </c>
      <c r="C141" s="1008">
        <v>2715464.43</v>
      </c>
      <c r="D141" s="1008">
        <v>3434800.6300000004</v>
      </c>
      <c r="E141" s="1008">
        <v>4940637.78</v>
      </c>
      <c r="F141" s="1008">
        <v>6108286.46</v>
      </c>
      <c r="G141" s="1008">
        <v>3953453.79</v>
      </c>
    </row>
    <row r="142" spans="1:8" ht="12" customHeight="1">
      <c r="A142" s="579" t="s">
        <v>164</v>
      </c>
      <c r="B142" s="165">
        <v>393001.90000000008</v>
      </c>
      <c r="C142" s="1008">
        <v>208553.1</v>
      </c>
      <c r="D142" s="1008">
        <v>508418.05000000016</v>
      </c>
      <c r="E142" s="1008">
        <v>576192.88</v>
      </c>
      <c r="F142" s="1008">
        <v>433478.25</v>
      </c>
      <c r="G142" s="1008">
        <v>325224.06</v>
      </c>
    </row>
    <row r="143" spans="1:8" ht="20" customHeight="1">
      <c r="A143" s="579" t="s">
        <v>128</v>
      </c>
      <c r="B143" s="165">
        <v>10745574.750000004</v>
      </c>
      <c r="C143" s="1008">
        <v>11089877.02</v>
      </c>
      <c r="D143" s="1008">
        <v>13287241.229999999</v>
      </c>
      <c r="E143" s="1008">
        <v>16775543.460000001</v>
      </c>
      <c r="F143" s="1008">
        <v>17729445.77</v>
      </c>
      <c r="G143" s="1008">
        <v>13917299.619999999</v>
      </c>
    </row>
    <row r="144" spans="1:8" ht="12" customHeight="1">
      <c r="A144" s="579" t="s">
        <v>25</v>
      </c>
      <c r="B144" s="165">
        <v>2728056.2100000004</v>
      </c>
      <c r="C144" s="1008">
        <v>2734246.68</v>
      </c>
      <c r="D144" s="1008">
        <v>3350488.7399999993</v>
      </c>
      <c r="E144" s="1008">
        <v>3969025.86</v>
      </c>
      <c r="F144" s="1008">
        <v>4679861.6100000003</v>
      </c>
      <c r="G144" s="1008">
        <v>3983334.23</v>
      </c>
    </row>
    <row r="145" spans="1:7" ht="12" customHeight="1">
      <c r="A145" s="579" t="s">
        <v>165</v>
      </c>
      <c r="B145" s="165">
        <v>877400.71000000008</v>
      </c>
      <c r="C145" s="1008">
        <v>714536.46</v>
      </c>
      <c r="D145" s="1008">
        <v>807080.85</v>
      </c>
      <c r="E145" s="1008">
        <v>1205161.92</v>
      </c>
      <c r="F145" s="1008">
        <v>1524768.67</v>
      </c>
      <c r="G145" s="1008">
        <v>971539.39</v>
      </c>
    </row>
    <row r="146" spans="1:7" ht="12" customHeight="1">
      <c r="A146" s="579" t="s">
        <v>166</v>
      </c>
      <c r="B146" s="165">
        <v>789628.69999999984</v>
      </c>
      <c r="C146" s="1008">
        <v>753257.27</v>
      </c>
      <c r="D146" s="1008">
        <v>787650.24</v>
      </c>
      <c r="E146" s="1008">
        <v>1078578.3500000001</v>
      </c>
      <c r="F146" s="1008">
        <v>1527006.73</v>
      </c>
      <c r="G146" s="1008">
        <v>1205168.55</v>
      </c>
    </row>
    <row r="147" spans="1:7" ht="12" customHeight="1">
      <c r="A147" s="579" t="s">
        <v>167</v>
      </c>
      <c r="B147" s="165">
        <v>4846509.4899999993</v>
      </c>
      <c r="C147" s="1008">
        <v>4677408.2300000004</v>
      </c>
      <c r="D147" s="1008">
        <v>6133052.1700000018</v>
      </c>
      <c r="E147" s="1008">
        <v>9032188.6099999994</v>
      </c>
      <c r="F147" s="1008">
        <v>9571458.4900000002</v>
      </c>
      <c r="G147" s="1008">
        <v>7383550.2300000004</v>
      </c>
    </row>
    <row r="148" spans="1:7" ht="20" customHeight="1">
      <c r="A148" s="579" t="s">
        <v>592</v>
      </c>
      <c r="B148" s="165">
        <v>20224602.759999998</v>
      </c>
      <c r="C148" s="1008">
        <v>20763271</v>
      </c>
      <c r="D148" s="1008">
        <v>26215390.72000001</v>
      </c>
      <c r="E148" s="1008">
        <v>35842657.399999999</v>
      </c>
      <c r="F148" s="1008">
        <v>35431250.700000003</v>
      </c>
      <c r="G148" s="1008">
        <v>22834084.199999999</v>
      </c>
    </row>
    <row r="149" spans="1:7" ht="12" customHeight="1">
      <c r="A149" s="90" t="s">
        <v>169</v>
      </c>
      <c r="B149" s="165">
        <v>633189.14</v>
      </c>
      <c r="C149" s="1008">
        <v>619963.27</v>
      </c>
      <c r="D149" s="1008">
        <v>881698.49999999988</v>
      </c>
      <c r="E149" s="1008">
        <v>983061.16</v>
      </c>
      <c r="F149" s="1008">
        <v>1258878.74</v>
      </c>
      <c r="G149" s="1008">
        <v>1018619.07</v>
      </c>
    </row>
    <row r="150" spans="1:7" ht="12" customHeight="1">
      <c r="A150" s="90" t="s">
        <v>384</v>
      </c>
      <c r="B150" s="165">
        <v>1118442.399999999</v>
      </c>
      <c r="C150" s="1008">
        <v>583808.59</v>
      </c>
      <c r="D150" s="1008">
        <v>857764.64000000013</v>
      </c>
      <c r="E150" s="1008">
        <v>751302.76</v>
      </c>
      <c r="F150" s="1008">
        <v>1192043.54</v>
      </c>
      <c r="G150" s="1008">
        <v>1127401.6599999999</v>
      </c>
    </row>
    <row r="151" spans="1:7" ht="12" customHeight="1">
      <c r="A151" s="90" t="s">
        <v>173</v>
      </c>
      <c r="B151" s="165">
        <v>990755.91</v>
      </c>
      <c r="C151" s="1008">
        <v>1054096.8500000001</v>
      </c>
      <c r="D151" s="1008">
        <v>1168017.3999999997</v>
      </c>
      <c r="E151" s="1008">
        <v>1462397.79</v>
      </c>
      <c r="F151" s="1008">
        <v>1846951.45</v>
      </c>
      <c r="G151" s="1008">
        <v>1500102.63</v>
      </c>
    </row>
    <row r="152" spans="1:7" ht="5" customHeight="1">
      <c r="A152" s="337"/>
      <c r="B152" s="337"/>
      <c r="E152" s="332"/>
      <c r="F152" s="332"/>
      <c r="G152" s="332"/>
    </row>
    <row r="153" spans="1:7" ht="13">
      <c r="A153" s="338" t="s">
        <v>27</v>
      </c>
      <c r="B153" s="339">
        <f t="shared" ref="B153" si="4">SUM(B114:B132,B133:B151)</f>
        <v>111184008.08999999</v>
      </c>
      <c r="C153" s="339">
        <f>SUM(C114:C151)</f>
        <v>109460069.98999999</v>
      </c>
      <c r="D153" s="339">
        <f t="shared" ref="D153:G153" si="5">SUM(D114:D151)</f>
        <v>132666677.06</v>
      </c>
      <c r="E153" s="339">
        <f t="shared" si="5"/>
        <v>177467703.21999994</v>
      </c>
      <c r="F153" s="339">
        <f t="shared" si="5"/>
        <v>189616804.50999996</v>
      </c>
      <c r="G153" s="339">
        <f t="shared" si="5"/>
        <v>129469806.41999999</v>
      </c>
    </row>
    <row r="154" spans="1:7" ht="13">
      <c r="A154" s="338" t="s">
        <v>22</v>
      </c>
      <c r="B154" s="339">
        <f t="shared" ref="B154" si="6">SUM(B5:B34,B35:B68,B69:B102,B103:B107)</f>
        <v>317011492.09000015</v>
      </c>
      <c r="C154" s="339">
        <f>C109</f>
        <v>309985515.51999992</v>
      </c>
      <c r="D154" s="339">
        <f t="shared" ref="D154:G154" si="7">D109</f>
        <v>394179563.19000024</v>
      </c>
      <c r="E154" s="339">
        <f t="shared" si="7"/>
        <v>563241430.41999996</v>
      </c>
      <c r="F154" s="339">
        <f t="shared" si="7"/>
        <v>526165162.75999999</v>
      </c>
      <c r="G154" s="339">
        <f t="shared" si="7"/>
        <v>339180527.05999988</v>
      </c>
    </row>
    <row r="155" spans="1:7" ht="5" customHeight="1">
      <c r="B155" s="340"/>
      <c r="C155" s="341"/>
      <c r="D155" s="341"/>
      <c r="E155" s="342"/>
      <c r="F155" s="342"/>
      <c r="G155" s="342"/>
    </row>
    <row r="156" spans="1:7" ht="13">
      <c r="A156" s="338" t="s">
        <v>28</v>
      </c>
      <c r="B156" s="339">
        <f t="shared" ref="B156:G156" si="8">SUM(B153:B154)</f>
        <v>428195500.18000013</v>
      </c>
      <c r="C156" s="339">
        <f t="shared" si="8"/>
        <v>419445585.50999993</v>
      </c>
      <c r="D156" s="339">
        <f t="shared" si="8"/>
        <v>526846240.25000024</v>
      </c>
      <c r="E156" s="339">
        <f t="shared" si="8"/>
        <v>740709133.63999987</v>
      </c>
      <c r="F156" s="339">
        <f t="shared" si="8"/>
        <v>715781967.26999998</v>
      </c>
      <c r="G156" s="339">
        <f t="shared" si="8"/>
        <v>468650333.4799999</v>
      </c>
    </row>
    <row r="157" spans="1:7" s="574" customFormat="1" ht="5" customHeight="1">
      <c r="A157" s="572"/>
      <c r="B157" s="573"/>
      <c r="C157" s="573"/>
      <c r="D157" s="573"/>
      <c r="F157" s="575"/>
      <c r="G157" s="575"/>
    </row>
    <row r="158" spans="1:7" s="1302" customFormat="1" ht="10" hidden="1" customHeight="1">
      <c r="A158" s="1301" t="s">
        <v>1</v>
      </c>
      <c r="F158" s="1303"/>
      <c r="G158" s="1303"/>
    </row>
    <row r="159" spans="1:7" s="1302" customFormat="1" ht="10" hidden="1" customHeight="1">
      <c r="A159" s="1304"/>
      <c r="F159" s="1303"/>
      <c r="G159" s="1303"/>
    </row>
    <row r="160" spans="1:7" s="1161" customFormat="1" ht="10" customHeight="1">
      <c r="A160" s="1145" t="s">
        <v>955</v>
      </c>
      <c r="B160" s="1159"/>
      <c r="C160" s="1159"/>
      <c r="D160" s="1159"/>
      <c r="E160" s="1160"/>
    </row>
    <row r="171" spans="1:7" s="1383" customFormat="1" ht="11.5">
      <c r="F171" s="1374"/>
      <c r="G171" s="1374"/>
    </row>
    <row r="172" spans="1:7" s="1383" customFormat="1" ht="10" customHeight="1">
      <c r="A172" s="1373"/>
      <c r="F172" s="1374"/>
      <c r="G172" s="1374"/>
    </row>
  </sheetData>
  <customSheetViews>
    <customSheetView guid="{E6BBE5A7-0B25-4EE8-BA45-5EA5DBAF3AD4}" showPageBreaks="1" printArea="1">
      <rowBreaks count="4" manualBreakCount="4">
        <brk id="41" max="16383" man="1"/>
        <brk id="82" max="16383" man="1"/>
        <brk id="123" max="16383" man="1"/>
        <brk id="163" max="16383" man="1"/>
      </rowBreaks>
      <pageMargins left="0.5" right="0.5" top="0.5" bottom="0.75" header="0.5" footer="0.5"/>
      <printOptions horizontalCentered="1"/>
      <pageSetup scale="87" orientation="landscape" r:id="rId1"/>
      <headerFooter alignWithMargins="0"/>
    </customSheetView>
  </customSheetViews>
  <mergeCells count="2">
    <mergeCell ref="A40:D40"/>
    <mergeCell ref="A79:D79"/>
  </mergeCells>
  <hyperlinks>
    <hyperlink ref="H1" location="TOC!A1" display="Back" xr:uid="{00000000-0004-0000-1900-000000000000}"/>
  </hyperlinks>
  <pageMargins left="0.75" right="0.25" top="0.3" bottom="0.2" header="0.25" footer="0.2"/>
  <pageSetup scale="87" orientation="landscape" r:id="rId2"/>
  <headerFooter scaleWithDoc="0">
    <oddHeader>&amp;R&amp;P</oddHeader>
  </headerFooter>
  <rowBreaks count="3" manualBreakCount="3">
    <brk id="39" max="16383" man="1"/>
    <brk id="78" max="16383" man="1"/>
    <brk id="109"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S107"/>
  <sheetViews>
    <sheetView zoomScaleNormal="100" zoomScaleSheetLayoutView="80" workbookViewId="0"/>
  </sheetViews>
  <sheetFormatPr defaultColWidth="9.1796875" defaultRowHeight="12.5"/>
  <cols>
    <col min="1" max="1" width="18.81640625" style="170" customWidth="1"/>
    <col min="2" max="2" width="18.81640625" style="170" hidden="1" customWidth="1"/>
    <col min="3" max="3" width="12.7265625" style="170" bestFit="1" customWidth="1"/>
    <col min="4" max="4" width="8.7265625" style="170" customWidth="1"/>
    <col min="5" max="5" width="18.7265625" style="170" customWidth="1"/>
    <col min="6" max="6" width="18.7265625" style="170" hidden="1" customWidth="1"/>
    <col min="7" max="7" width="13" style="170" bestFit="1" customWidth="1"/>
    <col min="8" max="8" width="8.7265625" style="170" customWidth="1"/>
    <col min="9" max="9" width="18.7265625" style="170" customWidth="1"/>
    <col min="10" max="10" width="18.7265625" style="170" hidden="1" customWidth="1"/>
    <col min="11" max="11" width="13" style="170" bestFit="1" customWidth="1"/>
    <col min="12" max="12" width="8.7265625" style="170" customWidth="1"/>
    <col min="13" max="13" width="18.7265625" style="170" customWidth="1"/>
    <col min="14" max="14" width="18.7265625" style="170" hidden="1" customWidth="1"/>
    <col min="15" max="15" width="13" style="170" bestFit="1" customWidth="1"/>
    <col min="16" max="16" width="2.453125" style="170" customWidth="1"/>
    <col min="17" max="17" width="2.7265625" style="170" customWidth="1"/>
    <col min="18" max="18" width="10.54296875" style="170" customWidth="1"/>
    <col min="19" max="16384" width="9.1796875" style="170"/>
  </cols>
  <sheetData>
    <row r="1" spans="1:18" ht="18">
      <c r="A1" s="305" t="s">
        <v>315</v>
      </c>
      <c r="B1" s="305"/>
      <c r="C1" s="306"/>
      <c r="R1" s="855" t="s">
        <v>984</v>
      </c>
    </row>
    <row r="2" spans="1:18" ht="15.5">
      <c r="A2" s="307" t="s">
        <v>1311</v>
      </c>
      <c r="B2" s="307"/>
      <c r="C2" s="306"/>
    </row>
    <row r="3" spans="1:18" ht="9" customHeight="1" thickBot="1">
      <c r="A3" s="308"/>
      <c r="B3" s="308"/>
      <c r="C3" s="306"/>
    </row>
    <row r="4" spans="1:18" ht="13" customHeight="1">
      <c r="A4" s="949" t="s">
        <v>21</v>
      </c>
      <c r="B4" s="950" t="s">
        <v>938</v>
      </c>
      <c r="C4" s="951" t="s">
        <v>316</v>
      </c>
      <c r="D4" s="948"/>
      <c r="E4" s="949" t="s">
        <v>21</v>
      </c>
      <c r="F4" s="950" t="s">
        <v>938</v>
      </c>
      <c r="G4" s="951" t="s">
        <v>316</v>
      </c>
      <c r="H4" s="948"/>
      <c r="I4" s="949" t="s">
        <v>23</v>
      </c>
      <c r="J4" s="950" t="s">
        <v>938</v>
      </c>
      <c r="K4" s="951" t="s">
        <v>316</v>
      </c>
    </row>
    <row r="5" spans="1:18" ht="20.149999999999999" customHeight="1">
      <c r="A5" s="170" t="s">
        <v>317</v>
      </c>
      <c r="C5" s="309">
        <v>717620.55</v>
      </c>
      <c r="D5" s="171"/>
      <c r="E5" s="170" t="s">
        <v>358</v>
      </c>
      <c r="G5" s="171">
        <v>231186.97</v>
      </c>
      <c r="H5" s="171"/>
      <c r="I5" s="170" t="s">
        <v>392</v>
      </c>
      <c r="K5" s="309">
        <v>7543727.9800000004</v>
      </c>
      <c r="L5" s="171"/>
      <c r="P5" s="171"/>
      <c r="Q5" s="310"/>
    </row>
    <row r="6" spans="1:18" ht="12.65" customHeight="1">
      <c r="A6" s="170" t="s">
        <v>321</v>
      </c>
      <c r="C6" s="171">
        <v>3232557.76</v>
      </c>
      <c r="D6" s="171"/>
      <c r="E6" s="170" t="s">
        <v>362</v>
      </c>
      <c r="G6" s="171">
        <v>294643.20000000001</v>
      </c>
      <c r="H6" s="171"/>
      <c r="I6" s="170" t="s">
        <v>397</v>
      </c>
      <c r="K6" s="171">
        <v>423162.23</v>
      </c>
      <c r="L6" s="171"/>
      <c r="P6" s="171"/>
      <c r="Q6" s="310"/>
    </row>
    <row r="7" spans="1:18" ht="12.65" customHeight="1">
      <c r="A7" s="170" t="s">
        <v>325</v>
      </c>
      <c r="C7" s="171">
        <v>289064.02</v>
      </c>
      <c r="D7" s="171"/>
      <c r="E7" s="170" t="s">
        <v>366</v>
      </c>
      <c r="G7" s="171">
        <v>8118161.4400000004</v>
      </c>
      <c r="H7" s="171"/>
      <c r="I7" s="170" t="s">
        <v>400</v>
      </c>
      <c r="K7" s="171">
        <v>220006.96</v>
      </c>
      <c r="L7" s="171"/>
      <c r="P7" s="171"/>
      <c r="Q7" s="310"/>
    </row>
    <row r="8" spans="1:18" ht="12.65" customHeight="1">
      <c r="A8" s="170" t="s">
        <v>329</v>
      </c>
      <c r="C8" s="171">
        <v>177232.28</v>
      </c>
      <c r="D8" s="171"/>
      <c r="E8" s="170" t="s">
        <v>370</v>
      </c>
      <c r="G8" s="171">
        <v>242632.7</v>
      </c>
      <c r="H8" s="171"/>
      <c r="I8" s="170" t="s">
        <v>403</v>
      </c>
      <c r="K8" s="171">
        <v>2235064.21</v>
      </c>
      <c r="L8" s="171"/>
      <c r="P8" s="171"/>
      <c r="Q8" s="310"/>
    </row>
    <row r="9" spans="1:18" ht="12.65" customHeight="1">
      <c r="A9" s="170" t="s">
        <v>333</v>
      </c>
      <c r="C9" s="171">
        <v>883482.94</v>
      </c>
      <c r="D9" s="171"/>
      <c r="E9" s="170" t="s">
        <v>374</v>
      </c>
      <c r="G9" s="171">
        <v>144039.9</v>
      </c>
      <c r="H9" s="171"/>
      <c r="I9" s="170" t="s">
        <v>406</v>
      </c>
      <c r="K9" s="171">
        <v>8301334.1299999999</v>
      </c>
      <c r="L9" s="171"/>
      <c r="P9" s="171"/>
      <c r="Q9" s="310"/>
    </row>
    <row r="10" spans="1:18" ht="20.149999999999999" customHeight="1">
      <c r="A10" s="170" t="s">
        <v>337</v>
      </c>
      <c r="C10" s="171">
        <v>393226.35</v>
      </c>
      <c r="D10" s="171"/>
      <c r="E10" s="170" t="s">
        <v>378</v>
      </c>
      <c r="G10" s="171">
        <v>405416.82</v>
      </c>
      <c r="H10" s="171"/>
      <c r="I10" s="170" t="s">
        <v>409</v>
      </c>
      <c r="K10" s="171">
        <v>485718.07</v>
      </c>
      <c r="L10" s="171"/>
      <c r="P10" s="171"/>
      <c r="Q10" s="310"/>
    </row>
    <row r="11" spans="1:18" ht="12.65" customHeight="1">
      <c r="A11" s="170" t="s">
        <v>341</v>
      </c>
      <c r="C11" s="171">
        <v>5245582.22</v>
      </c>
      <c r="D11" s="171"/>
      <c r="E11" s="170" t="s">
        <v>380</v>
      </c>
      <c r="G11" s="171">
        <v>313071.13</v>
      </c>
      <c r="H11" s="171"/>
      <c r="I11" s="170" t="s">
        <v>412</v>
      </c>
      <c r="K11" s="171">
        <v>216738.86</v>
      </c>
      <c r="L11" s="171"/>
      <c r="P11" s="171"/>
      <c r="Q11" s="310"/>
    </row>
    <row r="12" spans="1:18" ht="12.65" customHeight="1">
      <c r="A12" s="170" t="s">
        <v>345</v>
      </c>
      <c r="C12" s="171">
        <v>1744769.6</v>
      </c>
      <c r="D12" s="171"/>
      <c r="E12" s="170" t="s">
        <v>383</v>
      </c>
      <c r="G12" s="171">
        <v>402624.76</v>
      </c>
      <c r="H12" s="171"/>
      <c r="I12" s="170" t="s">
        <v>415</v>
      </c>
      <c r="K12" s="171">
        <v>2247190.44</v>
      </c>
      <c r="L12" s="171"/>
      <c r="P12" s="171"/>
      <c r="Q12" s="310"/>
    </row>
    <row r="13" spans="1:18" ht="12.65" customHeight="1">
      <c r="A13" s="170" t="s">
        <v>349</v>
      </c>
      <c r="C13" s="171">
        <v>80567.02</v>
      </c>
      <c r="D13" s="171"/>
      <c r="E13" s="170" t="s">
        <v>386</v>
      </c>
      <c r="G13" s="171">
        <v>306441.45</v>
      </c>
      <c r="H13" s="171"/>
      <c r="I13" s="170" t="s">
        <v>418</v>
      </c>
      <c r="K13" s="171">
        <v>186268.52</v>
      </c>
      <c r="L13" s="171"/>
      <c r="P13" s="171"/>
      <c r="Q13" s="310"/>
    </row>
    <row r="14" spans="1:18" ht="12.65" customHeight="1">
      <c r="A14" s="311" t="s">
        <v>732</v>
      </c>
      <c r="B14" s="311"/>
      <c r="C14" s="171">
        <v>1336703.79</v>
      </c>
      <c r="D14" s="171"/>
      <c r="E14" s="170" t="s">
        <v>389</v>
      </c>
      <c r="G14" s="171">
        <v>710795.22</v>
      </c>
      <c r="H14" s="171"/>
      <c r="I14" s="170" t="s">
        <v>175</v>
      </c>
      <c r="K14" s="171">
        <v>1586445.17</v>
      </c>
      <c r="L14" s="171"/>
      <c r="P14" s="171"/>
      <c r="Q14" s="310"/>
    </row>
    <row r="15" spans="1:18" ht="20.149999999999999" customHeight="1">
      <c r="A15" s="170" t="s">
        <v>357</v>
      </c>
      <c r="C15" s="171">
        <v>72941.39</v>
      </c>
      <c r="D15" s="171"/>
      <c r="E15" s="170" t="s">
        <v>391</v>
      </c>
      <c r="G15" s="171">
        <v>330690.96999999997</v>
      </c>
      <c r="H15" s="171"/>
      <c r="I15" s="170" t="s">
        <v>423</v>
      </c>
      <c r="K15" s="171">
        <v>600137.48</v>
      </c>
      <c r="L15" s="171"/>
      <c r="P15" s="171"/>
      <c r="Q15" s="310"/>
    </row>
    <row r="16" spans="1:18" ht="12.65" customHeight="1">
      <c r="A16" s="170" t="s">
        <v>361</v>
      </c>
      <c r="C16" s="171">
        <v>499368.86</v>
      </c>
      <c r="D16" s="171"/>
      <c r="E16" s="170" t="s">
        <v>394</v>
      </c>
      <c r="G16" s="171">
        <v>416114.88</v>
      </c>
      <c r="H16" s="171"/>
      <c r="I16" s="170" t="s">
        <v>703</v>
      </c>
      <c r="K16" s="171">
        <v>387726.89</v>
      </c>
      <c r="L16" s="171"/>
      <c r="P16" s="171"/>
      <c r="Q16" s="310"/>
    </row>
    <row r="17" spans="1:17" ht="12.65" customHeight="1">
      <c r="A17" s="170" t="s">
        <v>365</v>
      </c>
      <c r="C17" s="171">
        <v>292244.52</v>
      </c>
      <c r="D17" s="171"/>
      <c r="E17" s="170" t="s">
        <v>396</v>
      </c>
      <c r="G17" s="171">
        <v>354508.25</v>
      </c>
      <c r="H17" s="171"/>
      <c r="I17" s="170" t="s">
        <v>428</v>
      </c>
      <c r="K17" s="171">
        <v>1242337.08</v>
      </c>
      <c r="L17" s="171"/>
      <c r="P17" s="171"/>
      <c r="Q17" s="310"/>
    </row>
    <row r="18" spans="1:17" ht="12.65" customHeight="1">
      <c r="A18" s="170" t="s">
        <v>369</v>
      </c>
      <c r="C18" s="171">
        <v>589416.03</v>
      </c>
      <c r="D18" s="171"/>
      <c r="E18" s="170" t="s">
        <v>399</v>
      </c>
      <c r="G18" s="171">
        <v>266911.42</v>
      </c>
      <c r="H18" s="171"/>
      <c r="I18" s="170" t="s">
        <v>431</v>
      </c>
      <c r="K18" s="171">
        <v>163061.57999999999</v>
      </c>
      <c r="L18" s="171"/>
      <c r="P18" s="171"/>
      <c r="Q18" s="310"/>
    </row>
    <row r="19" spans="1:17" ht="12.65" customHeight="1">
      <c r="A19" s="170" t="s">
        <v>373</v>
      </c>
      <c r="C19" s="171">
        <v>295565.21000000002</v>
      </c>
      <c r="D19" s="171"/>
      <c r="E19" s="170" t="s">
        <v>402</v>
      </c>
      <c r="G19" s="171">
        <v>242437.02</v>
      </c>
      <c r="H19" s="171"/>
      <c r="I19" s="170" t="s">
        <v>433</v>
      </c>
      <c r="K19" s="171">
        <v>6385865.6500000004</v>
      </c>
      <c r="L19" s="171"/>
      <c r="P19" s="171"/>
      <c r="Q19" s="310"/>
    </row>
    <row r="20" spans="1:17" ht="20.149999999999999" customHeight="1">
      <c r="A20" s="170" t="s">
        <v>377</v>
      </c>
      <c r="C20" s="171">
        <v>971862.57</v>
      </c>
      <c r="D20" s="171"/>
      <c r="E20" s="170" t="s">
        <v>405</v>
      </c>
      <c r="G20" s="171">
        <v>999286.8</v>
      </c>
      <c r="H20" s="171"/>
      <c r="I20" s="170" t="s">
        <v>435</v>
      </c>
      <c r="K20" s="171">
        <v>1129410.1100000001</v>
      </c>
      <c r="P20" s="171"/>
      <c r="Q20" s="310"/>
    </row>
    <row r="21" spans="1:17" ht="12.65" customHeight="1">
      <c r="A21" s="170" t="s">
        <v>379</v>
      </c>
      <c r="C21" s="171">
        <v>547648.84</v>
      </c>
      <c r="D21" s="171"/>
      <c r="E21" s="170" t="s">
        <v>408</v>
      </c>
      <c r="G21" s="171">
        <v>341611</v>
      </c>
      <c r="H21" s="171"/>
      <c r="I21" s="170" t="s">
        <v>438</v>
      </c>
      <c r="K21" s="171">
        <v>588680.06999999995</v>
      </c>
      <c r="P21" s="171"/>
      <c r="Q21" s="310"/>
    </row>
    <row r="22" spans="1:17" ht="12.65" customHeight="1">
      <c r="A22" s="170" t="s">
        <v>382</v>
      </c>
      <c r="C22" s="171">
        <v>705987.89</v>
      </c>
      <c r="D22" s="171"/>
      <c r="E22" s="170" t="s">
        <v>411</v>
      </c>
      <c r="G22" s="171">
        <v>341085.28</v>
      </c>
      <c r="H22" s="171"/>
      <c r="I22" s="170" t="s">
        <v>441</v>
      </c>
      <c r="K22" s="171">
        <v>224399.52</v>
      </c>
      <c r="P22" s="171"/>
      <c r="Q22" s="310"/>
    </row>
    <row r="23" spans="1:17" ht="12.65" customHeight="1">
      <c r="A23" s="170" t="s">
        <v>385</v>
      </c>
      <c r="C23" s="171">
        <v>107950.31</v>
      </c>
      <c r="D23" s="171"/>
      <c r="E23" s="170" t="s">
        <v>414</v>
      </c>
      <c r="G23" s="171">
        <v>1584920.65</v>
      </c>
      <c r="H23" s="171"/>
      <c r="I23" s="170" t="s">
        <v>444</v>
      </c>
      <c r="K23" s="171">
        <v>2368032.2000000002</v>
      </c>
      <c r="P23" s="171"/>
      <c r="Q23" s="310"/>
    </row>
    <row r="24" spans="1:17" ht="12.65" customHeight="1">
      <c r="A24" s="170" t="s">
        <v>388</v>
      </c>
      <c r="C24" s="171">
        <v>89667.53</v>
      </c>
      <c r="D24" s="171"/>
      <c r="E24" s="170" t="s">
        <v>417</v>
      </c>
      <c r="G24" s="171">
        <v>601066.22</v>
      </c>
      <c r="H24" s="171"/>
      <c r="I24" s="170" t="s">
        <v>320</v>
      </c>
      <c r="K24" s="171">
        <v>2014844</v>
      </c>
      <c r="Q24" s="310"/>
    </row>
    <row r="25" spans="1:17" ht="20.149999999999999" customHeight="1">
      <c r="A25" s="170" t="s">
        <v>390</v>
      </c>
      <c r="C25" s="171">
        <v>10162330.99</v>
      </c>
      <c r="D25" s="171"/>
      <c r="E25" s="170" t="s">
        <v>420</v>
      </c>
      <c r="G25" s="171">
        <v>217305.44</v>
      </c>
      <c r="H25" s="171"/>
      <c r="I25" s="170" t="s">
        <v>324</v>
      </c>
      <c r="K25" s="309">
        <v>510458.29</v>
      </c>
      <c r="L25" s="171"/>
      <c r="Q25" s="310"/>
    </row>
    <row r="26" spans="1:17" ht="12.65" customHeight="1">
      <c r="A26" s="170" t="s">
        <v>393</v>
      </c>
      <c r="C26" s="171">
        <v>299732.90000000002</v>
      </c>
      <c r="D26" s="171"/>
      <c r="E26" s="170" t="s">
        <v>422</v>
      </c>
      <c r="G26" s="171">
        <v>889522.77</v>
      </c>
      <c r="H26" s="171"/>
      <c r="I26" s="170" t="s">
        <v>328</v>
      </c>
      <c r="K26" s="171">
        <v>634471.77</v>
      </c>
      <c r="L26" s="171"/>
      <c r="Q26" s="310"/>
    </row>
    <row r="27" spans="1:17" ht="12.65" customHeight="1">
      <c r="A27" s="170" t="s">
        <v>395</v>
      </c>
      <c r="C27" s="171">
        <v>80567</v>
      </c>
      <c r="D27" s="171"/>
      <c r="E27" s="170" t="s">
        <v>425</v>
      </c>
      <c r="G27" s="171">
        <v>13521586.25</v>
      </c>
      <c r="H27" s="171"/>
      <c r="I27" s="170" t="s">
        <v>332</v>
      </c>
      <c r="K27" s="171">
        <v>8131035.3600000003</v>
      </c>
      <c r="L27" s="171"/>
      <c r="Q27" s="310"/>
    </row>
    <row r="28" spans="1:17" ht="12.65" customHeight="1">
      <c r="A28" s="170" t="s">
        <v>398</v>
      </c>
      <c r="C28" s="171">
        <v>1420135.9</v>
      </c>
      <c r="D28" s="171"/>
      <c r="E28" s="170" t="s">
        <v>427</v>
      </c>
      <c r="G28" s="171">
        <v>574970.86</v>
      </c>
      <c r="H28" s="171"/>
      <c r="I28" s="170" t="s">
        <v>336</v>
      </c>
      <c r="K28" s="171">
        <v>15283668.960000001</v>
      </c>
      <c r="L28" s="171"/>
      <c r="Q28" s="310"/>
    </row>
    <row r="29" spans="1:17" ht="12.65" customHeight="1">
      <c r="A29" s="170" t="s">
        <v>401</v>
      </c>
      <c r="C29" s="171">
        <v>267095.42</v>
      </c>
      <c r="D29" s="171"/>
      <c r="E29" s="170" t="s">
        <v>430</v>
      </c>
      <c r="G29" s="171">
        <v>242104.07</v>
      </c>
      <c r="H29" s="171"/>
      <c r="I29" s="170" t="s">
        <v>340</v>
      </c>
      <c r="K29" s="171">
        <v>147348.93</v>
      </c>
      <c r="L29" s="171"/>
      <c r="Q29" s="310"/>
    </row>
    <row r="30" spans="1:17" ht="20.149999999999999" customHeight="1">
      <c r="A30" s="170" t="s">
        <v>404</v>
      </c>
      <c r="C30" s="171">
        <v>344403.1</v>
      </c>
      <c r="D30" s="171"/>
      <c r="E30" s="170" t="s">
        <v>737</v>
      </c>
      <c r="G30" s="171">
        <v>214630.2</v>
      </c>
      <c r="H30" s="171"/>
      <c r="I30" s="170" t="s">
        <v>344</v>
      </c>
      <c r="K30" s="171">
        <v>1283496.74</v>
      </c>
      <c r="L30" s="171"/>
      <c r="Q30" s="310"/>
    </row>
    <row r="31" spans="1:17" ht="12.65" customHeight="1">
      <c r="A31" s="170" t="s">
        <v>407</v>
      </c>
      <c r="C31" s="171">
        <v>643540.15</v>
      </c>
      <c r="D31" s="171"/>
      <c r="E31" s="170" t="s">
        <v>738</v>
      </c>
      <c r="G31" s="171">
        <v>2750288.84</v>
      </c>
      <c r="H31" s="171"/>
      <c r="I31" s="170" t="s">
        <v>348</v>
      </c>
      <c r="K31" s="171">
        <v>287831.51</v>
      </c>
      <c r="L31" s="171"/>
      <c r="Q31" s="310"/>
    </row>
    <row r="32" spans="1:17" ht="12.65" customHeight="1">
      <c r="A32" s="170" t="s">
        <v>410</v>
      </c>
      <c r="C32" s="171">
        <v>245781.06</v>
      </c>
      <c r="D32" s="171"/>
      <c r="E32" s="170" t="s">
        <v>437</v>
      </c>
      <c r="G32" s="171">
        <v>650949.63</v>
      </c>
      <c r="H32" s="171"/>
      <c r="I32" s="170" t="s">
        <v>352</v>
      </c>
      <c r="K32" s="171">
        <v>5794568.7699999996</v>
      </c>
      <c r="L32" s="171"/>
      <c r="Q32" s="310"/>
    </row>
    <row r="33" spans="1:17" ht="12.65" customHeight="1">
      <c r="A33" s="170" t="s">
        <v>733</v>
      </c>
      <c r="C33" s="171">
        <v>55182545.119999997</v>
      </c>
      <c r="D33" s="171"/>
      <c r="E33" s="170" t="s">
        <v>440</v>
      </c>
      <c r="G33" s="171">
        <v>1111988.8500000001</v>
      </c>
      <c r="H33" s="171"/>
      <c r="I33" s="170" t="s">
        <v>356</v>
      </c>
      <c r="K33" s="171">
        <v>520811.69</v>
      </c>
      <c r="L33" s="171"/>
      <c r="Q33" s="310"/>
    </row>
    <row r="34" spans="1:17" ht="12.65" customHeight="1">
      <c r="A34" s="170" t="s">
        <v>416</v>
      </c>
      <c r="C34" s="171">
        <v>2020691</v>
      </c>
      <c r="D34" s="171"/>
      <c r="E34" s="170" t="s">
        <v>443</v>
      </c>
      <c r="G34" s="171">
        <v>600955.26</v>
      </c>
      <c r="H34" s="171"/>
      <c r="I34" s="170" t="s">
        <v>704</v>
      </c>
      <c r="K34" s="171">
        <v>14317241.65</v>
      </c>
      <c r="L34" s="171"/>
      <c r="Q34" s="310"/>
    </row>
    <row r="35" spans="1:17" ht="20.149999999999999" customHeight="1">
      <c r="A35" s="170" t="s">
        <v>419</v>
      </c>
      <c r="C35" s="171">
        <v>432975.39</v>
      </c>
      <c r="D35" s="171"/>
      <c r="E35" s="170" t="s">
        <v>319</v>
      </c>
      <c r="G35" s="309">
        <v>541156.42000000004</v>
      </c>
      <c r="H35" s="171"/>
      <c r="I35" s="170" t="s">
        <v>705</v>
      </c>
      <c r="K35" s="171">
        <v>4853132.79</v>
      </c>
      <c r="L35" s="171"/>
      <c r="Q35" s="310"/>
    </row>
    <row r="36" spans="1:17" ht="12.65" customHeight="1">
      <c r="A36" s="170" t="s">
        <v>421</v>
      </c>
      <c r="C36" s="171">
        <v>584816.13</v>
      </c>
      <c r="D36" s="171"/>
      <c r="E36" s="170" t="s">
        <v>323</v>
      </c>
      <c r="G36" s="171">
        <v>832591.96</v>
      </c>
      <c r="H36" s="171"/>
      <c r="I36" s="170" t="s">
        <v>368</v>
      </c>
      <c r="K36" s="171">
        <v>745906.32</v>
      </c>
      <c r="L36" s="171"/>
      <c r="Q36" s="310"/>
    </row>
    <row r="37" spans="1:17" ht="12.65" customHeight="1">
      <c r="A37" s="170" t="s">
        <v>734</v>
      </c>
      <c r="C37" s="171">
        <v>1549526.16</v>
      </c>
      <c r="D37" s="171"/>
      <c r="E37" s="170" t="s">
        <v>327</v>
      </c>
      <c r="G37" s="171">
        <v>410825.75</v>
      </c>
      <c r="H37" s="171"/>
      <c r="I37" s="170" t="s">
        <v>372</v>
      </c>
      <c r="K37" s="171">
        <v>975925.09</v>
      </c>
      <c r="L37" s="171"/>
      <c r="Q37" s="310"/>
    </row>
    <row r="38" spans="1:17" ht="12.65" customHeight="1">
      <c r="A38" s="170" t="s">
        <v>426</v>
      </c>
      <c r="C38" s="171">
        <v>942478.63</v>
      </c>
      <c r="D38" s="171"/>
      <c r="E38" s="170" t="s">
        <v>331</v>
      </c>
      <c r="G38" s="171">
        <v>388915.6</v>
      </c>
      <c r="H38" s="171"/>
      <c r="I38" s="170" t="s">
        <v>376</v>
      </c>
      <c r="K38" s="171">
        <v>2444895.92</v>
      </c>
      <c r="L38" s="171"/>
      <c r="Q38" s="310"/>
    </row>
    <row r="39" spans="1:17" ht="12.65" customHeight="1">
      <c r="A39" s="170" t="s">
        <v>429</v>
      </c>
      <c r="C39" s="171">
        <v>176610.12</v>
      </c>
      <c r="D39" s="171"/>
      <c r="E39" s="170" t="s">
        <v>335</v>
      </c>
      <c r="G39" s="171">
        <v>3289415.49</v>
      </c>
      <c r="H39" s="171"/>
      <c r="I39" s="170" t="s">
        <v>26</v>
      </c>
      <c r="K39" s="171">
        <v>18230468.780000001</v>
      </c>
      <c r="L39" s="171"/>
      <c r="Q39" s="310"/>
    </row>
    <row r="40" spans="1:17" ht="20.149999999999999" customHeight="1">
      <c r="A40" s="170" t="s">
        <v>432</v>
      </c>
      <c r="C40" s="171">
        <v>1066743.31</v>
      </c>
      <c r="D40" s="171"/>
      <c r="E40" s="170" t="s">
        <v>339</v>
      </c>
      <c r="G40" s="171">
        <v>4044436.95</v>
      </c>
      <c r="H40" s="171"/>
      <c r="I40" s="170" t="s">
        <v>381</v>
      </c>
      <c r="K40" s="171">
        <v>905711.51</v>
      </c>
      <c r="L40" s="171"/>
      <c r="Q40" s="310"/>
    </row>
    <row r="41" spans="1:17" ht="12.65" customHeight="1">
      <c r="A41" s="170" t="s">
        <v>434</v>
      </c>
      <c r="C41" s="171">
        <v>596872.28</v>
      </c>
      <c r="D41" s="171"/>
      <c r="E41" s="170" t="s">
        <v>343</v>
      </c>
      <c r="G41" s="171">
        <v>35867.57</v>
      </c>
      <c r="H41" s="171"/>
      <c r="I41" s="170" t="s">
        <v>384</v>
      </c>
      <c r="K41" s="171">
        <v>501711.14</v>
      </c>
      <c r="L41" s="171"/>
      <c r="Q41" s="310"/>
    </row>
    <row r="42" spans="1:17" ht="12.65" customHeight="1">
      <c r="A42" s="170" t="s">
        <v>436</v>
      </c>
      <c r="C42" s="171">
        <v>265690.64</v>
      </c>
      <c r="D42" s="171"/>
      <c r="E42" s="170" t="s">
        <v>347</v>
      </c>
      <c r="G42" s="171">
        <v>122342.94</v>
      </c>
      <c r="H42" s="171"/>
      <c r="I42" s="170" t="s">
        <v>387</v>
      </c>
      <c r="K42" s="171">
        <v>1491465.12</v>
      </c>
      <c r="L42" s="171"/>
      <c r="Q42" s="310"/>
    </row>
    <row r="43" spans="1:17" ht="12.65" customHeight="1">
      <c r="A43" s="170" t="s">
        <v>439</v>
      </c>
      <c r="C43" s="171">
        <v>343886.14</v>
      </c>
      <c r="D43" s="171"/>
      <c r="E43" s="170" t="s">
        <v>351</v>
      </c>
      <c r="G43" s="171">
        <v>420034.33</v>
      </c>
      <c r="H43" s="171"/>
      <c r="K43" s="171"/>
      <c r="L43" s="171"/>
      <c r="Q43" s="310"/>
    </row>
    <row r="44" spans="1:17" ht="13">
      <c r="A44" s="170" t="s">
        <v>442</v>
      </c>
      <c r="C44" s="171">
        <v>123703.92</v>
      </c>
      <c r="D44" s="171"/>
      <c r="E44" s="170" t="s">
        <v>355</v>
      </c>
      <c r="G44" s="171">
        <v>621667.94999999995</v>
      </c>
      <c r="H44" s="171"/>
      <c r="I44" s="312" t="s">
        <v>27</v>
      </c>
      <c r="J44" s="312"/>
      <c r="K44" s="313">
        <f>SUM(K5:K43)</f>
        <v>115610301.49000002</v>
      </c>
      <c r="L44" s="171"/>
      <c r="Q44" s="310"/>
    </row>
    <row r="45" spans="1:17" ht="20.149999999999999" customHeight="1">
      <c r="A45" s="170" t="s">
        <v>318</v>
      </c>
      <c r="C45" s="309">
        <v>811041.02</v>
      </c>
      <c r="D45" s="171"/>
      <c r="E45" s="170" t="s">
        <v>359</v>
      </c>
      <c r="G45" s="171">
        <v>1128177.5900000001</v>
      </c>
      <c r="H45" s="171"/>
      <c r="K45" s="171"/>
      <c r="L45" s="171"/>
      <c r="Q45" s="310"/>
    </row>
    <row r="46" spans="1:17" ht="12.65" customHeight="1">
      <c r="A46" s="170" t="s">
        <v>322</v>
      </c>
      <c r="C46" s="171">
        <v>3475114.51</v>
      </c>
      <c r="D46" s="171"/>
      <c r="E46" s="170" t="s">
        <v>363</v>
      </c>
      <c r="G46" s="171">
        <v>444199.13</v>
      </c>
      <c r="H46" s="171"/>
      <c r="K46" s="171"/>
      <c r="L46" s="171"/>
      <c r="Q46" s="310"/>
    </row>
    <row r="47" spans="1:17" ht="12.65" customHeight="1">
      <c r="A47" s="170" t="s">
        <v>326</v>
      </c>
      <c r="C47" s="171">
        <v>9177749.3300000001</v>
      </c>
      <c r="D47" s="171"/>
      <c r="E47" s="170" t="s">
        <v>367</v>
      </c>
      <c r="G47" s="171">
        <v>700844.8</v>
      </c>
      <c r="H47" s="171"/>
      <c r="K47" s="171"/>
      <c r="L47" s="171"/>
      <c r="Q47" s="310"/>
    </row>
    <row r="48" spans="1:17" ht="12.65" customHeight="1">
      <c r="A48" s="170" t="s">
        <v>330</v>
      </c>
      <c r="C48" s="171">
        <v>1620703.51</v>
      </c>
      <c r="D48" s="171"/>
      <c r="E48" s="170" t="s">
        <v>371</v>
      </c>
      <c r="G48" s="171">
        <v>532292.49</v>
      </c>
      <c r="H48" s="171"/>
      <c r="K48" s="171"/>
      <c r="L48" s="171"/>
      <c r="Q48" s="310"/>
    </row>
    <row r="49" spans="1:18" ht="12.65" customHeight="1">
      <c r="A49" s="170" t="s">
        <v>334</v>
      </c>
      <c r="C49" s="171">
        <v>52675.51</v>
      </c>
      <c r="D49" s="171"/>
      <c r="E49" s="170" t="s">
        <v>375</v>
      </c>
      <c r="G49" s="171">
        <v>917913.64</v>
      </c>
      <c r="H49" s="171"/>
      <c r="K49" s="171"/>
      <c r="L49" s="171"/>
      <c r="Q49" s="310"/>
    </row>
    <row r="50" spans="1:18" ht="20.149999999999999" customHeight="1">
      <c r="A50" s="170" t="s">
        <v>735</v>
      </c>
      <c r="C50" s="171">
        <v>929969.83</v>
      </c>
      <c r="D50" s="171"/>
      <c r="H50" s="171"/>
      <c r="K50" s="171"/>
      <c r="L50" s="171"/>
      <c r="Q50" s="310"/>
    </row>
    <row r="51" spans="1:18" ht="13">
      <c r="A51" s="170" t="s">
        <v>342</v>
      </c>
      <c r="C51" s="171">
        <v>1189857.23</v>
      </c>
      <c r="D51" s="171"/>
      <c r="E51" s="312" t="s">
        <v>22</v>
      </c>
      <c r="F51" s="312"/>
      <c r="G51" s="313">
        <f>SUM(C5:C54,G5:G49)</f>
        <v>164776160.16999996</v>
      </c>
      <c r="H51" s="171"/>
      <c r="K51" s="171"/>
      <c r="L51" s="171"/>
      <c r="Q51" s="310"/>
    </row>
    <row r="52" spans="1:18" ht="12.65" customHeight="1">
      <c r="A52" s="170" t="s">
        <v>736</v>
      </c>
      <c r="C52" s="171">
        <v>122570.71</v>
      </c>
      <c r="D52" s="171"/>
      <c r="G52" s="171"/>
      <c r="H52" s="171"/>
      <c r="K52" s="171"/>
      <c r="L52" s="171"/>
      <c r="Q52" s="310"/>
    </row>
    <row r="53" spans="1:18" ht="12.65" customHeight="1">
      <c r="A53" s="170" t="s">
        <v>350</v>
      </c>
      <c r="C53" s="171">
        <v>270080.28000000003</v>
      </c>
      <c r="D53" s="171"/>
      <c r="G53" s="171"/>
      <c r="H53" s="171"/>
      <c r="K53" s="171"/>
      <c r="L53" s="171"/>
      <c r="Q53" s="310"/>
    </row>
    <row r="54" spans="1:18" ht="12.65" customHeight="1">
      <c r="A54" s="170" t="s">
        <v>354</v>
      </c>
      <c r="C54" s="171">
        <v>250182.34</v>
      </c>
      <c r="D54" s="171"/>
      <c r="G54" s="171"/>
      <c r="H54" s="171"/>
      <c r="K54" s="171"/>
      <c r="L54" s="171"/>
      <c r="Q54" s="310"/>
    </row>
    <row r="55" spans="1:18" ht="18">
      <c r="A55" s="305" t="s">
        <v>445</v>
      </c>
      <c r="B55" s="305"/>
      <c r="C55" s="306"/>
    </row>
    <row r="56" spans="1:18" ht="15.5">
      <c r="A56" s="307" t="str">
        <f>A2</f>
        <v>Communications Sales Tax Distributions, Fiscal Year 2023</v>
      </c>
      <c r="B56" s="307"/>
      <c r="C56" s="306"/>
      <c r="G56" s="171"/>
    </row>
    <row r="57" spans="1:18" ht="9" customHeight="1" thickBot="1">
      <c r="G57" s="171"/>
    </row>
    <row r="58" spans="1:18" ht="13" customHeight="1">
      <c r="A58" s="949" t="s">
        <v>446</v>
      </c>
      <c r="B58" s="950" t="s">
        <v>938</v>
      </c>
      <c r="C58" s="951" t="s">
        <v>316</v>
      </c>
      <c r="D58" s="948"/>
      <c r="E58" s="949" t="s">
        <v>446</v>
      </c>
      <c r="F58" s="950" t="s">
        <v>938</v>
      </c>
      <c r="G58" s="951" t="s">
        <v>316</v>
      </c>
      <c r="H58" s="948"/>
      <c r="I58" s="949" t="s">
        <v>446</v>
      </c>
      <c r="J58" s="950" t="s">
        <v>938</v>
      </c>
      <c r="K58" s="951" t="s">
        <v>316</v>
      </c>
      <c r="L58" s="518"/>
      <c r="M58" s="949" t="s">
        <v>446</v>
      </c>
      <c r="N58" s="950" t="s">
        <v>938</v>
      </c>
      <c r="O58" s="951" t="s">
        <v>316</v>
      </c>
    </row>
    <row r="59" spans="1:18">
      <c r="A59" s="315" t="s">
        <v>447</v>
      </c>
      <c r="C59" s="309">
        <v>84550.67</v>
      </c>
      <c r="D59" s="171"/>
      <c r="E59" s="170" t="s">
        <v>583</v>
      </c>
      <c r="G59" s="309">
        <v>4150.16</v>
      </c>
      <c r="H59" s="171"/>
      <c r="I59" s="170" t="s">
        <v>584</v>
      </c>
      <c r="K59" s="309">
        <v>8531.01</v>
      </c>
      <c r="L59" s="171"/>
      <c r="M59" s="170" t="s">
        <v>585</v>
      </c>
      <c r="O59" s="309">
        <v>9751.81</v>
      </c>
      <c r="P59" s="171"/>
      <c r="Q59" s="310"/>
      <c r="R59" s="310"/>
    </row>
    <row r="60" spans="1:18" ht="20.149999999999999" customHeight="1">
      <c r="A60" s="170" t="s">
        <v>450</v>
      </c>
      <c r="C60" s="171">
        <v>3752.98</v>
      </c>
      <c r="D60" s="171"/>
      <c r="E60" s="170" t="s">
        <v>586</v>
      </c>
      <c r="G60" s="171">
        <v>29597.11</v>
      </c>
      <c r="H60" s="171"/>
      <c r="I60" s="170" t="s">
        <v>587</v>
      </c>
      <c r="K60" s="171">
        <v>36139.21</v>
      </c>
      <c r="L60" s="171"/>
      <c r="M60" s="170" t="s">
        <v>588</v>
      </c>
      <c r="O60" s="171">
        <v>27853.52</v>
      </c>
      <c r="P60" s="171"/>
      <c r="Q60" s="310"/>
      <c r="R60" s="310"/>
    </row>
    <row r="61" spans="1:18">
      <c r="A61" s="170" t="s">
        <v>454</v>
      </c>
      <c r="C61" s="171">
        <v>8507.66</v>
      </c>
      <c r="D61" s="171"/>
      <c r="E61" s="170" t="s">
        <v>398</v>
      </c>
      <c r="G61" s="171">
        <v>85727.66</v>
      </c>
      <c r="H61" s="171"/>
      <c r="I61" s="170" t="s">
        <v>448</v>
      </c>
      <c r="K61" s="171">
        <v>56524.82</v>
      </c>
      <c r="L61" s="171"/>
      <c r="M61" s="170" t="s">
        <v>449</v>
      </c>
      <c r="O61" s="171">
        <v>159.74</v>
      </c>
      <c r="P61" s="171"/>
      <c r="Q61" s="310"/>
      <c r="R61" s="310"/>
    </row>
    <row r="62" spans="1:18">
      <c r="A62" s="170" t="s">
        <v>457</v>
      </c>
      <c r="C62" s="171">
        <v>28367.54</v>
      </c>
      <c r="D62" s="171"/>
      <c r="E62" s="170" t="s">
        <v>451</v>
      </c>
      <c r="G62" s="171">
        <v>17348.23</v>
      </c>
      <c r="H62" s="171"/>
      <c r="I62" s="170" t="s">
        <v>452</v>
      </c>
      <c r="K62" s="171">
        <v>1510077.92</v>
      </c>
      <c r="L62" s="171"/>
      <c r="M62" s="170" t="s">
        <v>453</v>
      </c>
      <c r="O62" s="171">
        <v>16828.34</v>
      </c>
      <c r="P62" s="171"/>
      <c r="Q62" s="310"/>
      <c r="R62" s="310"/>
    </row>
    <row r="63" spans="1:18">
      <c r="A63" s="170" t="s">
        <v>333</v>
      </c>
      <c r="C63" s="171">
        <v>71390.58</v>
      </c>
      <c r="D63" s="171"/>
      <c r="E63" s="170" t="s">
        <v>455</v>
      </c>
      <c r="G63" s="171">
        <v>17795.09</v>
      </c>
      <c r="H63" s="171"/>
      <c r="I63" s="170" t="s">
        <v>370</v>
      </c>
      <c r="K63" s="171">
        <v>5002.95</v>
      </c>
      <c r="L63" s="171"/>
      <c r="M63" s="170" t="s">
        <v>456</v>
      </c>
      <c r="O63" s="171">
        <v>33601.21</v>
      </c>
      <c r="P63" s="171"/>
      <c r="Q63" s="310"/>
      <c r="R63" s="310"/>
    </row>
    <row r="64" spans="1:18">
      <c r="A64" s="170" t="s">
        <v>463</v>
      </c>
      <c r="C64" s="171">
        <v>27634.47</v>
      </c>
      <c r="D64" s="171"/>
      <c r="E64" s="170" t="s">
        <v>458</v>
      </c>
      <c r="G64" s="171">
        <v>2721.99</v>
      </c>
      <c r="H64" s="171"/>
      <c r="I64" s="170" t="s">
        <v>459</v>
      </c>
      <c r="K64" s="171">
        <v>9319.57</v>
      </c>
      <c r="L64" s="171"/>
      <c r="M64" s="170" t="s">
        <v>460</v>
      </c>
      <c r="O64" s="171">
        <v>12348.22</v>
      </c>
      <c r="P64" s="171"/>
      <c r="Q64" s="310"/>
      <c r="R64" s="310"/>
    </row>
    <row r="65" spans="1:18" ht="23.15" customHeight="1">
      <c r="A65" s="170" t="s">
        <v>337</v>
      </c>
      <c r="C65" s="171">
        <v>4412.99</v>
      </c>
      <c r="D65" s="171"/>
      <c r="E65" s="170" t="s">
        <v>461</v>
      </c>
      <c r="G65" s="171">
        <v>987.15</v>
      </c>
      <c r="H65" s="171"/>
      <c r="I65" s="170" t="s">
        <v>462</v>
      </c>
      <c r="K65" s="171">
        <v>53925.54</v>
      </c>
      <c r="L65" s="171"/>
      <c r="M65" s="170" t="s">
        <v>323</v>
      </c>
      <c r="O65" s="171">
        <v>19442.3</v>
      </c>
      <c r="P65" s="171"/>
      <c r="Q65" s="310"/>
      <c r="R65" s="310"/>
    </row>
    <row r="66" spans="1:18">
      <c r="A66" s="170" t="s">
        <v>470</v>
      </c>
      <c r="C66" s="171">
        <v>190588.04</v>
      </c>
      <c r="D66" s="171"/>
      <c r="E66" s="170" t="s">
        <v>464</v>
      </c>
      <c r="G66" s="171">
        <v>64781.31</v>
      </c>
      <c r="H66" s="171"/>
      <c r="I66" s="170" t="s">
        <v>465</v>
      </c>
      <c r="K66" s="171">
        <v>90946.75</v>
      </c>
      <c r="L66" s="171"/>
      <c r="M66" s="170" t="s">
        <v>466</v>
      </c>
      <c r="O66" s="171">
        <v>165225.70000000001</v>
      </c>
      <c r="P66" s="171"/>
      <c r="Q66" s="310"/>
      <c r="R66" s="310"/>
    </row>
    <row r="67" spans="1:18">
      <c r="A67" s="311" t="s">
        <v>353</v>
      </c>
      <c r="B67" s="311"/>
      <c r="C67" s="171">
        <v>98385.46</v>
      </c>
      <c r="D67" s="171"/>
      <c r="E67" s="170" t="s">
        <v>467</v>
      </c>
      <c r="G67" s="171">
        <v>130628.62</v>
      </c>
      <c r="H67" s="171"/>
      <c r="I67" s="170" t="s">
        <v>468</v>
      </c>
      <c r="K67" s="171">
        <v>6358.1</v>
      </c>
      <c r="L67" s="171"/>
      <c r="M67" s="170" t="s">
        <v>469</v>
      </c>
      <c r="O67" s="171">
        <v>545838.13</v>
      </c>
      <c r="P67" s="171"/>
      <c r="Q67" s="310"/>
      <c r="R67" s="310"/>
    </row>
    <row r="68" spans="1:18">
      <c r="A68" s="170" t="s">
        <v>474</v>
      </c>
      <c r="C68" s="171">
        <v>65184.34</v>
      </c>
      <c r="D68" s="171"/>
      <c r="E68" s="170" t="s">
        <v>471</v>
      </c>
      <c r="G68" s="171">
        <v>6839.97</v>
      </c>
      <c r="H68" s="171"/>
      <c r="I68" s="170" t="s">
        <v>472</v>
      </c>
      <c r="K68" s="171">
        <v>2865.06</v>
      </c>
      <c r="L68" s="171"/>
      <c r="M68" s="170" t="s">
        <v>473</v>
      </c>
      <c r="O68" s="171">
        <v>123838.27</v>
      </c>
      <c r="P68" s="171"/>
      <c r="Q68" s="310"/>
      <c r="R68" s="310"/>
    </row>
    <row r="69" spans="1:18">
      <c r="A69" s="170" t="s">
        <v>478</v>
      </c>
      <c r="C69" s="171">
        <v>133470.32999999999</v>
      </c>
      <c r="D69" s="171"/>
      <c r="E69" s="170" t="s">
        <v>475</v>
      </c>
      <c r="G69" s="171">
        <v>36787.58</v>
      </c>
      <c r="H69" s="171"/>
      <c r="I69" s="170" t="s">
        <v>476</v>
      </c>
      <c r="K69" s="171">
        <v>31635.71</v>
      </c>
      <c r="L69" s="171"/>
      <c r="M69" s="170" t="s">
        <v>477</v>
      </c>
      <c r="O69" s="171">
        <v>2619.75</v>
      </c>
      <c r="P69" s="171"/>
      <c r="Q69" s="310"/>
      <c r="R69" s="310"/>
    </row>
    <row r="70" spans="1:18" ht="23.15" customHeight="1">
      <c r="A70" s="170" t="s">
        <v>482</v>
      </c>
      <c r="C70" s="171">
        <v>862206.56</v>
      </c>
      <c r="D70" s="171"/>
      <c r="E70" s="170" t="s">
        <v>479</v>
      </c>
      <c r="G70" s="171">
        <v>364791.6</v>
      </c>
      <c r="H70" s="171"/>
      <c r="I70" s="170" t="s">
        <v>480</v>
      </c>
      <c r="K70" s="171">
        <v>10008.799999999999</v>
      </c>
      <c r="L70" s="171"/>
      <c r="M70" s="170" t="s">
        <v>481</v>
      </c>
      <c r="O70" s="171">
        <v>11603.47</v>
      </c>
      <c r="P70" s="171"/>
      <c r="Q70" s="310"/>
      <c r="R70" s="310"/>
    </row>
    <row r="71" spans="1:18">
      <c r="A71" s="170" t="s">
        <v>485</v>
      </c>
      <c r="C71" s="171">
        <v>12438.74</v>
      </c>
      <c r="D71" s="171"/>
      <c r="E71" s="170" t="s">
        <v>483</v>
      </c>
      <c r="G71" s="171">
        <v>1980.12</v>
      </c>
      <c r="H71" s="171"/>
      <c r="I71" s="170" t="s">
        <v>484</v>
      </c>
      <c r="K71" s="171">
        <v>1255.8699999999999</v>
      </c>
      <c r="L71" s="171"/>
      <c r="M71" s="170" t="s">
        <v>708</v>
      </c>
      <c r="O71" s="171">
        <v>19071.37</v>
      </c>
      <c r="P71" s="171"/>
      <c r="Q71" s="310"/>
      <c r="R71" s="310"/>
    </row>
    <row r="72" spans="1:18">
      <c r="A72" s="311" t="s">
        <v>706</v>
      </c>
      <c r="B72" s="311"/>
      <c r="C72" s="171">
        <v>3732.48</v>
      </c>
      <c r="D72" s="171"/>
      <c r="E72" s="170" t="s">
        <v>419</v>
      </c>
      <c r="G72" s="171">
        <v>324.19</v>
      </c>
      <c r="H72" s="171"/>
      <c r="I72" s="170" t="s">
        <v>486</v>
      </c>
      <c r="K72" s="171">
        <v>4807.24</v>
      </c>
      <c r="L72" s="171"/>
      <c r="M72" s="170" t="s">
        <v>487</v>
      </c>
      <c r="O72" s="171">
        <v>58151.57</v>
      </c>
      <c r="P72" s="171"/>
      <c r="Q72" s="310"/>
      <c r="R72" s="310"/>
    </row>
    <row r="73" spans="1:18">
      <c r="A73" s="170" t="s">
        <v>488</v>
      </c>
      <c r="C73" s="171">
        <v>30449.94</v>
      </c>
      <c r="D73" s="171"/>
      <c r="E73" s="170" t="s">
        <v>489</v>
      </c>
      <c r="G73" s="171">
        <v>8916.5499999999993</v>
      </c>
      <c r="H73" s="171"/>
      <c r="I73" s="170" t="s">
        <v>490</v>
      </c>
      <c r="K73" s="171">
        <v>9731.36</v>
      </c>
      <c r="L73" s="171"/>
      <c r="M73" s="170" t="s">
        <v>491</v>
      </c>
      <c r="O73" s="171">
        <v>2213.84</v>
      </c>
      <c r="P73" s="171"/>
      <c r="Q73" s="310"/>
      <c r="R73" s="310"/>
    </row>
    <row r="74" spans="1:18">
      <c r="A74" s="170" t="s">
        <v>492</v>
      </c>
      <c r="C74" s="171">
        <v>2336.4899999999998</v>
      </c>
      <c r="D74" s="171"/>
      <c r="E74" s="170" t="s">
        <v>493</v>
      </c>
      <c r="G74" s="171">
        <v>118864.54</v>
      </c>
      <c r="H74" s="171"/>
      <c r="I74" s="170" t="s">
        <v>494</v>
      </c>
      <c r="K74" s="171">
        <v>15651.36</v>
      </c>
      <c r="L74" s="171"/>
      <c r="M74" s="170" t="s">
        <v>495</v>
      </c>
      <c r="O74" s="171">
        <v>44235.02</v>
      </c>
      <c r="P74" s="171"/>
      <c r="Q74" s="310"/>
      <c r="R74" s="310"/>
    </row>
    <row r="75" spans="1:18" ht="23.15" customHeight="1">
      <c r="A75" s="170" t="s">
        <v>496</v>
      </c>
      <c r="C75" s="171">
        <v>28463.96</v>
      </c>
      <c r="D75" s="171"/>
      <c r="E75" s="170" t="s">
        <v>497</v>
      </c>
      <c r="G75" s="171">
        <v>27581.919999999998</v>
      </c>
      <c r="H75" s="171"/>
      <c r="I75" s="170" t="s">
        <v>498</v>
      </c>
      <c r="K75" s="171">
        <v>31022.36</v>
      </c>
      <c r="L75" s="171"/>
      <c r="M75" s="170" t="s">
        <v>351</v>
      </c>
      <c r="O75" s="171">
        <v>19226.13</v>
      </c>
      <c r="P75" s="171"/>
      <c r="Q75" s="310"/>
      <c r="R75" s="310"/>
    </row>
    <row r="76" spans="1:18">
      <c r="A76" s="170" t="s">
        <v>499</v>
      </c>
      <c r="C76" s="171">
        <v>1734.83</v>
      </c>
      <c r="D76" s="171"/>
      <c r="E76" s="170" t="s">
        <v>500</v>
      </c>
      <c r="G76" s="171">
        <v>20277.59</v>
      </c>
      <c r="H76" s="171"/>
      <c r="I76" s="170" t="s">
        <v>501</v>
      </c>
      <c r="K76" s="171">
        <v>1623.85</v>
      </c>
      <c r="L76" s="171"/>
      <c r="M76" s="170" t="s">
        <v>502</v>
      </c>
      <c r="O76" s="171">
        <v>22865.200000000001</v>
      </c>
      <c r="P76" s="171"/>
      <c r="Q76" s="310"/>
      <c r="R76" s="310"/>
    </row>
    <row r="77" spans="1:18">
      <c r="A77" s="170" t="s">
        <v>503</v>
      </c>
      <c r="C77" s="171">
        <v>10473.18</v>
      </c>
      <c r="D77" s="171"/>
      <c r="E77" s="170" t="s">
        <v>504</v>
      </c>
      <c r="G77" s="171">
        <v>14611.66</v>
      </c>
      <c r="H77" s="171"/>
      <c r="I77" s="170" t="s">
        <v>505</v>
      </c>
      <c r="K77" s="171">
        <v>35829.65</v>
      </c>
      <c r="L77" s="171"/>
      <c r="M77" s="170" t="s">
        <v>506</v>
      </c>
      <c r="O77" s="171">
        <v>1553.75</v>
      </c>
      <c r="P77" s="171"/>
      <c r="Q77" s="310"/>
      <c r="R77" s="310"/>
    </row>
    <row r="78" spans="1:18">
      <c r="A78" s="170" t="s">
        <v>507</v>
      </c>
      <c r="C78" s="171">
        <v>2543.77</v>
      </c>
      <c r="D78" s="171"/>
      <c r="E78" s="170" t="s">
        <v>508</v>
      </c>
      <c r="G78" s="171">
        <v>21258.82</v>
      </c>
      <c r="H78" s="171"/>
      <c r="I78" s="170" t="s">
        <v>509</v>
      </c>
      <c r="K78" s="171">
        <v>896.61</v>
      </c>
      <c r="L78" s="171"/>
      <c r="M78" s="170" t="s">
        <v>510</v>
      </c>
      <c r="O78" s="171">
        <v>2529.2199999999998</v>
      </c>
      <c r="P78" s="171"/>
      <c r="Q78" s="310"/>
      <c r="R78" s="310"/>
    </row>
    <row r="79" spans="1:18">
      <c r="A79" s="170" t="s">
        <v>511</v>
      </c>
      <c r="C79" s="171">
        <v>63674.38</v>
      </c>
      <c r="D79" s="171"/>
      <c r="E79" s="170" t="s">
        <v>512</v>
      </c>
      <c r="G79" s="171">
        <v>5280.42</v>
      </c>
      <c r="H79" s="171"/>
      <c r="I79" s="170" t="s">
        <v>513</v>
      </c>
      <c r="K79" s="171">
        <v>1077.7</v>
      </c>
      <c r="L79" s="171"/>
      <c r="M79" s="170" t="s">
        <v>514</v>
      </c>
      <c r="O79" s="171">
        <v>35791.67</v>
      </c>
      <c r="P79" s="171"/>
      <c r="Q79" s="310"/>
      <c r="R79" s="310"/>
    </row>
    <row r="80" spans="1:18" ht="23.15" customHeight="1">
      <c r="A80" s="170" t="s">
        <v>707</v>
      </c>
      <c r="C80" s="171">
        <v>7243</v>
      </c>
      <c r="D80" s="171"/>
      <c r="E80" s="170" t="s">
        <v>516</v>
      </c>
      <c r="G80" s="171">
        <v>18344.099999999999</v>
      </c>
      <c r="H80" s="171"/>
      <c r="I80" s="170" t="s">
        <v>517</v>
      </c>
      <c r="K80" s="171">
        <v>32359.98</v>
      </c>
      <c r="L80" s="171"/>
      <c r="M80" s="170" t="s">
        <v>518</v>
      </c>
      <c r="O80" s="171">
        <v>745199.58</v>
      </c>
      <c r="P80" s="171"/>
      <c r="Q80" s="310"/>
      <c r="R80" s="310"/>
    </row>
    <row r="81" spans="1:19">
      <c r="A81" s="170" t="s">
        <v>515</v>
      </c>
      <c r="C81" s="171">
        <v>33294.589999999997</v>
      </c>
      <c r="D81" s="171"/>
      <c r="E81" s="170" t="s">
        <v>519</v>
      </c>
      <c r="G81" s="171">
        <v>24156.07</v>
      </c>
      <c r="H81" s="171"/>
      <c r="I81" s="170" t="s">
        <v>520</v>
      </c>
      <c r="K81" s="171">
        <v>68525.460000000006</v>
      </c>
      <c r="L81" s="171"/>
      <c r="M81" s="170" t="s">
        <v>521</v>
      </c>
      <c r="O81" s="171">
        <v>237238.39</v>
      </c>
      <c r="P81" s="171"/>
      <c r="Q81" s="310"/>
      <c r="R81" s="310"/>
    </row>
    <row r="82" spans="1:19">
      <c r="A82" s="170" t="s">
        <v>522</v>
      </c>
      <c r="C82" s="171">
        <v>12955.69</v>
      </c>
      <c r="D82" s="171"/>
      <c r="E82" s="170" t="s">
        <v>523</v>
      </c>
      <c r="G82" s="171">
        <v>13823.06</v>
      </c>
      <c r="H82" s="171"/>
      <c r="I82" s="170" t="s">
        <v>524</v>
      </c>
      <c r="K82" s="171">
        <v>2926.4</v>
      </c>
      <c r="L82" s="171"/>
      <c r="M82" s="170" t="s">
        <v>525</v>
      </c>
      <c r="O82" s="171">
        <v>1769.85</v>
      </c>
      <c r="P82" s="171"/>
      <c r="Q82" s="310"/>
      <c r="R82" s="310"/>
    </row>
    <row r="83" spans="1:19">
      <c r="A83" s="170" t="s">
        <v>369</v>
      </c>
      <c r="C83" s="171">
        <v>2000.58</v>
      </c>
      <c r="D83" s="171"/>
      <c r="E83" s="170" t="s">
        <v>318</v>
      </c>
      <c r="G83" s="171">
        <v>71384.72</v>
      </c>
      <c r="H83" s="171"/>
      <c r="I83" s="170" t="s">
        <v>405</v>
      </c>
      <c r="K83" s="171">
        <v>123315.5</v>
      </c>
      <c r="L83" s="171"/>
      <c r="M83" s="170" t="s">
        <v>526</v>
      </c>
      <c r="O83" s="171">
        <v>12389.06</v>
      </c>
      <c r="P83" s="171"/>
      <c r="Q83" s="310"/>
      <c r="R83" s="310"/>
    </row>
    <row r="84" spans="1:19">
      <c r="A84" s="170" t="s">
        <v>527</v>
      </c>
      <c r="C84" s="171">
        <v>1238.31</v>
      </c>
      <c r="D84" s="171"/>
      <c r="E84" s="170" t="s">
        <v>528</v>
      </c>
      <c r="G84" s="171">
        <v>11489.53</v>
      </c>
      <c r="H84" s="171"/>
      <c r="I84" s="170" t="s">
        <v>529</v>
      </c>
      <c r="K84" s="171">
        <v>1702.69</v>
      </c>
      <c r="L84" s="171"/>
      <c r="M84" s="170" t="s">
        <v>530</v>
      </c>
      <c r="O84" s="171">
        <v>376003.7</v>
      </c>
      <c r="P84" s="171"/>
      <c r="Q84" s="310"/>
      <c r="R84" s="310"/>
    </row>
    <row r="85" spans="1:19" ht="23.15" customHeight="1">
      <c r="A85" s="170" t="s">
        <v>531</v>
      </c>
      <c r="C85" s="171">
        <v>32903.19</v>
      </c>
      <c r="D85" s="171"/>
      <c r="E85" s="170" t="s">
        <v>532</v>
      </c>
      <c r="G85" s="171">
        <v>87795.44</v>
      </c>
      <c r="H85" s="171"/>
      <c r="I85" s="170" t="s">
        <v>533</v>
      </c>
      <c r="K85" s="171">
        <v>15017.59</v>
      </c>
      <c r="L85" s="171"/>
      <c r="M85" s="170" t="s">
        <v>534</v>
      </c>
      <c r="O85" s="171">
        <v>32876.949999999997</v>
      </c>
      <c r="P85" s="171"/>
      <c r="Q85" s="310"/>
      <c r="R85" s="310"/>
    </row>
    <row r="86" spans="1:19">
      <c r="A86" s="170" t="s">
        <v>535</v>
      </c>
      <c r="C86" s="171">
        <v>26361.15</v>
      </c>
      <c r="D86" s="171"/>
      <c r="E86" s="170" t="s">
        <v>536</v>
      </c>
      <c r="G86" s="171">
        <v>10347.64</v>
      </c>
      <c r="H86" s="171"/>
      <c r="I86" s="170" t="s">
        <v>537</v>
      </c>
      <c r="K86" s="171">
        <v>17219.71</v>
      </c>
      <c r="L86" s="171"/>
      <c r="M86" s="170" t="s">
        <v>359</v>
      </c>
      <c r="O86" s="171">
        <v>2561.35</v>
      </c>
      <c r="P86" s="171"/>
      <c r="Q86" s="310"/>
      <c r="R86" s="310"/>
    </row>
    <row r="87" spans="1:19">
      <c r="A87" s="170" t="s">
        <v>538</v>
      </c>
      <c r="C87" s="171">
        <v>1749.42</v>
      </c>
      <c r="D87" s="171"/>
      <c r="E87" s="170" t="s">
        <v>539</v>
      </c>
      <c r="G87" s="171">
        <v>1202701.97</v>
      </c>
      <c r="H87" s="171"/>
      <c r="I87" s="170" t="s">
        <v>540</v>
      </c>
      <c r="K87" s="171">
        <v>5443.94</v>
      </c>
      <c r="L87" s="171"/>
      <c r="M87" s="170" t="s">
        <v>541</v>
      </c>
      <c r="O87" s="171">
        <v>22298.58</v>
      </c>
      <c r="P87" s="171"/>
      <c r="Q87" s="310"/>
      <c r="R87" s="310"/>
    </row>
    <row r="88" spans="1:19">
      <c r="A88" s="170" t="s">
        <v>542</v>
      </c>
      <c r="C88" s="171">
        <v>36895.65</v>
      </c>
      <c r="D88" s="171"/>
      <c r="E88" s="170" t="s">
        <v>543</v>
      </c>
      <c r="G88" s="171">
        <v>12844.68</v>
      </c>
      <c r="H88" s="171"/>
      <c r="I88" s="170" t="s">
        <v>544</v>
      </c>
      <c r="K88" s="171">
        <v>32862.33</v>
      </c>
      <c r="L88" s="171"/>
      <c r="M88" s="170" t="s">
        <v>545</v>
      </c>
      <c r="O88" s="171">
        <v>15861.63</v>
      </c>
      <c r="P88" s="171"/>
      <c r="Q88" s="310"/>
      <c r="R88" s="310"/>
    </row>
    <row r="89" spans="1:19">
      <c r="A89" s="170" t="s">
        <v>546</v>
      </c>
      <c r="C89" s="171">
        <v>51924.91</v>
      </c>
      <c r="D89" s="171"/>
      <c r="E89" s="170" t="s">
        <v>547</v>
      </c>
      <c r="G89" s="171">
        <v>10832.39</v>
      </c>
      <c r="H89" s="171"/>
      <c r="I89" s="170" t="s">
        <v>548</v>
      </c>
      <c r="K89" s="171">
        <v>969.65</v>
      </c>
      <c r="L89" s="171"/>
      <c r="M89" s="170" t="s">
        <v>549</v>
      </c>
      <c r="O89" s="171">
        <v>60365.38</v>
      </c>
      <c r="P89" s="171"/>
      <c r="Q89" s="310"/>
      <c r="R89" s="310"/>
    </row>
    <row r="90" spans="1:19" ht="23.15" customHeight="1">
      <c r="A90" s="170" t="s">
        <v>550</v>
      </c>
      <c r="C90" s="171">
        <v>29781.13</v>
      </c>
      <c r="D90" s="171"/>
      <c r="E90" s="170" t="s">
        <v>551</v>
      </c>
      <c r="G90" s="171">
        <v>16594.72</v>
      </c>
      <c r="H90" s="171"/>
      <c r="I90" s="170" t="s">
        <v>552</v>
      </c>
      <c r="K90" s="171">
        <v>12587.69</v>
      </c>
      <c r="L90" s="171"/>
      <c r="M90" s="170" t="s">
        <v>553</v>
      </c>
      <c r="O90" s="171">
        <v>2307.2600000000002</v>
      </c>
      <c r="P90" s="171"/>
      <c r="Q90" s="310"/>
      <c r="R90" s="310"/>
    </row>
    <row r="91" spans="1:19">
      <c r="A91" s="170" t="s">
        <v>554</v>
      </c>
      <c r="C91" s="171">
        <v>118756.48</v>
      </c>
      <c r="D91" s="171"/>
      <c r="E91" s="170" t="s">
        <v>555</v>
      </c>
      <c r="G91" s="171">
        <v>23969.15</v>
      </c>
      <c r="H91" s="171"/>
      <c r="I91" s="170" t="s">
        <v>556</v>
      </c>
      <c r="K91" s="171">
        <v>2692.79</v>
      </c>
      <c r="L91" s="171"/>
      <c r="M91" s="170" t="s">
        <v>557</v>
      </c>
      <c r="O91" s="171">
        <v>46591.94</v>
      </c>
      <c r="P91" s="171"/>
      <c r="Q91" s="310"/>
      <c r="R91" s="310"/>
    </row>
    <row r="92" spans="1:19">
      <c r="A92" s="170" t="s">
        <v>558</v>
      </c>
      <c r="C92" s="171">
        <v>619118.28</v>
      </c>
      <c r="D92" s="171"/>
      <c r="E92" s="170" t="s">
        <v>559</v>
      </c>
      <c r="G92" s="171">
        <v>11223.77</v>
      </c>
      <c r="H92" s="171"/>
      <c r="I92" s="170" t="s">
        <v>560</v>
      </c>
      <c r="K92" s="171">
        <v>22908.959999999999</v>
      </c>
      <c r="L92" s="171"/>
      <c r="M92" s="518" t="s">
        <v>367</v>
      </c>
      <c r="N92" s="518"/>
      <c r="O92" s="171">
        <v>75210.69</v>
      </c>
      <c r="P92" s="171"/>
      <c r="Q92" s="310"/>
      <c r="R92" s="310"/>
      <c r="S92" s="518"/>
    </row>
    <row r="93" spans="1:19">
      <c r="A93" s="170" t="s">
        <v>561</v>
      </c>
      <c r="C93" s="171">
        <v>24524.03</v>
      </c>
      <c r="D93" s="171"/>
      <c r="E93" s="170" t="s">
        <v>562</v>
      </c>
      <c r="G93" s="171">
        <v>1728.98</v>
      </c>
      <c r="H93" s="171"/>
      <c r="I93" s="170" t="s">
        <v>427</v>
      </c>
      <c r="K93" s="171">
        <v>316821.15999999997</v>
      </c>
      <c r="L93" s="171"/>
      <c r="M93" s="170" t="s">
        <v>563</v>
      </c>
      <c r="O93" s="171">
        <v>65628.259999999995</v>
      </c>
      <c r="P93" s="171"/>
      <c r="Q93" s="310"/>
      <c r="R93" s="310"/>
    </row>
    <row r="94" spans="1:19">
      <c r="A94" s="170" t="s">
        <v>564</v>
      </c>
      <c r="C94" s="171">
        <v>1171.1400000000001</v>
      </c>
      <c r="D94" s="171"/>
      <c r="E94" s="170" t="s">
        <v>565</v>
      </c>
      <c r="G94" s="171">
        <v>1299.67</v>
      </c>
      <c r="H94" s="171"/>
      <c r="I94" s="170" t="s">
        <v>566</v>
      </c>
      <c r="K94" s="171">
        <v>112410.05</v>
      </c>
      <c r="L94" s="171"/>
      <c r="M94" s="170" t="s">
        <v>702</v>
      </c>
      <c r="O94" s="171">
        <v>297992.26</v>
      </c>
      <c r="Q94" s="310"/>
      <c r="R94" s="310"/>
    </row>
    <row r="95" spans="1:19" ht="23.15" customHeight="1">
      <c r="A95" s="170" t="s">
        <v>567</v>
      </c>
      <c r="C95" s="171">
        <v>4077.15</v>
      </c>
      <c r="D95" s="171"/>
      <c r="E95" s="170" t="s">
        <v>568</v>
      </c>
      <c r="G95" s="171">
        <v>3230.17</v>
      </c>
      <c r="H95" s="171"/>
      <c r="I95" s="170" t="s">
        <v>569</v>
      </c>
      <c r="K95" s="171">
        <v>19789.8</v>
      </c>
      <c r="L95" s="171"/>
      <c r="Q95" s="310"/>
      <c r="R95" s="310"/>
    </row>
    <row r="96" spans="1:19" ht="13">
      <c r="A96" s="170" t="s">
        <v>570</v>
      </c>
      <c r="C96" s="171">
        <v>65590.289999999994</v>
      </c>
      <c r="D96" s="171"/>
      <c r="E96" s="170" t="s">
        <v>571</v>
      </c>
      <c r="G96" s="171">
        <v>14004.15</v>
      </c>
      <c r="H96" s="171"/>
      <c r="I96" s="170" t="s">
        <v>572</v>
      </c>
      <c r="K96" s="171">
        <v>13195.19</v>
      </c>
      <c r="L96" s="171"/>
      <c r="M96" s="312" t="s">
        <v>573</v>
      </c>
      <c r="N96" s="312"/>
      <c r="O96" s="313">
        <f>SUM(C59:C99,G59:G99,K59:K99,O59:O94)</f>
        <v>11671134.790000005</v>
      </c>
      <c r="Q96" s="310"/>
      <c r="R96" s="310"/>
    </row>
    <row r="97" spans="1:19" ht="13">
      <c r="A97" s="170" t="s">
        <v>574</v>
      </c>
      <c r="C97" s="171">
        <v>50952.37</v>
      </c>
      <c r="D97" s="171"/>
      <c r="E97" s="170" t="s">
        <v>575</v>
      </c>
      <c r="G97" s="171">
        <v>21953.97</v>
      </c>
      <c r="H97" s="171"/>
      <c r="I97" s="170" t="s">
        <v>576</v>
      </c>
      <c r="K97" s="171">
        <v>5467.33</v>
      </c>
      <c r="L97" s="171"/>
      <c r="M97" s="312" t="s">
        <v>22</v>
      </c>
      <c r="N97" s="312"/>
      <c r="O97" s="313">
        <f>G51</f>
        <v>164776160.16999996</v>
      </c>
      <c r="Q97" s="316"/>
      <c r="R97" s="310"/>
    </row>
    <row r="98" spans="1:19" ht="13">
      <c r="A98" s="170" t="s">
        <v>577</v>
      </c>
      <c r="C98" s="171">
        <v>32216.880000000001</v>
      </c>
      <c r="D98" s="171"/>
      <c r="E98" s="170" t="s">
        <v>578</v>
      </c>
      <c r="G98" s="171">
        <v>1653.05</v>
      </c>
      <c r="H98" s="171"/>
      <c r="I98" s="170" t="s">
        <v>579</v>
      </c>
      <c r="K98" s="171">
        <v>13478.44</v>
      </c>
      <c r="L98" s="171"/>
      <c r="M98" s="312" t="s">
        <v>27</v>
      </c>
      <c r="N98" s="312"/>
      <c r="O98" s="313">
        <f>K44</f>
        <v>115610301.49000002</v>
      </c>
      <c r="Q98" s="310"/>
      <c r="R98" s="310"/>
    </row>
    <row r="99" spans="1:19">
      <c r="A99" s="170" t="s">
        <v>580</v>
      </c>
      <c r="C99" s="317">
        <v>141750.14000000001</v>
      </c>
      <c r="D99" s="171"/>
      <c r="E99" s="170" t="s">
        <v>581</v>
      </c>
      <c r="G99" s="171">
        <v>53183.67</v>
      </c>
      <c r="I99" s="170" t="s">
        <v>582</v>
      </c>
      <c r="K99" s="171">
        <v>136548.63</v>
      </c>
      <c r="L99" s="171"/>
      <c r="O99" s="171"/>
      <c r="Q99" s="310"/>
      <c r="R99" s="310"/>
    </row>
    <row r="100" spans="1:19" ht="13">
      <c r="C100" s="171"/>
      <c r="D100" s="171"/>
      <c r="G100" s="171"/>
      <c r="H100" s="171"/>
      <c r="K100" s="171"/>
      <c r="L100" s="171"/>
      <c r="M100" s="312" t="s">
        <v>28</v>
      </c>
      <c r="N100" s="312"/>
      <c r="O100" s="313">
        <f>SUM(O96:O98)</f>
        <v>292057596.44999999</v>
      </c>
      <c r="Q100" s="310"/>
      <c r="R100" s="310"/>
    </row>
    <row r="101" spans="1:19" ht="3" customHeight="1">
      <c r="C101" s="171"/>
      <c r="D101" s="171"/>
      <c r="G101" s="171"/>
      <c r="H101" s="171"/>
      <c r="K101" s="171"/>
      <c r="L101" s="171"/>
      <c r="M101" s="314"/>
      <c r="N101" s="314"/>
      <c r="O101" s="569"/>
      <c r="Q101" s="310"/>
      <c r="R101" s="310"/>
    </row>
    <row r="102" spans="1:19" s="1305" customFormat="1" ht="11.5">
      <c r="A102" s="1305" t="s">
        <v>1</v>
      </c>
      <c r="C102" s="1309"/>
      <c r="D102" s="1309"/>
      <c r="E102" s="1310"/>
      <c r="F102" s="1310"/>
      <c r="G102" s="1309"/>
      <c r="H102" s="1309"/>
      <c r="I102" s="1310"/>
      <c r="J102" s="1310"/>
      <c r="K102" s="1309"/>
      <c r="L102" s="1311"/>
      <c r="Q102" s="1306"/>
      <c r="R102" s="1306"/>
    </row>
    <row r="103" spans="1:19" s="1305" customFormat="1" ht="27" customHeight="1">
      <c r="A103" s="1633" t="s">
        <v>1375</v>
      </c>
      <c r="B103" s="1633"/>
      <c r="C103" s="1633"/>
      <c r="D103" s="1633"/>
      <c r="E103" s="1633"/>
      <c r="F103" s="1633"/>
      <c r="G103" s="1633"/>
      <c r="H103" s="1633"/>
      <c r="I103" s="1633"/>
      <c r="J103" s="1633"/>
      <c r="K103" s="1633"/>
      <c r="L103" s="1633"/>
      <c r="M103" s="1633"/>
      <c r="N103" s="1633"/>
      <c r="O103" s="1633"/>
      <c r="Q103" s="1306"/>
      <c r="R103" s="1306"/>
    </row>
    <row r="104" spans="1:19" s="1305" customFormat="1" ht="27" customHeight="1">
      <c r="A104" s="1632" t="s">
        <v>1259</v>
      </c>
      <c r="B104" s="1632"/>
      <c r="C104" s="1632"/>
      <c r="D104" s="1632"/>
      <c r="E104" s="1632"/>
      <c r="F104" s="1632"/>
      <c r="G104" s="1632"/>
      <c r="H104" s="1632"/>
      <c r="I104" s="1632"/>
      <c r="J104" s="1632"/>
      <c r="K104" s="1632"/>
      <c r="L104" s="1632"/>
      <c r="M104" s="1632"/>
      <c r="N104" s="1632"/>
      <c r="O104" s="1632"/>
      <c r="Q104" s="1306"/>
      <c r="R104" s="1306"/>
    </row>
    <row r="105" spans="1:19" s="1305" customFormat="1" ht="15" customHeight="1">
      <c r="A105" s="1307" t="s">
        <v>1312</v>
      </c>
      <c r="B105" s="1307"/>
      <c r="Q105" s="1308"/>
    </row>
    <row r="106" spans="1:19" s="570" customFormat="1" ht="13">
      <c r="A106" s="787" t="s">
        <v>954</v>
      </c>
      <c r="B106" s="787"/>
      <c r="Q106" s="571"/>
    </row>
    <row r="107" spans="1:19" s="570" customFormat="1" ht="13">
      <c r="A107" s="170"/>
      <c r="B107" s="170"/>
      <c r="C107" s="170"/>
      <c r="D107" s="170"/>
      <c r="E107" s="170"/>
      <c r="F107" s="170"/>
      <c r="G107" s="170"/>
      <c r="H107" s="170"/>
      <c r="I107" s="170"/>
      <c r="J107" s="170"/>
      <c r="K107" s="170"/>
      <c r="L107" s="170"/>
      <c r="M107" s="170"/>
      <c r="N107" s="170"/>
      <c r="O107" s="170"/>
      <c r="P107" s="170"/>
      <c r="Q107" s="170"/>
      <c r="R107" s="170"/>
      <c r="S107" s="170"/>
    </row>
  </sheetData>
  <customSheetViews>
    <customSheetView guid="{E6BBE5A7-0B25-4EE8-BA45-5EA5DBAF3AD4}" showPageBreaks="1" printArea="1" topLeftCell="D1">
      <selection activeCell="E31" sqref="E31"/>
      <rowBreaks count="1" manualBreakCount="1">
        <brk id="52" max="16383" man="1"/>
      </rowBreaks>
      <pageMargins left="0.5" right="0.5" top="0.5" bottom="0.25" header="0.5" footer="0.5"/>
      <printOptions horizontalCentered="1"/>
      <pageSetup scale="63" orientation="landscape" r:id="rId1"/>
      <headerFooter alignWithMargins="0"/>
    </customSheetView>
  </customSheetViews>
  <mergeCells count="2">
    <mergeCell ref="A104:O104"/>
    <mergeCell ref="A103:O103"/>
  </mergeCells>
  <hyperlinks>
    <hyperlink ref="R1" location="TOC!A1" display="Back" xr:uid="{00000000-0004-0000-1A00-000000000000}"/>
  </hyperlinks>
  <pageMargins left="0.65" right="0.25" top="0.3" bottom="0.25" header="0.25" footer="0.25"/>
  <pageSetup scale="75" fitToHeight="2" orientation="landscape" r:id="rId2"/>
  <headerFooter scaleWithDoc="0">
    <oddHeader>&amp;R&amp;P</oddHeader>
  </headerFooter>
  <rowBreaks count="1" manualBreakCount="1">
    <brk id="54" max="11"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44"/>
  <sheetViews>
    <sheetView workbookViewId="0"/>
  </sheetViews>
  <sheetFormatPr defaultColWidth="9.1796875" defaultRowHeight="12.5"/>
  <cols>
    <col min="1" max="1" width="23.1796875" style="20" customWidth="1"/>
    <col min="2" max="2" width="10.6328125" style="20" customWidth="1"/>
    <col min="3" max="3" width="16.6328125" style="20" customWidth="1"/>
    <col min="4" max="4" width="12.6328125" style="20" customWidth="1"/>
    <col min="5" max="5" width="10.6328125" style="20" customWidth="1"/>
    <col min="6" max="6" width="1.7265625" style="20" customWidth="1"/>
    <col min="7" max="7" width="10.6328125" style="20" customWidth="1"/>
    <col min="8" max="8" width="16.6328125" style="20" customWidth="1"/>
    <col min="9" max="9" width="12.6328125" style="20" customWidth="1"/>
    <col min="10" max="10" width="10.6328125" style="20" customWidth="1"/>
    <col min="11" max="11" width="2.6328125" style="20" customWidth="1"/>
    <col min="12" max="16384" width="9.1796875" style="20"/>
  </cols>
  <sheetData>
    <row r="1" spans="1:12" ht="18">
      <c r="A1" s="356" t="s">
        <v>717</v>
      </c>
      <c r="B1" s="18"/>
      <c r="C1" s="18"/>
      <c r="D1" s="18"/>
      <c r="E1" s="19"/>
      <c r="F1" s="19"/>
      <c r="L1" s="855" t="s">
        <v>984</v>
      </c>
    </row>
    <row r="2" spans="1:12" ht="15.5">
      <c r="A2" s="17" t="s">
        <v>1026</v>
      </c>
      <c r="B2" s="18"/>
      <c r="C2" s="18"/>
      <c r="D2" s="18"/>
      <c r="E2" s="19"/>
      <c r="F2" s="19"/>
    </row>
    <row r="3" spans="1:12">
      <c r="A3" s="172" t="s">
        <v>1370</v>
      </c>
      <c r="B3" s="231"/>
      <c r="C3" s="231"/>
      <c r="D3" s="231"/>
      <c r="E3" s="232"/>
      <c r="F3" s="232"/>
    </row>
    <row r="4" spans="1:12" ht="9" customHeight="1" thickBot="1">
      <c r="A4" s="237"/>
      <c r="B4" s="231"/>
      <c r="C4" s="231"/>
      <c r="D4" s="231"/>
      <c r="E4" s="232"/>
      <c r="F4" s="232"/>
    </row>
    <row r="5" spans="1:12" ht="13.9" customHeight="1">
      <c r="A5" s="838"/>
      <c r="B5" s="960" t="s">
        <v>1027</v>
      </c>
      <c r="C5" s="960"/>
      <c r="D5" s="960"/>
      <c r="E5" s="986"/>
      <c r="F5" s="987"/>
      <c r="G5" s="988" t="s">
        <v>1028</v>
      </c>
      <c r="H5" s="960"/>
      <c r="I5" s="960"/>
      <c r="J5" s="961"/>
    </row>
    <row r="6" spans="1:12" ht="6" customHeight="1">
      <c r="A6" s="839"/>
      <c r="B6" s="962"/>
      <c r="C6" s="962"/>
      <c r="D6" s="962"/>
      <c r="E6" s="989"/>
      <c r="F6" s="990"/>
      <c r="G6" s="991"/>
      <c r="H6" s="962"/>
      <c r="I6" s="962"/>
      <c r="J6" s="963"/>
    </row>
    <row r="7" spans="1:12" ht="26">
      <c r="A7" s="964" t="s">
        <v>1029</v>
      </c>
      <c r="B7" s="965" t="s">
        <v>231</v>
      </c>
      <c r="C7" s="966" t="s">
        <v>1030</v>
      </c>
      <c r="D7" s="966" t="s">
        <v>1031</v>
      </c>
      <c r="E7" s="992" t="s">
        <v>1032</v>
      </c>
      <c r="F7" s="995"/>
      <c r="G7" s="993" t="s">
        <v>231</v>
      </c>
      <c r="H7" s="966" t="s">
        <v>1030</v>
      </c>
      <c r="I7" s="966" t="s">
        <v>1031</v>
      </c>
      <c r="J7" s="967" t="s">
        <v>1032</v>
      </c>
    </row>
    <row r="8" spans="1:12" ht="21" customHeight="1">
      <c r="A8" s="840" t="s">
        <v>718</v>
      </c>
      <c r="B8" s="235">
        <v>486</v>
      </c>
      <c r="C8" s="236">
        <v>987094</v>
      </c>
      <c r="D8" s="236">
        <v>2142294</v>
      </c>
      <c r="E8" s="994">
        <f t="shared" ref="E8:E15" si="0">D8/$D$18</f>
        <v>3.4210952761283536E-3</v>
      </c>
      <c r="F8" s="995"/>
      <c r="G8" s="996">
        <v>2073</v>
      </c>
      <c r="H8" s="236">
        <v>1252548.6299999999</v>
      </c>
      <c r="I8" s="236">
        <v>28182.35</v>
      </c>
      <c r="J8" s="567">
        <f>I8/$I$18</f>
        <v>1.0655029408892138E-3</v>
      </c>
    </row>
    <row r="9" spans="1:12" s="971" customFormat="1" ht="14" customHeight="1">
      <c r="A9" s="1313" t="s">
        <v>34</v>
      </c>
      <c r="B9" s="1314">
        <v>39</v>
      </c>
      <c r="C9" s="1315">
        <v>1353292</v>
      </c>
      <c r="D9" s="1314">
        <v>30750</v>
      </c>
      <c r="E9" s="1002">
        <f t="shared" si="0"/>
        <v>4.9105622169948135E-5</v>
      </c>
      <c r="F9" s="1316"/>
      <c r="G9" s="1317">
        <v>70</v>
      </c>
      <c r="H9" s="1315">
        <v>2492399.36</v>
      </c>
      <c r="I9" s="1314">
        <v>56078.879999999997</v>
      </c>
      <c r="J9" s="976">
        <f t="shared" ref="J9:J15" si="1">I9/$I$18</f>
        <v>2.1201997548740015E-3</v>
      </c>
    </row>
    <row r="10" spans="1:12" s="971" customFormat="1" ht="14" customHeight="1">
      <c r="A10" s="1313" t="s">
        <v>35</v>
      </c>
      <c r="B10" s="1314">
        <v>41</v>
      </c>
      <c r="C10" s="1315">
        <v>3069754</v>
      </c>
      <c r="D10" s="1314">
        <v>67929</v>
      </c>
      <c r="E10" s="1002">
        <f t="shared" si="0"/>
        <v>1.0847791246772055E-4</v>
      </c>
      <c r="F10" s="1316"/>
      <c r="G10" s="1317">
        <v>44</v>
      </c>
      <c r="H10" s="1315">
        <v>3186128.85</v>
      </c>
      <c r="I10" s="1314">
        <v>71687.63</v>
      </c>
      <c r="J10" s="976">
        <f t="shared" si="1"/>
        <v>2.7103268744578732E-3</v>
      </c>
    </row>
    <row r="11" spans="1:12" s="971" customFormat="1" ht="14" customHeight="1">
      <c r="A11" s="1313" t="s">
        <v>36</v>
      </c>
      <c r="B11" s="1314">
        <v>146</v>
      </c>
      <c r="C11" s="1315">
        <v>39184573</v>
      </c>
      <c r="D11" s="1314">
        <v>874997</v>
      </c>
      <c r="E11" s="1002">
        <f t="shared" si="0"/>
        <v>1.3973096611979872E-3</v>
      </c>
      <c r="F11" s="1316"/>
      <c r="G11" s="1317">
        <v>156</v>
      </c>
      <c r="H11" s="1315">
        <v>37953282.109999999</v>
      </c>
      <c r="I11" s="1314">
        <v>853947.59</v>
      </c>
      <c r="J11" s="976">
        <f t="shared" si="1"/>
        <v>3.2285585428832461E-2</v>
      </c>
    </row>
    <row r="12" spans="1:12" s="971" customFormat="1" ht="14" customHeight="1">
      <c r="A12" s="1313" t="s">
        <v>37</v>
      </c>
      <c r="B12" s="1314">
        <v>92</v>
      </c>
      <c r="C12" s="1315">
        <v>67453283</v>
      </c>
      <c r="D12" s="1314">
        <v>1517702</v>
      </c>
      <c r="E12" s="1002">
        <f t="shared" si="0"/>
        <v>2.4236650724739715E-3</v>
      </c>
      <c r="F12" s="1316"/>
      <c r="G12" s="1317">
        <v>57</v>
      </c>
      <c r="H12" s="1315">
        <v>40340144.719999999</v>
      </c>
      <c r="I12" s="1314">
        <v>907653.68</v>
      </c>
      <c r="J12" s="976">
        <f t="shared" si="1"/>
        <v>3.4316076031591314E-2</v>
      </c>
    </row>
    <row r="13" spans="1:12" s="971" customFormat="1" ht="14" customHeight="1">
      <c r="A13" s="1313" t="s">
        <v>38</v>
      </c>
      <c r="B13" s="1314">
        <v>105</v>
      </c>
      <c r="C13" s="1315">
        <v>150613609</v>
      </c>
      <c r="D13" s="1314">
        <v>3384280</v>
      </c>
      <c r="E13" s="1002">
        <f t="shared" si="0"/>
        <v>5.4044609755223441E-3</v>
      </c>
      <c r="F13" s="1316"/>
      <c r="G13" s="1317">
        <v>43</v>
      </c>
      <c r="H13" s="1315">
        <v>58980316.380000003</v>
      </c>
      <c r="I13" s="1314">
        <v>1327056.31</v>
      </c>
      <c r="J13" s="976">
        <f t="shared" si="1"/>
        <v>5.0172622262891077E-2</v>
      </c>
    </row>
    <row r="14" spans="1:12" s="971" customFormat="1" ht="14" customHeight="1">
      <c r="A14" s="1313" t="s">
        <v>39</v>
      </c>
      <c r="B14" s="1314">
        <v>282</v>
      </c>
      <c r="C14" s="1315">
        <v>1471804836</v>
      </c>
      <c r="D14" s="1314">
        <v>32952025</v>
      </c>
      <c r="E14" s="1002">
        <f t="shared" si="0"/>
        <v>5.262210371982716E-2</v>
      </c>
      <c r="F14" s="1316"/>
      <c r="G14" s="1317">
        <v>39</v>
      </c>
      <c r="H14" s="1315">
        <v>191364609.81</v>
      </c>
      <c r="I14" s="1314">
        <v>4305704.3099999996</v>
      </c>
      <c r="J14" s="976">
        <f t="shared" si="1"/>
        <v>0.1627877236960141</v>
      </c>
    </row>
    <row r="15" spans="1:12" ht="21" customHeight="1">
      <c r="A15" s="972" t="s">
        <v>40</v>
      </c>
      <c r="B15" s="973">
        <v>358</v>
      </c>
      <c r="C15" s="974">
        <v>28162549549</v>
      </c>
      <c r="D15" s="973">
        <v>630661448</v>
      </c>
      <c r="E15" s="997">
        <f t="shared" si="0"/>
        <v>1.0071226921183867</v>
      </c>
      <c r="F15" s="998"/>
      <c r="G15" s="999">
        <v>24</v>
      </c>
      <c r="H15" s="974">
        <v>840965956.63999999</v>
      </c>
      <c r="I15" s="973">
        <v>18934759.289999999</v>
      </c>
      <c r="J15" s="975">
        <f t="shared" si="1"/>
        <v>0.71587506749878427</v>
      </c>
    </row>
    <row r="16" spans="1:12" s="971" customFormat="1" ht="14" customHeight="1">
      <c r="A16" s="977" t="s">
        <v>41</v>
      </c>
      <c r="B16" s="978">
        <f>SUM(B8:B15)</f>
        <v>1549</v>
      </c>
      <c r="C16" s="979">
        <f>SUM(C8:C15)</f>
        <v>29897015990</v>
      </c>
      <c r="D16" s="979">
        <f>SUM(D8:D15)</f>
        <v>671631425</v>
      </c>
      <c r="E16" s="1000">
        <f>SUM(E8:E15)</f>
        <v>1.0725489103581742</v>
      </c>
      <c r="F16" s="1316"/>
      <c r="G16" s="1001">
        <f>SUM(G8:G15)</f>
        <v>2506</v>
      </c>
      <c r="H16" s="979">
        <f>SUM(H8:H15)</f>
        <v>1176535386.5</v>
      </c>
      <c r="I16" s="979">
        <f>SUM(I8:I15)</f>
        <v>26485070.039999999</v>
      </c>
      <c r="J16" s="981">
        <f>SUM(J8:J15)</f>
        <v>1.0013331044883342</v>
      </c>
    </row>
    <row r="17" spans="1:11" s="971" customFormat="1" ht="25" customHeight="1">
      <c r="A17" s="968" t="s">
        <v>42</v>
      </c>
      <c r="B17" s="969">
        <v>-21</v>
      </c>
      <c r="C17" s="970">
        <v>-1963822064.9300001</v>
      </c>
      <c r="D17" s="970">
        <v>-45430215.419999696</v>
      </c>
      <c r="E17" s="1002">
        <f>D17/$D$18</f>
        <v>-7.2548910358174207E-2</v>
      </c>
      <c r="F17" s="998"/>
      <c r="G17" s="1003">
        <v>-10</v>
      </c>
      <c r="H17" s="970">
        <v>-988209.92000031495</v>
      </c>
      <c r="I17" s="970">
        <v>-35260.3599999957</v>
      </c>
      <c r="J17" s="976">
        <f>I17/$I$18</f>
        <v>-1.3331044883342878E-3</v>
      </c>
    </row>
    <row r="18" spans="1:11" s="971" customFormat="1" ht="14" customHeight="1" thickBot="1">
      <c r="A18" s="982" t="s">
        <v>720</v>
      </c>
      <c r="B18" s="983">
        <f>SUM(B16,B17)</f>
        <v>1528</v>
      </c>
      <c r="C18" s="984">
        <f>SUM(C16,C17)</f>
        <v>27933193925.07</v>
      </c>
      <c r="D18" s="984">
        <f>SUM(D16,D17)</f>
        <v>626201209.58000028</v>
      </c>
      <c r="E18" s="1004">
        <f>SUM(E16,E17)</f>
        <v>1</v>
      </c>
      <c r="F18" s="1006"/>
      <c r="G18" s="1005">
        <f>SUM(G16,G17)</f>
        <v>2496</v>
      </c>
      <c r="H18" s="984">
        <f>SUM(H16,H17)</f>
        <v>1175547176.5799997</v>
      </c>
      <c r="I18" s="984">
        <f>SUM(I16,I17)</f>
        <v>26449809.680000003</v>
      </c>
      <c r="J18" s="985">
        <f>SUM(J16,J17)</f>
        <v>1</v>
      </c>
    </row>
    <row r="19" spans="1:11" ht="14" customHeight="1" thickTop="1">
      <c r="A19" s="218"/>
      <c r="B19" s="31"/>
      <c r="C19" s="31"/>
      <c r="D19" s="31"/>
      <c r="E19" s="32"/>
      <c r="F19" s="32"/>
    </row>
    <row r="20" spans="1:11" ht="14" customHeight="1">
      <c r="A20" s="218"/>
      <c r="B20" s="31"/>
      <c r="C20" s="31"/>
      <c r="D20" s="31"/>
      <c r="E20" s="32"/>
      <c r="F20" s="32"/>
    </row>
    <row r="21" spans="1:11" ht="15.5">
      <c r="A21" s="638" t="s">
        <v>1329</v>
      </c>
      <c r="B21" s="31"/>
      <c r="C21" s="31"/>
      <c r="D21" s="31"/>
      <c r="E21" s="563"/>
    </row>
    <row r="22" spans="1:11" ht="5" customHeight="1" thickBot="1">
      <c r="A22" s="639"/>
      <c r="B22" s="230"/>
      <c r="C22" s="230"/>
      <c r="D22" s="230"/>
      <c r="E22" s="566"/>
    </row>
    <row r="23" spans="1:11" ht="14" customHeight="1">
      <c r="A23" s="841" t="s">
        <v>727</v>
      </c>
      <c r="B23" s="640"/>
      <c r="C23" s="640" t="s">
        <v>231</v>
      </c>
      <c r="D23" s="641" t="s">
        <v>726</v>
      </c>
      <c r="E23" s="564"/>
    </row>
    <row r="24" spans="1:11" ht="14" customHeight="1">
      <c r="A24" s="387" t="s">
        <v>1288</v>
      </c>
      <c r="B24" s="230"/>
      <c r="C24" s="1526">
        <v>659</v>
      </c>
      <c r="D24" s="1139">
        <v>15767335.459999997</v>
      </c>
      <c r="E24" s="565"/>
      <c r="F24" s="32"/>
    </row>
    <row r="25" spans="1:11" ht="14" customHeight="1">
      <c r="A25" s="387" t="s">
        <v>233</v>
      </c>
      <c r="B25" s="230"/>
      <c r="C25" s="1526">
        <v>22</v>
      </c>
      <c r="D25" s="391">
        <v>32467841.5</v>
      </c>
      <c r="E25" s="563"/>
      <c r="F25" s="32"/>
    </row>
    <row r="26" spans="1:11" ht="14" customHeight="1">
      <c r="A26" s="387" t="s">
        <v>1291</v>
      </c>
      <c r="B26" s="230"/>
      <c r="C26" s="1526">
        <v>15</v>
      </c>
      <c r="D26" s="391">
        <v>5792149</v>
      </c>
      <c r="E26" s="563"/>
      <c r="F26" s="32"/>
    </row>
    <row r="27" spans="1:11" ht="10" customHeight="1">
      <c r="A27" s="390"/>
      <c r="B27" s="230"/>
      <c r="C27" s="362"/>
      <c r="D27" s="391"/>
      <c r="E27" s="363"/>
      <c r="F27" s="32"/>
    </row>
    <row r="28" spans="1:11" s="1312" customFormat="1" ht="11" customHeight="1">
      <c r="A28" s="1360" t="s">
        <v>1</v>
      </c>
      <c r="B28" s="1361"/>
      <c r="C28" s="1362"/>
      <c r="D28" s="1362"/>
      <c r="E28" s="1363"/>
      <c r="F28" s="1363"/>
      <c r="G28" s="1364"/>
      <c r="H28" s="1364"/>
      <c r="I28" s="1364"/>
      <c r="J28" s="1364"/>
      <c r="K28" s="1364"/>
    </row>
    <row r="29" spans="1:11" s="1312" customFormat="1" ht="11" customHeight="1">
      <c r="A29" s="1635" t="s">
        <v>1372</v>
      </c>
      <c r="B29" s="1630"/>
      <c r="C29" s="1630"/>
      <c r="D29" s="1630"/>
      <c r="E29" s="1630"/>
      <c r="F29" s="1630"/>
      <c r="G29" s="1630"/>
      <c r="H29" s="1630"/>
      <c r="I29" s="1630"/>
      <c r="J29" s="1630"/>
      <c r="K29" s="1636"/>
    </row>
    <row r="30" spans="1:11" s="1312" customFormat="1" ht="11" customHeight="1">
      <c r="A30" s="1637" t="s">
        <v>1280</v>
      </c>
      <c r="B30" s="1629"/>
      <c r="C30" s="1629"/>
      <c r="D30" s="1629"/>
      <c r="E30" s="1629"/>
      <c r="F30" s="1629"/>
      <c r="G30" s="1629"/>
      <c r="H30" s="1629"/>
      <c r="I30" s="1629"/>
      <c r="J30" s="1629"/>
      <c r="K30" s="1638"/>
    </row>
    <row r="31" spans="1:11" s="1312" customFormat="1" ht="26" customHeight="1">
      <c r="A31" s="1637" t="s">
        <v>1260</v>
      </c>
      <c r="B31" s="1629"/>
      <c r="C31" s="1629"/>
      <c r="D31" s="1629"/>
      <c r="E31" s="1629"/>
      <c r="F31" s="1629"/>
      <c r="G31" s="1629"/>
      <c r="H31" s="1629"/>
      <c r="I31" s="1629"/>
      <c r="J31" s="1629"/>
      <c r="K31" s="1638"/>
    </row>
    <row r="32" spans="1:11" s="1312" customFormat="1" ht="36" customHeight="1">
      <c r="A32" s="1637" t="s">
        <v>1255</v>
      </c>
      <c r="B32" s="1629"/>
      <c r="C32" s="1629"/>
      <c r="D32" s="1629"/>
      <c r="E32" s="1629"/>
      <c r="F32" s="1629"/>
      <c r="G32" s="1629"/>
      <c r="H32" s="1629"/>
      <c r="I32" s="1629"/>
      <c r="J32" s="1629"/>
      <c r="K32" s="1638"/>
    </row>
    <row r="33" spans="1:11" s="1312" customFormat="1" ht="11" customHeight="1">
      <c r="A33" s="1365" t="s">
        <v>722</v>
      </c>
      <c r="B33" s="1366"/>
      <c r="C33" s="1366"/>
      <c r="D33" s="1366"/>
      <c r="E33" s="1367"/>
      <c r="F33" s="1367"/>
      <c r="G33" s="1366"/>
      <c r="H33" s="1366"/>
      <c r="I33" s="1367"/>
      <c r="J33" s="1368"/>
      <c r="K33" s="1364"/>
    </row>
    <row r="34" spans="1:11" s="1312" customFormat="1" ht="11" customHeight="1">
      <c r="A34" s="1369" t="s">
        <v>723</v>
      </c>
      <c r="B34" s="1366"/>
      <c r="C34" s="1366"/>
      <c r="D34" s="1366"/>
      <c r="E34" s="1367"/>
      <c r="F34" s="1367"/>
      <c r="G34" s="1366"/>
      <c r="H34" s="1366"/>
      <c r="I34" s="1367"/>
      <c r="J34" s="1368"/>
      <c r="K34" s="1364"/>
    </row>
    <row r="35" spans="1:11" s="1312" customFormat="1" ht="11" customHeight="1">
      <c r="A35" s="1369" t="s">
        <v>724</v>
      </c>
      <c r="B35" s="1366"/>
      <c r="C35" s="1366"/>
      <c r="D35" s="1366"/>
      <c r="E35" s="1367"/>
      <c r="F35" s="1367"/>
      <c r="G35" s="1366"/>
      <c r="H35" s="1366"/>
      <c r="I35" s="1367"/>
      <c r="J35" s="1366"/>
      <c r="K35" s="1364"/>
    </row>
    <row r="36" spans="1:11" s="1312" customFormat="1" ht="11" customHeight="1">
      <c r="A36" s="1589" t="s">
        <v>1371</v>
      </c>
      <c r="B36" s="1287"/>
      <c r="C36" s="1287"/>
      <c r="D36" s="1287"/>
      <c r="E36" s="1287"/>
      <c r="F36" s="1287"/>
      <c r="G36" s="1287"/>
      <c r="H36" s="1287"/>
      <c r="I36" s="1287"/>
      <c r="J36" s="1287"/>
      <c r="K36" s="1525"/>
    </row>
    <row r="37" spans="1:11" s="568" customFormat="1" ht="11" customHeight="1">
      <c r="A37" s="788" t="s">
        <v>990</v>
      </c>
      <c r="B37" s="706"/>
      <c r="C37" s="706"/>
      <c r="D37" s="706"/>
      <c r="E37" s="705"/>
      <c r="F37" s="705"/>
      <c r="G37" s="705"/>
      <c r="H37" s="705"/>
      <c r="I37" s="705"/>
      <c r="J37" s="705"/>
      <c r="K37" s="705"/>
    </row>
    <row r="38" spans="1:11" s="568" customFormat="1" ht="13">
      <c r="A38" s="172"/>
      <c r="B38" s="231"/>
      <c r="C38" s="231"/>
      <c r="D38" s="231"/>
      <c r="E38" s="232"/>
      <c r="F38" s="232"/>
      <c r="G38" s="20"/>
      <c r="H38" s="20"/>
      <c r="I38" s="20"/>
      <c r="J38" s="20"/>
      <c r="K38" s="20"/>
    </row>
    <row r="39" spans="1:11" s="705" customFormat="1" ht="12.75" customHeight="1">
      <c r="A39" s="1634"/>
      <c r="B39" s="1634"/>
      <c r="C39" s="1634"/>
      <c r="D39" s="1634"/>
      <c r="E39" s="1634"/>
      <c r="F39" s="1634"/>
      <c r="G39" s="20"/>
      <c r="H39" s="20"/>
      <c r="I39" s="20"/>
      <c r="J39" s="20"/>
      <c r="K39" s="20"/>
    </row>
    <row r="40" spans="1:11">
      <c r="A40" s="1634"/>
      <c r="B40" s="1634"/>
      <c r="C40" s="1634"/>
      <c r="D40" s="1634"/>
      <c r="E40" s="1634"/>
      <c r="F40" s="1634"/>
    </row>
    <row r="43" spans="1:11" s="1582" customFormat="1" ht="11" customHeight="1">
      <c r="A43" s="1578"/>
      <c r="B43" s="1579"/>
      <c r="C43" s="1580"/>
      <c r="D43" s="1580"/>
      <c r="E43" s="1581"/>
      <c r="F43" s="1581"/>
    </row>
    <row r="44" spans="1:11" s="1582" customFormat="1">
      <c r="A44" s="1583"/>
      <c r="B44" s="1584"/>
      <c r="C44" s="1584"/>
      <c r="D44" s="1584"/>
      <c r="E44" s="1584"/>
      <c r="F44" s="1584"/>
      <c r="G44" s="1584"/>
      <c r="H44" s="1584"/>
      <c r="I44" s="1584"/>
      <c r="J44" s="1584"/>
      <c r="K44" s="361"/>
    </row>
  </sheetData>
  <mergeCells count="6">
    <mergeCell ref="A39:F39"/>
    <mergeCell ref="A40:F40"/>
    <mergeCell ref="A29:K29"/>
    <mergeCell ref="A31:K31"/>
    <mergeCell ref="A32:K32"/>
    <mergeCell ref="A30:K30"/>
  </mergeCells>
  <hyperlinks>
    <hyperlink ref="L1" location="TOC!A1" display="Back" xr:uid="{00000000-0004-0000-1B00-000000000000}"/>
  </hyperlinks>
  <pageMargins left="0.5" right="0.25" top="0.5" bottom="0.25" header="0.25" footer="0"/>
  <pageSetup orientation="landscape" r:id="rId1"/>
  <headerFooter scaleWithDoc="0">
    <oddHeader>&amp;R&amp;P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I54"/>
  <sheetViews>
    <sheetView workbookViewId="0">
      <selection activeCell="B1" sqref="B1"/>
    </sheetView>
  </sheetViews>
  <sheetFormatPr defaultColWidth="8.7265625" defaultRowHeight="12.5"/>
  <cols>
    <col min="1" max="1" width="1.453125" style="647" customWidth="1"/>
    <col min="2" max="2" width="8.7265625" style="647" customWidth="1"/>
    <col min="3" max="3" width="16.7265625" style="647" customWidth="1"/>
    <col min="4" max="4" width="17.7265625" style="647" customWidth="1"/>
    <col min="5" max="5" width="14.7265625" style="647" customWidth="1"/>
    <col min="6" max="6" width="13.7265625" style="647" customWidth="1"/>
    <col min="7" max="7" width="14.7265625" style="647" customWidth="1"/>
    <col min="8" max="8" width="16.7265625" style="647" customWidth="1"/>
    <col min="9" max="9" width="5.26953125" style="647" bestFit="1" customWidth="1"/>
    <col min="10" max="16384" width="8.7265625" style="647"/>
  </cols>
  <sheetData>
    <row r="1" spans="2:9" ht="18">
      <c r="B1" s="824" t="s">
        <v>668</v>
      </c>
      <c r="I1" s="855" t="s">
        <v>984</v>
      </c>
    </row>
    <row r="2" spans="2:9" ht="15.5">
      <c r="B2" s="1639" t="s">
        <v>852</v>
      </c>
      <c r="C2" s="1639"/>
      <c r="D2" s="1639"/>
      <c r="E2" s="1639"/>
      <c r="F2" s="1639"/>
      <c r="G2" s="1639"/>
      <c r="H2" s="1639"/>
    </row>
    <row r="3" spans="2:9" ht="6" customHeight="1" thickBot="1">
      <c r="B3" s="825"/>
      <c r="C3" s="825"/>
      <c r="D3" s="825"/>
      <c r="E3" s="825"/>
      <c r="F3" s="825"/>
      <c r="G3" s="825"/>
      <c r="H3" s="825"/>
    </row>
    <row r="4" spans="2:9" s="648" customFormat="1" ht="26.15" customHeight="1">
      <c r="B4" s="826" t="s">
        <v>621</v>
      </c>
      <c r="C4" s="826" t="s">
        <v>945</v>
      </c>
      <c r="D4" s="826" t="s">
        <v>944</v>
      </c>
      <c r="E4" s="826" t="s">
        <v>943</v>
      </c>
      <c r="F4" s="826" t="s">
        <v>942</v>
      </c>
      <c r="G4" s="826" t="s">
        <v>842</v>
      </c>
      <c r="H4" s="826" t="s">
        <v>941</v>
      </c>
    </row>
    <row r="5" spans="2:9" ht="15" customHeight="1"/>
    <row r="6" spans="2:9" ht="13">
      <c r="B6" s="821" t="s">
        <v>863</v>
      </c>
      <c r="C6" s="822"/>
      <c r="D6" s="822"/>
      <c r="E6" s="822"/>
      <c r="F6" s="822"/>
      <c r="G6" s="822"/>
      <c r="H6" s="822"/>
    </row>
    <row r="7" spans="2:9" hidden="1">
      <c r="B7" s="1449">
        <v>2015</v>
      </c>
      <c r="C7" s="649">
        <v>1031975708795</v>
      </c>
      <c r="D7" s="649">
        <v>84093951055.669998</v>
      </c>
      <c r="E7" s="649">
        <v>10873635297.74</v>
      </c>
      <c r="F7" s="649">
        <v>1266956460</v>
      </c>
      <c r="G7" s="649">
        <v>44154961529</v>
      </c>
      <c r="H7" s="649">
        <v>1172365213137.4099</v>
      </c>
      <c r="I7" s="650"/>
    </row>
    <row r="8" spans="2:9" hidden="1">
      <c r="B8" s="1449">
        <v>2016</v>
      </c>
      <c r="C8" s="651">
        <v>1060436113127</v>
      </c>
      <c r="D8" s="651">
        <v>88866533959.080002</v>
      </c>
      <c r="E8" s="651">
        <v>10916098009.690001</v>
      </c>
      <c r="F8" s="651">
        <v>1349538948</v>
      </c>
      <c r="G8" s="651">
        <v>46266995318</v>
      </c>
      <c r="H8" s="784">
        <f t="shared" ref="H8:H14" si="0">SUM(C8:G8)</f>
        <v>1207835279361.77</v>
      </c>
      <c r="I8" s="650"/>
    </row>
    <row r="9" spans="2:9">
      <c r="B9" s="1449">
        <v>2017</v>
      </c>
      <c r="C9" s="651">
        <v>1091729146412</v>
      </c>
      <c r="D9" s="651">
        <v>92876379259.282059</v>
      </c>
      <c r="E9" s="651">
        <v>10937094637.461905</v>
      </c>
      <c r="F9" s="651">
        <v>1412648166</v>
      </c>
      <c r="G9" s="651">
        <v>48006343392</v>
      </c>
      <c r="H9" s="1478">
        <f t="shared" si="0"/>
        <v>1244961611866.7439</v>
      </c>
      <c r="I9" s="650"/>
    </row>
    <row r="10" spans="2:9">
      <c r="B10" s="1449">
        <v>2018</v>
      </c>
      <c r="C10" s="651">
        <v>1130944150751.6799</v>
      </c>
      <c r="D10" s="651">
        <v>97202215738.300018</v>
      </c>
      <c r="E10" s="651">
        <v>11207635106.190001</v>
      </c>
      <c r="F10" s="651">
        <v>1360441391</v>
      </c>
      <c r="G10" s="651">
        <v>50028306681.440002</v>
      </c>
      <c r="H10" s="1478">
        <f t="shared" si="0"/>
        <v>1290742749668.6099</v>
      </c>
      <c r="I10" s="650"/>
    </row>
    <row r="11" spans="2:9">
      <c r="B11" s="1449">
        <v>2019</v>
      </c>
      <c r="C11" s="651">
        <v>1172449791555</v>
      </c>
      <c r="D11" s="651">
        <v>98726651736.200012</v>
      </c>
      <c r="E11" s="651">
        <v>11567370427.889999</v>
      </c>
      <c r="F11" s="651">
        <v>1344289010.71</v>
      </c>
      <c r="G11" s="651">
        <v>49209543842.540001</v>
      </c>
      <c r="H11" s="1478">
        <f t="shared" si="0"/>
        <v>1333297646572.3398</v>
      </c>
      <c r="I11" s="650"/>
    </row>
    <row r="12" spans="2:9">
      <c r="B12" s="1449">
        <v>2020</v>
      </c>
      <c r="C12" s="651">
        <v>1218079093524.8401</v>
      </c>
      <c r="D12" s="651">
        <v>100052236312.57999</v>
      </c>
      <c r="E12" s="651">
        <v>11991123882.620001</v>
      </c>
      <c r="F12" s="651">
        <v>1433318097.3</v>
      </c>
      <c r="G12" s="651">
        <v>51149852246.5</v>
      </c>
      <c r="H12" s="1478">
        <f t="shared" si="0"/>
        <v>1382705624063.8403</v>
      </c>
      <c r="I12" s="650"/>
    </row>
    <row r="13" spans="2:9">
      <c r="B13" s="1449" t="s">
        <v>1307</v>
      </c>
      <c r="C13" s="651">
        <v>1272652328700.3198</v>
      </c>
      <c r="D13" s="651">
        <v>117434111164.92511</v>
      </c>
      <c r="E13" s="651">
        <v>12080942915.7248</v>
      </c>
      <c r="F13" s="651">
        <v>1314173629.97</v>
      </c>
      <c r="G13" s="651">
        <v>51229623564.349998</v>
      </c>
      <c r="H13" s="1478">
        <f t="shared" si="0"/>
        <v>1454711179975.2898</v>
      </c>
      <c r="I13" s="650"/>
    </row>
    <row r="14" spans="2:9">
      <c r="B14" s="1449">
        <v>2022</v>
      </c>
      <c r="C14" s="651">
        <v>1391780142395.6001</v>
      </c>
      <c r="D14" s="651">
        <v>139776943386.00378</v>
      </c>
      <c r="E14" s="651">
        <v>12397515349.807098</v>
      </c>
      <c r="F14" s="651">
        <v>1450773868.4400001</v>
      </c>
      <c r="G14" s="651">
        <v>52339281584.18</v>
      </c>
      <c r="H14" s="1478">
        <f t="shared" si="0"/>
        <v>1597744656584.031</v>
      </c>
      <c r="I14" s="650"/>
    </row>
    <row r="15" spans="2:9">
      <c r="C15" s="651"/>
      <c r="D15" s="651"/>
      <c r="E15" s="651"/>
      <c r="F15" s="651"/>
      <c r="G15" s="651"/>
      <c r="H15" s="1478"/>
    </row>
    <row r="16" spans="2:9" ht="13">
      <c r="B16" s="821" t="s">
        <v>864</v>
      </c>
      <c r="C16" s="823"/>
      <c r="D16" s="823"/>
      <c r="E16" s="823"/>
      <c r="F16" s="823"/>
      <c r="G16" s="823"/>
      <c r="H16" s="1479"/>
    </row>
    <row r="17" spans="2:9" hidden="1">
      <c r="B17" s="1449">
        <f t="shared" ref="B17:B24" si="1">B7</f>
        <v>2015</v>
      </c>
      <c r="C17" s="649">
        <v>10007871602.596775</v>
      </c>
      <c r="D17" s="649">
        <v>3012973186.0262656</v>
      </c>
      <c r="E17" s="649">
        <v>215708233.76555002</v>
      </c>
      <c r="F17" s="649">
        <v>13274973.785999998</v>
      </c>
      <c r="G17" s="649">
        <v>364855303.00326002</v>
      </c>
      <c r="H17" s="1480">
        <v>13614683299.177851</v>
      </c>
      <c r="I17" s="650"/>
    </row>
    <row r="18" spans="2:9" hidden="1">
      <c r="B18" s="1449">
        <f t="shared" si="1"/>
        <v>2016</v>
      </c>
      <c r="C18" s="651">
        <v>10446834664.72967</v>
      </c>
      <c r="D18" s="651">
        <v>3108724600.9577131</v>
      </c>
      <c r="E18" s="651">
        <v>220024079.66569999</v>
      </c>
      <c r="F18" s="651">
        <v>14028692.103300003</v>
      </c>
      <c r="G18" s="651">
        <v>408732706.07139993</v>
      </c>
      <c r="H18" s="1478">
        <f t="shared" ref="H18:H24" si="2">SUM(C18:G18)</f>
        <v>14198344743.527782</v>
      </c>
      <c r="I18" s="650"/>
    </row>
    <row r="19" spans="2:9">
      <c r="B19" s="1449">
        <f t="shared" si="1"/>
        <v>2017</v>
      </c>
      <c r="C19" s="651">
        <v>10820224510.957804</v>
      </c>
      <c r="D19" s="651">
        <v>3279499565.8478804</v>
      </c>
      <c r="E19" s="651">
        <v>232207933.77725005</v>
      </c>
      <c r="F19" s="651">
        <v>14034594.904299999</v>
      </c>
      <c r="G19" s="651">
        <v>404358032.39963996</v>
      </c>
      <c r="H19" s="1478">
        <f t="shared" si="2"/>
        <v>14750324637.886873</v>
      </c>
      <c r="I19" s="650"/>
    </row>
    <row r="20" spans="2:9">
      <c r="B20" s="1449">
        <f t="shared" si="1"/>
        <v>2018</v>
      </c>
      <c r="C20" s="651">
        <v>11239557027.180504</v>
      </c>
      <c r="D20" s="651">
        <v>3464493881.5964141</v>
      </c>
      <c r="E20" s="651">
        <v>281779148.09530008</v>
      </c>
      <c r="F20" s="651">
        <v>13905355.629000001</v>
      </c>
      <c r="G20" s="651">
        <v>427590254.37099987</v>
      </c>
      <c r="H20" s="1478">
        <f t="shared" si="2"/>
        <v>15427325666.872219</v>
      </c>
      <c r="I20" s="650"/>
    </row>
    <row r="21" spans="2:9">
      <c r="B21" s="1449">
        <f t="shared" si="1"/>
        <v>2019</v>
      </c>
      <c r="C21" s="651">
        <v>11654584398.700165</v>
      </c>
      <c r="D21" s="651">
        <v>3600959729.1374731</v>
      </c>
      <c r="E21" s="651">
        <v>227752597.23180002</v>
      </c>
      <c r="F21" s="651">
        <v>14010085.905490002</v>
      </c>
      <c r="G21" s="651">
        <v>409329416.85523003</v>
      </c>
      <c r="H21" s="1478">
        <f t="shared" si="2"/>
        <v>15906636227.83016</v>
      </c>
    </row>
    <row r="22" spans="2:9">
      <c r="B22" s="1449">
        <f t="shared" si="1"/>
        <v>2020</v>
      </c>
      <c r="C22" s="651">
        <v>12096950258.460699</v>
      </c>
      <c r="D22" s="651">
        <v>3641278531.4918013</v>
      </c>
      <c r="E22" s="651">
        <v>250441104.58230007</v>
      </c>
      <c r="F22" s="651">
        <v>15272308.508099999</v>
      </c>
      <c r="G22" s="651">
        <v>426389897.02819985</v>
      </c>
      <c r="H22" s="1478">
        <f t="shared" si="2"/>
        <v>16430332100.0711</v>
      </c>
    </row>
    <row r="23" spans="2:9">
      <c r="B23" s="1449" t="str">
        <f t="shared" si="1"/>
        <v>2021*</v>
      </c>
      <c r="C23" s="651">
        <v>12502959082.987404</v>
      </c>
      <c r="D23" s="651">
        <v>4458318399.693799</v>
      </c>
      <c r="E23" s="651">
        <v>252339042.05669993</v>
      </c>
      <c r="F23" s="651">
        <v>13718743.4846</v>
      </c>
      <c r="G23" s="651">
        <v>444349944.30589986</v>
      </c>
      <c r="H23" s="1478">
        <f t="shared" si="2"/>
        <v>17671685212.528404</v>
      </c>
    </row>
    <row r="24" spans="2:9">
      <c r="B24" s="1449">
        <f t="shared" si="1"/>
        <v>2022</v>
      </c>
      <c r="C24" s="651">
        <v>13342923799.456697</v>
      </c>
      <c r="D24" s="651">
        <v>4980954021.3755007</v>
      </c>
      <c r="E24" s="651">
        <v>257101832.12200007</v>
      </c>
      <c r="F24" s="651">
        <v>15108938.832000004</v>
      </c>
      <c r="G24" s="651">
        <v>470935657.06320006</v>
      </c>
      <c r="H24" s="1478">
        <f t="shared" si="2"/>
        <v>19067024248.849403</v>
      </c>
    </row>
    <row r="25" spans="2:9">
      <c r="C25" s="651"/>
      <c r="D25" s="651"/>
      <c r="E25" s="651"/>
      <c r="F25" s="651"/>
      <c r="G25" s="651"/>
      <c r="H25" s="1478"/>
    </row>
    <row r="26" spans="2:9" ht="13">
      <c r="B26" s="821" t="s">
        <v>865</v>
      </c>
      <c r="C26" s="822"/>
      <c r="D26" s="822"/>
      <c r="E26" s="822"/>
      <c r="F26" s="822"/>
      <c r="G26" s="822"/>
      <c r="H26" s="822"/>
    </row>
    <row r="27" spans="2:9" hidden="1">
      <c r="B27" s="1449">
        <f t="shared" ref="B27:B34" si="3">B17</f>
        <v>2015</v>
      </c>
      <c r="C27" s="692">
        <f t="shared" ref="C27:H32" si="4">C17/C7*100</f>
        <v>0.9697778268717776</v>
      </c>
      <c r="D27" s="692">
        <f t="shared" si="4"/>
        <v>3.5828655309960218</v>
      </c>
      <c r="E27" s="692">
        <f t="shared" si="4"/>
        <v>1.9837729320421782</v>
      </c>
      <c r="F27" s="692">
        <f t="shared" si="4"/>
        <v>1.0477845297067272</v>
      </c>
      <c r="G27" s="692">
        <f t="shared" si="4"/>
        <v>0.82630646787820472</v>
      </c>
      <c r="H27" s="692">
        <f t="shared" si="4"/>
        <v>1.1613005185255449</v>
      </c>
      <c r="I27" s="650"/>
    </row>
    <row r="28" spans="2:9" hidden="1">
      <c r="B28" s="1449">
        <f t="shared" si="3"/>
        <v>2016</v>
      </c>
      <c r="C28" s="693">
        <f t="shared" si="4"/>
        <v>0.98514512429458689</v>
      </c>
      <c r="D28" s="693">
        <f t="shared" si="4"/>
        <v>3.4981949474806506</v>
      </c>
      <c r="E28" s="693">
        <f t="shared" si="4"/>
        <v>2.0155927463310519</v>
      </c>
      <c r="F28" s="693">
        <f t="shared" si="4"/>
        <v>1.0395173940026223</v>
      </c>
      <c r="G28" s="693">
        <f t="shared" si="4"/>
        <v>0.88342176374782644</v>
      </c>
      <c r="H28" s="693">
        <f t="shared" si="4"/>
        <v>1.1755199559190144</v>
      </c>
      <c r="I28" s="650"/>
    </row>
    <row r="29" spans="2:9">
      <c r="B29" s="1449">
        <f t="shared" si="3"/>
        <v>2017</v>
      </c>
      <c r="C29" s="1481">
        <f t="shared" si="4"/>
        <v>0.99110887957134697</v>
      </c>
      <c r="D29" s="1481">
        <f t="shared" si="4"/>
        <v>3.5310372691128862</v>
      </c>
      <c r="E29" s="1481">
        <f t="shared" si="4"/>
        <v>2.1231226525359657</v>
      </c>
      <c r="F29" s="1481">
        <f t="shared" si="4"/>
        <v>0.99349542526500534</v>
      </c>
      <c r="G29" s="1481">
        <f t="shared" si="4"/>
        <v>0.84230125401932621</v>
      </c>
      <c r="H29" s="1481">
        <f t="shared" si="4"/>
        <v>1.1848015631397391</v>
      </c>
      <c r="I29" s="650"/>
    </row>
    <row r="30" spans="2:9">
      <c r="B30" s="1449">
        <f t="shared" si="3"/>
        <v>2018</v>
      </c>
      <c r="C30" s="1481">
        <f t="shared" si="4"/>
        <v>0.99382069571783482</v>
      </c>
      <c r="D30" s="1481">
        <f t="shared" si="4"/>
        <v>3.5642128682785983</v>
      </c>
      <c r="E30" s="1481">
        <f t="shared" si="4"/>
        <v>2.5141713254000648</v>
      </c>
      <c r="F30" s="1481">
        <f t="shared" si="4"/>
        <v>1.0221208881904711</v>
      </c>
      <c r="G30" s="1481">
        <f t="shared" si="4"/>
        <v>0.85469663623380554</v>
      </c>
      <c r="H30" s="1481">
        <f t="shared" si="4"/>
        <v>1.1952285357274397</v>
      </c>
      <c r="I30" s="650"/>
    </row>
    <row r="31" spans="2:9">
      <c r="B31" s="1449">
        <f t="shared" si="3"/>
        <v>2019</v>
      </c>
      <c r="C31" s="1481">
        <f t="shared" si="4"/>
        <v>0.99403697136087077</v>
      </c>
      <c r="D31" s="1481">
        <f t="shared" si="4"/>
        <v>3.6474038831574318</v>
      </c>
      <c r="E31" s="1481">
        <f t="shared" si="4"/>
        <v>1.9689228304011728</v>
      </c>
      <c r="F31" s="1481">
        <f t="shared" si="4"/>
        <v>1.042192995246642</v>
      </c>
      <c r="G31" s="1481">
        <f t="shared" si="4"/>
        <v>0.83180900470241403</v>
      </c>
      <c r="H31" s="1481">
        <f t="shared" si="4"/>
        <v>1.1930296486102081</v>
      </c>
      <c r="I31" s="650"/>
    </row>
    <row r="32" spans="2:9">
      <c r="B32" s="1449">
        <f t="shared" si="3"/>
        <v>2020</v>
      </c>
      <c r="C32" s="1481">
        <f t="shared" si="4"/>
        <v>0.99311697596376225</v>
      </c>
      <c r="D32" s="1481">
        <f t="shared" si="4"/>
        <v>3.6393774549084901</v>
      </c>
      <c r="E32" s="1481">
        <f t="shared" si="4"/>
        <v>2.0885540591010883</v>
      </c>
      <c r="F32" s="1481">
        <f t="shared" si="4"/>
        <v>1.0655212221815293</v>
      </c>
      <c r="G32" s="1481">
        <f t="shared" si="4"/>
        <v>0.83360924479967813</v>
      </c>
      <c r="H32" s="1481">
        <f t="shared" si="4"/>
        <v>1.1882740486569761</v>
      </c>
    </row>
    <row r="33" spans="2:8">
      <c r="B33" s="1449" t="str">
        <f t="shared" si="3"/>
        <v>2021*</v>
      </c>
      <c r="C33" s="1481">
        <f t="shared" ref="C33:H33" si="5">C23/C13*100</f>
        <v>0.9824332066995779</v>
      </c>
      <c r="D33" s="1481">
        <f t="shared" si="5"/>
        <v>3.7964424096781491</v>
      </c>
      <c r="E33" s="1481">
        <f t="shared" si="5"/>
        <v>2.0887363165026658</v>
      </c>
      <c r="F33" s="1481">
        <f t="shared" si="5"/>
        <v>1.043906465001369</v>
      </c>
      <c r="G33" s="1481">
        <f t="shared" si="5"/>
        <v>0.8673691379905375</v>
      </c>
      <c r="H33" s="1481">
        <f t="shared" si="5"/>
        <v>1.2147899497705503</v>
      </c>
    </row>
    <row r="34" spans="2:8">
      <c r="B34" s="1449">
        <f t="shared" si="3"/>
        <v>2022</v>
      </c>
      <c r="C34" s="1481">
        <f t="shared" ref="C34:H34" si="6">C24/C14*100</f>
        <v>0.95869479618312448</v>
      </c>
      <c r="D34" s="1481">
        <f t="shared" si="6"/>
        <v>3.5635018914530479</v>
      </c>
      <c r="E34" s="1481">
        <f t="shared" si="6"/>
        <v>2.0738174131480345</v>
      </c>
      <c r="F34" s="1481">
        <f t="shared" si="6"/>
        <v>1.0414399625385085</v>
      </c>
      <c r="G34" s="1481">
        <f t="shared" si="6"/>
        <v>0.89977478255174292</v>
      </c>
      <c r="H34" s="1481">
        <f t="shared" si="6"/>
        <v>1.1933711791979698</v>
      </c>
    </row>
    <row r="35" spans="2:8">
      <c r="C35" s="693"/>
      <c r="D35" s="693"/>
      <c r="E35" s="693"/>
      <c r="F35" s="693"/>
      <c r="G35" s="693"/>
      <c r="H35" s="693"/>
    </row>
    <row r="36" spans="2:8" s="1146" customFormat="1" ht="12" customHeight="1">
      <c r="B36" s="1146" t="s">
        <v>18</v>
      </c>
      <c r="C36" s="1318"/>
      <c r="D36" s="1318"/>
      <c r="E36" s="1318"/>
      <c r="F36" s="1318"/>
      <c r="G36" s="1318"/>
      <c r="H36" s="1318"/>
    </row>
    <row r="37" spans="2:8" s="1146" customFormat="1" ht="12" customHeight="1">
      <c r="B37" s="1640" t="s">
        <v>1306</v>
      </c>
      <c r="C37" s="1640"/>
      <c r="D37" s="1640"/>
      <c r="E37" s="1640"/>
      <c r="F37" s="1640"/>
      <c r="G37" s="1640"/>
      <c r="H37" s="1640"/>
    </row>
    <row r="38" spans="2:8" s="1146" customFormat="1" ht="12" customHeight="1">
      <c r="B38" s="1640" t="s">
        <v>1308</v>
      </c>
      <c r="C38" s="1640"/>
      <c r="D38" s="1640"/>
      <c r="E38" s="1640"/>
      <c r="F38" s="1640"/>
      <c r="G38" s="1640"/>
      <c r="H38" s="1640"/>
    </row>
    <row r="39" spans="2:8" ht="13">
      <c r="B39" s="788" t="s">
        <v>953</v>
      </c>
      <c r="C39" s="473"/>
      <c r="D39" s="473"/>
      <c r="E39" s="473"/>
      <c r="F39" s="473"/>
      <c r="G39" s="473"/>
      <c r="H39" s="473"/>
    </row>
    <row r="40" spans="2:8" s="652" customFormat="1">
      <c r="C40" s="653"/>
      <c r="D40" s="653"/>
      <c r="E40" s="653"/>
      <c r="F40" s="653"/>
      <c r="G40" s="653"/>
      <c r="H40" s="653"/>
    </row>
    <row r="41" spans="2:8" s="652" customFormat="1">
      <c r="C41" s="653"/>
      <c r="D41" s="653"/>
      <c r="E41" s="653"/>
      <c r="F41" s="653"/>
      <c r="G41" s="653"/>
      <c r="H41" s="653"/>
    </row>
    <row r="42" spans="2:8" s="652" customFormat="1">
      <c r="C42" s="653"/>
      <c r="D42" s="653"/>
      <c r="E42" s="653"/>
      <c r="F42" s="653"/>
      <c r="G42" s="653"/>
      <c r="H42" s="653"/>
    </row>
    <row r="43" spans="2:8" s="652" customFormat="1">
      <c r="C43" s="653"/>
      <c r="D43" s="653"/>
      <c r="E43" s="653"/>
      <c r="F43" s="653"/>
      <c r="G43" s="653"/>
      <c r="H43" s="653"/>
    </row>
    <row r="44" spans="2:8" s="652" customFormat="1">
      <c r="C44" s="653"/>
      <c r="D44" s="653"/>
      <c r="E44" s="653"/>
      <c r="F44" s="653"/>
      <c r="G44" s="653"/>
      <c r="H44" s="653"/>
    </row>
    <row r="45" spans="2:8" s="652" customFormat="1">
      <c r="C45" s="653"/>
      <c r="D45" s="653"/>
      <c r="E45" s="653"/>
      <c r="F45" s="653"/>
      <c r="G45" s="653"/>
      <c r="H45" s="653"/>
    </row>
    <row r="46" spans="2:8" s="1484" customFormat="1">
      <c r="B46" s="1482"/>
      <c r="C46" s="1483"/>
      <c r="D46" s="1483"/>
      <c r="E46" s="1483"/>
      <c r="F46" s="1483"/>
      <c r="G46" s="1483"/>
      <c r="H46" s="1483"/>
    </row>
    <row r="47" spans="2:8" s="1484" customFormat="1">
      <c r="C47" s="1485"/>
      <c r="D47" s="1485"/>
      <c r="E47" s="1485"/>
      <c r="F47" s="1485"/>
      <c r="G47" s="1485"/>
      <c r="H47" s="1485"/>
    </row>
    <row r="48" spans="2:8" s="1484" customFormat="1">
      <c r="C48" s="1485"/>
      <c r="D48" s="1485"/>
      <c r="E48" s="1485"/>
      <c r="F48" s="1485"/>
      <c r="G48" s="1485"/>
      <c r="H48" s="1485"/>
    </row>
    <row r="49" spans="2:8" s="1484" customFormat="1">
      <c r="C49" s="1485"/>
      <c r="D49" s="1485"/>
      <c r="E49" s="1485"/>
      <c r="F49" s="1485"/>
      <c r="G49" s="1485"/>
      <c r="H49" s="1485"/>
    </row>
    <row r="50" spans="2:8" s="1484" customFormat="1"/>
    <row r="51" spans="2:8" s="1484" customFormat="1">
      <c r="B51" s="1486"/>
      <c r="C51" s="1487"/>
      <c r="D51" s="1487"/>
      <c r="E51" s="1487"/>
      <c r="F51" s="1487"/>
      <c r="G51" s="1487"/>
      <c r="H51" s="1487"/>
    </row>
    <row r="52" spans="2:8" s="1484" customFormat="1">
      <c r="B52" s="1486"/>
      <c r="C52" s="1487"/>
      <c r="D52" s="1487"/>
      <c r="E52" s="1487"/>
      <c r="F52" s="1487"/>
      <c r="G52" s="1487"/>
      <c r="H52" s="1487"/>
    </row>
    <row r="53" spans="2:8" s="1484" customFormat="1">
      <c r="B53" s="1486"/>
      <c r="C53" s="1488"/>
      <c r="D53" s="1488"/>
      <c r="E53" s="1488"/>
      <c r="F53" s="1488"/>
      <c r="G53" s="1488"/>
      <c r="H53" s="1488"/>
    </row>
    <row r="54" spans="2:8" s="652" customFormat="1">
      <c r="C54" s="654"/>
      <c r="D54" s="654"/>
      <c r="E54" s="654"/>
      <c r="F54" s="654"/>
      <c r="G54" s="654"/>
      <c r="H54" s="654"/>
    </row>
  </sheetData>
  <mergeCells count="3">
    <mergeCell ref="B2:H2"/>
    <mergeCell ref="B38:H38"/>
    <mergeCell ref="B37:H37"/>
  </mergeCells>
  <hyperlinks>
    <hyperlink ref="I1" location="TOC!A1" display="Back" xr:uid="{00000000-0004-0000-1C00-000000000000}"/>
  </hyperlinks>
  <pageMargins left="0.5" right="0.25" top="0.5" bottom="0.25" header="0.25" footer="0"/>
  <pageSetup orientation="landscape" r:id="rId1"/>
  <headerFooter scaleWithDoc="0">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ID111"/>
  <sheetViews>
    <sheetView zoomScale="80" zoomScaleNormal="80" workbookViewId="0"/>
  </sheetViews>
  <sheetFormatPr defaultColWidth="12.453125" defaultRowHeight="12.5"/>
  <cols>
    <col min="1" max="1" width="38.453125" style="8" customWidth="1"/>
    <col min="2" max="9" width="0.54296875" style="8" customWidth="1"/>
    <col min="10" max="10" width="18.6328125" style="8" customWidth="1"/>
    <col min="11" max="11" width="20.1796875" style="8" customWidth="1"/>
    <col min="12" max="12" width="1.7265625" style="8" customWidth="1"/>
    <col min="13" max="13" width="12.453125" style="8" customWidth="1"/>
    <col min="14" max="15" width="0.54296875" style="8" customWidth="1"/>
    <col min="16" max="16" width="12.453125" style="605" customWidth="1"/>
    <col min="17" max="21" width="13.7265625" style="605" customWidth="1"/>
    <col min="22" max="22" width="7.453125" style="605" customWidth="1"/>
    <col min="23" max="24" width="13.7265625" style="406" customWidth="1"/>
    <col min="25" max="25" width="19.7265625" style="406" customWidth="1"/>
    <col min="26" max="28" width="17.54296875" style="406" bestFit="1" customWidth="1"/>
    <col min="29" max="29" width="33.7265625" style="406" customWidth="1"/>
    <col min="30" max="30" width="20.81640625" style="406" bestFit="1" customWidth="1"/>
    <col min="31" max="104" width="12.453125" style="406" customWidth="1"/>
    <col min="105" max="238" width="12.453125" style="8" customWidth="1"/>
  </cols>
  <sheetData>
    <row r="1" spans="1:236" ht="18">
      <c r="A1" s="51" t="s">
        <v>4</v>
      </c>
      <c r="B1" s="6"/>
      <c r="C1" s="6"/>
      <c r="D1" s="6"/>
      <c r="E1" s="6"/>
      <c r="F1" s="6"/>
      <c r="G1" s="6"/>
      <c r="H1" s="6"/>
      <c r="I1" s="6"/>
      <c r="J1" s="6"/>
      <c r="K1" s="6"/>
      <c r="L1" s="6"/>
      <c r="P1" s="529"/>
      <c r="Q1" s="361"/>
      <c r="R1" s="361"/>
      <c r="S1" s="361"/>
      <c r="T1" s="361"/>
      <c r="U1" s="361"/>
      <c r="V1" s="361"/>
      <c r="W1" s="855" t="s">
        <v>984</v>
      </c>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399"/>
      <c r="BJ1" s="399"/>
      <c r="BK1" s="399"/>
      <c r="BL1" s="399"/>
      <c r="BM1" s="399"/>
      <c r="BN1" s="399"/>
      <c r="BO1" s="399"/>
      <c r="BP1" s="399"/>
      <c r="BQ1" s="399"/>
      <c r="BR1" s="399"/>
      <c r="BS1" s="399"/>
      <c r="BT1" s="399"/>
      <c r="BU1" s="399"/>
      <c r="BV1" s="399"/>
      <c r="BW1" s="399"/>
      <c r="BX1" s="399"/>
      <c r="BY1" s="399"/>
      <c r="BZ1" s="399"/>
      <c r="CA1" s="399"/>
      <c r="CB1" s="399"/>
      <c r="CC1" s="399"/>
      <c r="CD1" s="399"/>
      <c r="CE1" s="399"/>
      <c r="CF1" s="399"/>
      <c r="CG1" s="399"/>
      <c r="CH1" s="399"/>
      <c r="CI1" s="399"/>
      <c r="CJ1" s="399"/>
      <c r="CK1" s="399"/>
      <c r="CL1" s="399"/>
      <c r="CM1" s="399"/>
      <c r="CN1" s="399"/>
      <c r="CO1" s="399"/>
      <c r="CP1" s="399"/>
      <c r="CQ1" s="399"/>
      <c r="CR1" s="399"/>
      <c r="CS1" s="399"/>
      <c r="CT1" s="399"/>
      <c r="CU1" s="399"/>
      <c r="CV1" s="399"/>
      <c r="CW1" s="399"/>
      <c r="CX1" s="399"/>
      <c r="CY1" s="399"/>
      <c r="CZ1" s="399"/>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row>
    <row r="2" spans="1:236" ht="15.5">
      <c r="A2" s="220"/>
      <c r="B2"/>
      <c r="C2"/>
      <c r="D2"/>
      <c r="E2"/>
      <c r="F2"/>
      <c r="G2"/>
      <c r="H2"/>
      <c r="I2"/>
      <c r="J2"/>
      <c r="K2"/>
      <c r="L2"/>
      <c r="M2" s="2" t="str">
        <f>RIGHT(J3,4)&amp;"/"&amp;RIGHT(K3,4)</f>
        <v>2022/2023</v>
      </c>
      <c r="N2" s="2"/>
      <c r="O2" s="2"/>
      <c r="P2" s="599"/>
      <c r="Q2" s="530"/>
      <c r="R2" s="530"/>
      <c r="S2" s="530"/>
      <c r="T2" s="530"/>
      <c r="U2" s="530"/>
      <c r="V2" s="530"/>
      <c r="W2" s="399"/>
      <c r="X2" s="399"/>
      <c r="Y2" s="399"/>
      <c r="Z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399"/>
      <c r="BL2" s="399"/>
      <c r="BM2" s="399"/>
      <c r="BN2" s="399"/>
      <c r="BO2" s="399"/>
      <c r="BP2" s="399"/>
      <c r="BQ2" s="399"/>
      <c r="BR2" s="399"/>
      <c r="BS2" s="399"/>
      <c r="BT2" s="399"/>
      <c r="BU2" s="399"/>
      <c r="BV2" s="399"/>
      <c r="BW2" s="399"/>
      <c r="BX2" s="399"/>
      <c r="BY2" s="399"/>
      <c r="BZ2" s="399"/>
      <c r="CA2" s="399"/>
      <c r="CB2" s="399"/>
      <c r="CC2" s="399"/>
      <c r="CD2" s="399"/>
      <c r="CE2" s="399"/>
      <c r="CF2" s="399"/>
      <c r="CG2" s="399"/>
      <c r="CH2" s="399"/>
      <c r="CI2" s="399"/>
      <c r="CJ2" s="399"/>
      <c r="CK2" s="399"/>
      <c r="CL2" s="399"/>
      <c r="CM2" s="399"/>
      <c r="CN2" s="399"/>
      <c r="CO2" s="399"/>
      <c r="CP2" s="399"/>
      <c r="CQ2" s="399"/>
      <c r="CR2" s="399"/>
      <c r="CS2" s="399"/>
      <c r="CT2" s="399"/>
      <c r="CU2" s="399"/>
      <c r="CV2" s="399"/>
      <c r="CW2" s="399"/>
      <c r="CX2" s="399"/>
      <c r="CY2" s="399"/>
      <c r="CZ2" s="399"/>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row>
    <row r="3" spans="1:236" ht="14.15" customHeight="1">
      <c r="A3" s="222"/>
      <c r="B3" s="595">
        <v>2014</v>
      </c>
      <c r="C3" s="595" t="s">
        <v>909</v>
      </c>
      <c r="D3" s="595" t="s">
        <v>910</v>
      </c>
      <c r="E3" s="595" t="s">
        <v>911</v>
      </c>
      <c r="F3" s="595" t="s">
        <v>912</v>
      </c>
      <c r="G3" s="595" t="s">
        <v>913</v>
      </c>
      <c r="H3" s="1569" t="s">
        <v>914</v>
      </c>
      <c r="I3" s="595" t="s">
        <v>915</v>
      </c>
      <c r="J3" s="2" t="s">
        <v>1201</v>
      </c>
      <c r="K3" s="2" t="s">
        <v>1326</v>
      </c>
      <c r="L3"/>
      <c r="M3" s="9" t="s">
        <v>248</v>
      </c>
      <c r="N3" s="1411" t="s">
        <v>1274</v>
      </c>
      <c r="O3" s="1412" t="s">
        <v>1275</v>
      </c>
      <c r="P3" s="599"/>
      <c r="Q3" s="530"/>
      <c r="R3" s="530"/>
      <c r="S3" s="530"/>
      <c r="T3" s="530"/>
      <c r="U3" s="530"/>
      <c r="V3" s="530"/>
      <c r="W3" s="399"/>
      <c r="X3" s="399"/>
      <c r="Y3" s="399"/>
      <c r="Z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c r="BE3" s="399"/>
      <c r="BF3" s="399"/>
      <c r="BG3" s="399"/>
      <c r="BH3" s="399"/>
      <c r="BI3" s="399"/>
      <c r="BJ3" s="399"/>
      <c r="BK3" s="399"/>
      <c r="BL3" s="399"/>
      <c r="BM3" s="399"/>
      <c r="BN3" s="399"/>
      <c r="BO3" s="399"/>
      <c r="BP3" s="399"/>
      <c r="BQ3" s="399"/>
      <c r="BR3" s="399"/>
      <c r="BS3" s="399"/>
      <c r="BT3" s="399"/>
      <c r="BU3" s="399"/>
      <c r="BV3" s="399"/>
      <c r="BW3" s="399"/>
      <c r="BX3" s="399"/>
      <c r="BY3" s="399"/>
      <c r="BZ3" s="399"/>
      <c r="CA3" s="399"/>
      <c r="CB3" s="399"/>
      <c r="CC3" s="399"/>
      <c r="CD3" s="399"/>
      <c r="CE3" s="399"/>
      <c r="CF3" s="399"/>
      <c r="CG3" s="399"/>
      <c r="CH3" s="399"/>
      <c r="CI3" s="399"/>
      <c r="CJ3" s="399"/>
      <c r="CK3" s="399"/>
      <c r="CL3" s="399"/>
      <c r="CM3" s="399"/>
      <c r="CN3" s="399"/>
      <c r="CO3" s="399"/>
      <c r="CP3" s="399"/>
      <c r="CQ3" s="399"/>
      <c r="CR3" s="399"/>
      <c r="CS3" s="399"/>
      <c r="CT3" s="399"/>
      <c r="CU3" s="399"/>
      <c r="CV3" s="399"/>
      <c r="CW3" s="399"/>
      <c r="CX3" s="399"/>
      <c r="CY3" s="399"/>
      <c r="CZ3" s="399"/>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row>
    <row r="4" spans="1:236" ht="9.75" customHeight="1">
      <c r="A4"/>
      <c r="B4"/>
      <c r="C4"/>
      <c r="D4"/>
      <c r="E4"/>
      <c r="F4"/>
      <c r="G4"/>
      <c r="H4"/>
      <c r="I4"/>
      <c r="J4"/>
      <c r="K4"/>
      <c r="L4"/>
      <c r="M4" s="10"/>
      <c r="N4" s="10"/>
      <c r="O4" s="10"/>
      <c r="P4" s="600"/>
      <c r="Q4" s="530"/>
      <c r="R4" s="530"/>
      <c r="S4" s="530"/>
      <c r="T4" s="530"/>
      <c r="U4" s="530"/>
      <c r="V4" s="530"/>
      <c r="W4" s="399"/>
      <c r="X4" s="399"/>
      <c r="Y4" s="399"/>
      <c r="Z4" s="399"/>
      <c r="AA4" s="399"/>
      <c r="AB4" s="399"/>
      <c r="AC4" s="399"/>
      <c r="AD4" s="399"/>
      <c r="AE4" s="399"/>
      <c r="AF4" s="399"/>
      <c r="AG4" s="399"/>
      <c r="AH4" s="399"/>
      <c r="AI4" s="399"/>
      <c r="AJ4" s="399"/>
      <c r="AK4" s="399"/>
      <c r="AL4" s="399"/>
      <c r="AM4" s="399"/>
      <c r="AN4" s="399"/>
      <c r="AO4" s="399"/>
      <c r="AP4" s="399"/>
      <c r="AQ4" s="399"/>
      <c r="AR4" s="399"/>
      <c r="AS4" s="399"/>
      <c r="AT4" s="399"/>
      <c r="AU4" s="399"/>
      <c r="AV4" s="399"/>
      <c r="AW4" s="399"/>
      <c r="AX4" s="399"/>
      <c r="AY4" s="399"/>
      <c r="AZ4" s="399"/>
      <c r="BA4" s="399"/>
      <c r="BB4" s="399"/>
      <c r="BC4" s="399"/>
      <c r="BD4" s="399"/>
      <c r="BE4" s="399"/>
      <c r="BF4" s="399"/>
      <c r="BG4" s="399"/>
      <c r="BH4" s="399"/>
      <c r="BI4" s="399"/>
      <c r="BJ4" s="399"/>
      <c r="BK4" s="399"/>
      <c r="BL4" s="399"/>
      <c r="BM4" s="399"/>
      <c r="BN4" s="399"/>
      <c r="BO4" s="399"/>
      <c r="BP4" s="399"/>
      <c r="BQ4" s="399"/>
      <c r="BR4" s="399"/>
      <c r="BS4" s="399"/>
      <c r="BT4" s="399"/>
      <c r="BU4" s="399"/>
      <c r="BV4" s="399"/>
      <c r="BW4" s="399"/>
      <c r="BX4" s="399"/>
      <c r="BY4" s="399"/>
      <c r="BZ4" s="399"/>
      <c r="CA4" s="399"/>
      <c r="CB4" s="399"/>
      <c r="CC4" s="399"/>
      <c r="CD4" s="399"/>
      <c r="CE4" s="399"/>
      <c r="CF4" s="399"/>
      <c r="CG4" s="399"/>
      <c r="CH4" s="399"/>
      <c r="CI4" s="399"/>
      <c r="CJ4" s="399"/>
      <c r="CK4" s="399"/>
      <c r="CL4" s="399"/>
      <c r="CM4" s="399"/>
      <c r="CN4" s="399"/>
      <c r="CO4" s="399"/>
      <c r="CP4" s="399"/>
      <c r="CQ4" s="399"/>
      <c r="CR4" s="399"/>
      <c r="CS4" s="399"/>
      <c r="CT4" s="399"/>
      <c r="CU4" s="399"/>
      <c r="CV4" s="399"/>
      <c r="CW4" s="399"/>
      <c r="CX4" s="399"/>
      <c r="CY4" s="399"/>
      <c r="CZ4" s="399"/>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row>
    <row r="5" spans="1:236" ht="15.5">
      <c r="A5" s="3" t="s">
        <v>771</v>
      </c>
      <c r="B5"/>
      <c r="C5"/>
      <c r="D5"/>
      <c r="E5"/>
      <c r="F5"/>
      <c r="G5"/>
      <c r="H5"/>
      <c r="I5"/>
      <c r="J5"/>
      <c r="K5"/>
      <c r="L5"/>
      <c r="M5" s="5"/>
      <c r="N5" s="5"/>
      <c r="O5" s="475"/>
      <c r="P5" s="477"/>
      <c r="Q5" s="361"/>
      <c r="R5" s="361"/>
      <c r="S5" s="361"/>
      <c r="T5" s="361"/>
      <c r="U5" s="361"/>
      <c r="V5" s="361"/>
      <c r="W5" s="399"/>
      <c r="AA5" s="399"/>
      <c r="AB5" s="399"/>
      <c r="AC5" s="399"/>
      <c r="AD5" s="399"/>
      <c r="AE5" s="399"/>
      <c r="AF5" s="399"/>
      <c r="AG5" s="399"/>
      <c r="AH5" s="399"/>
      <c r="AI5" s="399"/>
      <c r="AJ5" s="399"/>
      <c r="AK5" s="399"/>
      <c r="AL5" s="399"/>
      <c r="AM5" s="399"/>
      <c r="AN5" s="399"/>
      <c r="AO5" s="399"/>
      <c r="AP5" s="399"/>
      <c r="AQ5" s="399"/>
      <c r="AR5" s="399"/>
      <c r="AS5" s="399"/>
      <c r="AT5" s="399"/>
      <c r="AU5" s="399"/>
      <c r="AV5" s="399"/>
      <c r="AW5" s="399"/>
      <c r="AX5" s="399"/>
      <c r="AY5" s="399"/>
      <c r="AZ5" s="399"/>
      <c r="BA5" s="399"/>
      <c r="BB5" s="399"/>
      <c r="BC5" s="399"/>
      <c r="BD5" s="399"/>
      <c r="BE5" s="399"/>
      <c r="BF5" s="399"/>
      <c r="BG5" s="399"/>
      <c r="BH5" s="399"/>
      <c r="BI5" s="399"/>
      <c r="BJ5" s="399"/>
      <c r="BK5" s="399"/>
      <c r="BL5" s="399"/>
      <c r="BM5" s="399"/>
      <c r="BN5" s="399"/>
      <c r="BO5" s="399"/>
      <c r="BP5" s="399"/>
      <c r="BQ5" s="399"/>
      <c r="BR5" s="399"/>
      <c r="BS5" s="399"/>
      <c r="BT5" s="399"/>
      <c r="BU5" s="399"/>
      <c r="BV5" s="399"/>
      <c r="BW5" s="399"/>
      <c r="BX5" s="399"/>
      <c r="BY5" s="399"/>
      <c r="BZ5" s="399"/>
      <c r="CA5" s="399"/>
      <c r="CB5" s="399"/>
      <c r="CC5" s="399"/>
      <c r="CD5" s="399"/>
      <c r="CE5" s="399"/>
      <c r="CF5" s="399"/>
      <c r="CG5" s="399"/>
      <c r="CH5" s="399"/>
      <c r="CI5" s="399"/>
      <c r="CJ5" s="399"/>
      <c r="CK5" s="399"/>
      <c r="CL5" s="399"/>
      <c r="CM5" s="399"/>
      <c r="CN5" s="399"/>
      <c r="CO5" s="399"/>
      <c r="CP5" s="399"/>
      <c r="CQ5" s="399"/>
      <c r="CR5" s="399"/>
      <c r="CS5" s="399"/>
      <c r="CT5" s="399"/>
      <c r="CU5" s="399"/>
      <c r="CV5" s="399"/>
      <c r="CW5" s="399"/>
      <c r="CX5" s="399"/>
      <c r="CY5" s="399"/>
      <c r="CZ5" s="399"/>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row>
    <row r="6" spans="1:236" ht="15.5">
      <c r="A6" t="s">
        <v>1367</v>
      </c>
      <c r="B6" s="11">
        <v>16519642999.999998</v>
      </c>
      <c r="C6" s="11">
        <v>17856571000</v>
      </c>
      <c r="D6" s="11">
        <v>18170460000</v>
      </c>
      <c r="E6" s="11">
        <v>18839827000</v>
      </c>
      <c r="F6" s="11">
        <v>20024020000</v>
      </c>
      <c r="G6" s="11">
        <v>21467094000</v>
      </c>
      <c r="H6" s="11">
        <v>21903571000</v>
      </c>
      <c r="I6" s="11">
        <v>25083803000</v>
      </c>
      <c r="J6" s="11">
        <v>29109249000</v>
      </c>
      <c r="K6" s="11">
        <v>28079312000</v>
      </c>
      <c r="L6" s="11"/>
      <c r="M6" s="379">
        <f>K6/J6-1</f>
        <v>-3.5381778485594095E-2</v>
      </c>
      <c r="N6" s="379"/>
      <c r="O6" s="379"/>
      <c r="P6" s="478"/>
      <c r="Q6" s="601"/>
      <c r="R6" s="601"/>
      <c r="S6" s="601"/>
      <c r="T6" s="601"/>
      <c r="U6" s="601"/>
      <c r="V6" s="601"/>
      <c r="W6" s="399"/>
      <c r="X6" s="399"/>
      <c r="Y6" s="399"/>
      <c r="Z6" s="399"/>
      <c r="AA6" s="407"/>
      <c r="AC6" s="399"/>
      <c r="AD6" s="408"/>
      <c r="AE6" s="399"/>
      <c r="AF6" s="399"/>
      <c r="AG6" s="399"/>
      <c r="AH6" s="399"/>
      <c r="AI6" s="399"/>
      <c r="AJ6" s="399"/>
      <c r="AK6" s="399"/>
      <c r="AL6" s="399"/>
      <c r="AM6" s="399"/>
      <c r="AN6" s="399"/>
      <c r="AO6" s="399"/>
      <c r="AP6" s="399"/>
      <c r="AQ6" s="399"/>
      <c r="AR6" s="399"/>
      <c r="AS6" s="399"/>
      <c r="AT6" s="399"/>
      <c r="AU6" s="399"/>
      <c r="AV6" s="399"/>
      <c r="AW6" s="399"/>
      <c r="AX6" s="399"/>
      <c r="AY6" s="399"/>
      <c r="AZ6" s="399"/>
      <c r="BA6" s="399"/>
      <c r="BB6" s="399"/>
      <c r="BC6" s="399"/>
      <c r="BD6" s="399"/>
      <c r="BE6" s="399"/>
      <c r="BF6" s="399"/>
      <c r="BG6" s="399"/>
      <c r="BH6" s="399"/>
      <c r="BI6" s="399"/>
      <c r="BJ6" s="399"/>
      <c r="BK6" s="399"/>
      <c r="BL6" s="399"/>
      <c r="BM6" s="399"/>
      <c r="BN6" s="399"/>
      <c r="BO6" s="399"/>
      <c r="BP6" s="399"/>
      <c r="BQ6" s="399"/>
      <c r="BR6" s="399"/>
      <c r="BS6" s="399"/>
      <c r="BT6" s="399"/>
      <c r="BU6" s="399"/>
      <c r="BV6" s="399"/>
      <c r="BW6" s="399"/>
      <c r="BX6" s="399"/>
      <c r="BY6" s="399"/>
      <c r="BZ6" s="399"/>
      <c r="CA6" s="399"/>
      <c r="CB6" s="399"/>
      <c r="CC6" s="399"/>
      <c r="CD6" s="399"/>
      <c r="CE6" s="399"/>
      <c r="CF6" s="399"/>
      <c r="CG6" s="399"/>
      <c r="CH6" s="399"/>
      <c r="CI6" s="399"/>
      <c r="CJ6" s="399"/>
      <c r="CK6" s="399"/>
      <c r="CL6" s="399"/>
      <c r="CM6" s="399"/>
      <c r="CN6" s="399"/>
      <c r="CO6" s="399"/>
      <c r="CP6" s="399"/>
      <c r="CQ6" s="399"/>
      <c r="CR6" s="399"/>
      <c r="CS6" s="399"/>
      <c r="CT6" s="399"/>
      <c r="CU6" s="399"/>
      <c r="CV6" s="399"/>
      <c r="CW6" s="399"/>
      <c r="CX6" s="399"/>
      <c r="CY6" s="399"/>
      <c r="CZ6" s="399"/>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row>
    <row r="7" spans="1:236" ht="15.5">
      <c r="A7" s="6" t="s">
        <v>1368</v>
      </c>
      <c r="B7" s="11">
        <v>24275392000</v>
      </c>
      <c r="C7" s="11">
        <v>24805219000</v>
      </c>
      <c r="D7" s="11">
        <v>25279826000</v>
      </c>
      <c r="E7" s="11">
        <v>26073523000</v>
      </c>
      <c r="F7" s="11">
        <v>27608806000</v>
      </c>
      <c r="G7" s="11">
        <v>29225445000</v>
      </c>
      <c r="H7" s="11">
        <v>39119584000</v>
      </c>
      <c r="I7" s="11">
        <v>50027817000</v>
      </c>
      <c r="J7" s="11">
        <v>45991135000</v>
      </c>
      <c r="K7" s="11">
        <v>46256556000</v>
      </c>
      <c r="L7" s="206"/>
      <c r="M7" s="486">
        <f>K7/J7-1</f>
        <v>5.7711339370076775E-3</v>
      </c>
      <c r="N7" s="379"/>
      <c r="O7" s="379"/>
      <c r="P7" s="478"/>
      <c r="Q7" s="601"/>
      <c r="R7" s="601"/>
      <c r="S7" s="601"/>
      <c r="T7" s="601"/>
      <c r="U7" s="601"/>
      <c r="V7" s="601"/>
      <c r="W7" s="399"/>
      <c r="X7" s="399"/>
      <c r="Y7" s="399"/>
      <c r="Z7" s="399"/>
      <c r="AA7" s="409"/>
      <c r="AC7" s="399"/>
      <c r="AD7" s="408"/>
      <c r="AE7" s="399"/>
      <c r="AF7" s="399"/>
      <c r="AG7" s="399"/>
      <c r="AH7" s="399"/>
      <c r="AI7" s="399"/>
      <c r="AJ7" s="399"/>
      <c r="AK7" s="399"/>
      <c r="AL7" s="399"/>
      <c r="AM7" s="399"/>
      <c r="AN7" s="399"/>
      <c r="AO7" s="399"/>
      <c r="AP7" s="399"/>
      <c r="AQ7" s="399"/>
      <c r="AR7" s="399"/>
      <c r="AS7" s="399"/>
      <c r="AT7" s="399"/>
      <c r="AU7" s="399"/>
      <c r="AV7" s="399"/>
      <c r="AW7" s="399"/>
      <c r="AX7" s="399"/>
      <c r="AY7" s="399"/>
      <c r="AZ7" s="399"/>
      <c r="BA7" s="399"/>
      <c r="BB7" s="399"/>
      <c r="BC7" s="399"/>
      <c r="BD7" s="399"/>
      <c r="BE7" s="399"/>
      <c r="BF7" s="399"/>
      <c r="BG7" s="399"/>
      <c r="BH7" s="399"/>
      <c r="BI7" s="399"/>
      <c r="BJ7" s="399"/>
      <c r="BK7" s="399"/>
      <c r="BL7" s="399"/>
      <c r="BM7" s="399"/>
      <c r="BN7" s="399"/>
      <c r="BO7" s="399"/>
      <c r="BP7" s="399"/>
      <c r="BQ7" s="399"/>
      <c r="BR7" s="399"/>
      <c r="BS7" s="399"/>
      <c r="BT7" s="399"/>
      <c r="BU7" s="399"/>
      <c r="BV7" s="399"/>
      <c r="BW7" s="399"/>
      <c r="BX7" s="399"/>
      <c r="BY7" s="399"/>
      <c r="BZ7" s="399"/>
      <c r="CA7" s="399"/>
      <c r="CB7" s="399"/>
      <c r="CC7" s="399"/>
      <c r="CD7" s="399"/>
      <c r="CE7" s="399"/>
      <c r="CF7" s="399"/>
      <c r="CG7" s="399"/>
      <c r="CH7" s="399"/>
      <c r="CI7" s="399"/>
      <c r="CJ7" s="399"/>
      <c r="CK7" s="399"/>
      <c r="CL7" s="399"/>
      <c r="CM7" s="399"/>
      <c r="CN7" s="399"/>
      <c r="CO7" s="399"/>
      <c r="CP7" s="399"/>
      <c r="CQ7" s="399"/>
      <c r="CR7" s="399"/>
      <c r="CS7" s="399"/>
      <c r="CT7" s="399"/>
      <c r="CU7" s="399"/>
      <c r="CV7" s="399"/>
      <c r="CW7" s="399"/>
      <c r="CX7" s="399"/>
      <c r="CY7" s="399"/>
      <c r="CZ7" s="399"/>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row>
    <row r="8" spans="1:236" ht="18" customHeight="1" thickBot="1">
      <c r="A8" s="12" t="s">
        <v>6</v>
      </c>
      <c r="B8" s="1114">
        <f t="shared" ref="B8:K8" si="0">SUM(B6:B7)</f>
        <v>40795035000</v>
      </c>
      <c r="C8" s="1114">
        <f t="shared" si="0"/>
        <v>42661790000</v>
      </c>
      <c r="D8" s="1114">
        <f t="shared" si="0"/>
        <v>43450286000</v>
      </c>
      <c r="E8" s="1114">
        <f t="shared" si="0"/>
        <v>44913350000</v>
      </c>
      <c r="F8" s="1114">
        <f t="shared" si="0"/>
        <v>47632826000</v>
      </c>
      <c r="G8" s="1114">
        <f t="shared" si="0"/>
        <v>50692539000</v>
      </c>
      <c r="H8" s="1114">
        <f t="shared" si="0"/>
        <v>61023155000</v>
      </c>
      <c r="I8" s="1114">
        <f t="shared" si="0"/>
        <v>75111620000</v>
      </c>
      <c r="J8" s="1114">
        <f t="shared" si="0"/>
        <v>75100384000</v>
      </c>
      <c r="K8" s="1114">
        <f t="shared" si="0"/>
        <v>74335868000</v>
      </c>
      <c r="L8" s="381"/>
      <c r="M8" s="487">
        <f>K8/J8-1</f>
        <v>-1.0179921317046814E-2</v>
      </c>
      <c r="N8" s="382"/>
      <c r="O8" s="382"/>
      <c r="P8" s="478"/>
      <c r="Q8" s="601"/>
      <c r="R8" s="601"/>
      <c r="S8" s="601"/>
      <c r="T8" s="601"/>
      <c r="U8" s="601"/>
      <c r="V8" s="601"/>
      <c r="W8" s="399"/>
      <c r="X8" s="399"/>
      <c r="Y8" s="399"/>
      <c r="Z8" s="399"/>
      <c r="AA8" s="399"/>
      <c r="AB8" s="399"/>
      <c r="AC8" s="399"/>
      <c r="AD8" s="410"/>
      <c r="AE8" s="399"/>
      <c r="AF8" s="399"/>
      <c r="AG8" s="399"/>
      <c r="AH8" s="399"/>
      <c r="AI8" s="399"/>
      <c r="AJ8" s="399"/>
      <c r="AK8" s="399"/>
      <c r="AL8" s="399"/>
      <c r="AM8" s="399"/>
      <c r="AN8" s="399"/>
      <c r="AO8" s="399"/>
      <c r="AP8" s="399"/>
      <c r="AQ8" s="399"/>
      <c r="AR8" s="399"/>
      <c r="AS8" s="399"/>
      <c r="AT8" s="399"/>
      <c r="AU8" s="399"/>
      <c r="AV8" s="399"/>
      <c r="AW8" s="399"/>
      <c r="AX8" s="399"/>
      <c r="AY8" s="399"/>
      <c r="AZ8" s="399"/>
      <c r="BA8" s="399"/>
      <c r="BB8" s="399"/>
      <c r="BC8" s="399"/>
      <c r="BD8" s="399"/>
      <c r="BE8" s="399"/>
      <c r="BF8" s="399"/>
      <c r="BG8" s="399"/>
      <c r="BH8" s="399"/>
      <c r="BI8" s="399"/>
      <c r="BJ8" s="399"/>
      <c r="BK8" s="399"/>
      <c r="BL8" s="399"/>
      <c r="BM8" s="399"/>
      <c r="BN8" s="399"/>
      <c r="BO8" s="399"/>
      <c r="BP8" s="399"/>
      <c r="BQ8" s="399"/>
      <c r="BR8" s="399"/>
      <c r="BS8" s="399"/>
      <c r="BT8" s="399"/>
      <c r="BU8" s="399"/>
      <c r="BV8" s="399"/>
      <c r="BW8" s="399"/>
      <c r="BX8" s="399"/>
      <c r="BY8" s="399"/>
      <c r="BZ8" s="399"/>
      <c r="CA8" s="399"/>
      <c r="CB8" s="399"/>
      <c r="CC8" s="399"/>
      <c r="CD8" s="399"/>
      <c r="CE8" s="399"/>
      <c r="CF8" s="399"/>
      <c r="CG8" s="399"/>
      <c r="CH8" s="399"/>
      <c r="CI8" s="399"/>
      <c r="CJ8" s="399"/>
      <c r="CK8" s="399"/>
      <c r="CL8" s="399"/>
      <c r="CM8" s="399"/>
      <c r="CN8" s="399"/>
      <c r="CO8" s="399"/>
      <c r="CP8" s="399"/>
      <c r="CQ8" s="399"/>
      <c r="CR8" s="399"/>
      <c r="CS8" s="399"/>
      <c r="CT8" s="399"/>
      <c r="CU8" s="399"/>
      <c r="CV8" s="399"/>
      <c r="CW8" s="399"/>
      <c r="CX8" s="399"/>
      <c r="CY8" s="399"/>
      <c r="CZ8" s="399"/>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row>
    <row r="9" spans="1:236" ht="16" thickTop="1">
      <c r="A9"/>
      <c r="B9" s="1115"/>
      <c r="C9" s="1115"/>
      <c r="D9" s="1115"/>
      <c r="E9" s="1115"/>
      <c r="F9" s="1115"/>
      <c r="G9" s="1115"/>
      <c r="H9" s="1115"/>
      <c r="I9" s="1115"/>
      <c r="J9" s="1115"/>
      <c r="K9" s="1115"/>
      <c r="L9" s="11"/>
      <c r="M9" s="383"/>
      <c r="N9" s="379"/>
      <c r="O9" s="379"/>
      <c r="P9" s="478"/>
      <c r="Q9" s="602"/>
      <c r="R9" s="602"/>
      <c r="S9" s="602"/>
      <c r="T9" s="602"/>
      <c r="U9" s="602"/>
      <c r="V9" s="602"/>
      <c r="W9" s="399"/>
      <c r="X9" s="399"/>
      <c r="Y9" s="399"/>
      <c r="Z9" s="399"/>
      <c r="AA9" s="399"/>
      <c r="AB9" s="399"/>
      <c r="AC9" s="399"/>
      <c r="AD9" s="411"/>
      <c r="AE9" s="399"/>
      <c r="AF9" s="399"/>
      <c r="AG9" s="399"/>
      <c r="AH9" s="399"/>
      <c r="AI9" s="399"/>
      <c r="AJ9" s="399"/>
      <c r="AK9" s="399"/>
      <c r="AL9" s="399"/>
      <c r="AM9" s="399"/>
      <c r="AN9" s="399"/>
      <c r="AO9" s="399"/>
      <c r="AP9" s="399"/>
      <c r="AQ9" s="399"/>
      <c r="AR9" s="399"/>
      <c r="AS9" s="399"/>
      <c r="AT9" s="399"/>
      <c r="AU9" s="399"/>
      <c r="AV9" s="399"/>
      <c r="AW9" s="399"/>
      <c r="AX9" s="399"/>
      <c r="AY9" s="399"/>
      <c r="AZ9" s="399"/>
      <c r="BA9" s="399"/>
      <c r="BB9" s="399"/>
      <c r="BC9" s="399"/>
      <c r="BD9" s="399"/>
      <c r="BE9" s="399"/>
      <c r="BF9" s="399"/>
      <c r="BG9" s="399"/>
      <c r="BH9" s="399"/>
      <c r="BI9" s="399"/>
      <c r="BJ9" s="399"/>
      <c r="BK9" s="399"/>
      <c r="BL9" s="399"/>
      <c r="BM9" s="399"/>
      <c r="BN9" s="399"/>
      <c r="BO9" s="399"/>
      <c r="BP9" s="399"/>
      <c r="BQ9" s="399"/>
      <c r="BR9" s="399"/>
      <c r="BS9" s="399"/>
      <c r="BT9" s="399"/>
      <c r="BU9" s="399"/>
      <c r="BV9" s="399"/>
      <c r="BW9" s="399"/>
      <c r="BX9" s="399"/>
      <c r="BY9" s="399"/>
      <c r="BZ9" s="399"/>
      <c r="CA9" s="399"/>
      <c r="CB9" s="399"/>
      <c r="CC9" s="399"/>
      <c r="CD9" s="399"/>
      <c r="CE9" s="399"/>
      <c r="CF9" s="399"/>
      <c r="CG9" s="399"/>
      <c r="CH9" s="399"/>
      <c r="CI9" s="399"/>
      <c r="CJ9" s="399"/>
      <c r="CK9" s="399"/>
      <c r="CL9" s="399"/>
      <c r="CM9" s="399"/>
      <c r="CN9" s="399"/>
      <c r="CO9" s="399"/>
      <c r="CP9" s="399"/>
      <c r="CQ9" s="399"/>
      <c r="CR9" s="399"/>
      <c r="CS9" s="399"/>
      <c r="CT9" s="399"/>
      <c r="CU9" s="399"/>
      <c r="CV9" s="399"/>
      <c r="CW9" s="399"/>
      <c r="CX9" s="399"/>
      <c r="CY9" s="399"/>
      <c r="CZ9" s="399"/>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row>
    <row r="10" spans="1:236" ht="15.5">
      <c r="A10" s="3" t="s">
        <v>1369</v>
      </c>
      <c r="B10" s="1115"/>
      <c r="C10" s="1115"/>
      <c r="D10" s="1115"/>
      <c r="E10" s="1115"/>
      <c r="F10" s="1115"/>
      <c r="G10" s="1115"/>
      <c r="H10" s="1115"/>
      <c r="I10" s="1115"/>
      <c r="J10" s="1115"/>
      <c r="K10" s="1115"/>
      <c r="L10" s="11"/>
      <c r="M10" s="379"/>
      <c r="N10" s="379"/>
      <c r="O10" s="379"/>
      <c r="P10" s="478"/>
      <c r="Q10" s="602"/>
      <c r="R10" s="602"/>
      <c r="S10" s="602"/>
      <c r="T10" s="602"/>
      <c r="U10" s="602"/>
      <c r="V10" s="602"/>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399"/>
      <c r="AY10" s="399"/>
      <c r="AZ10" s="399"/>
      <c r="BA10" s="399"/>
      <c r="BB10" s="399"/>
      <c r="BC10" s="399"/>
      <c r="BD10" s="399"/>
      <c r="BE10" s="399"/>
      <c r="BF10" s="399"/>
      <c r="BG10" s="399"/>
      <c r="BH10" s="399"/>
      <c r="BI10" s="399"/>
      <c r="BJ10" s="399"/>
      <c r="BK10" s="399"/>
      <c r="BL10" s="399"/>
      <c r="BM10" s="399"/>
      <c r="BN10" s="399"/>
      <c r="BO10" s="399"/>
      <c r="BP10" s="399"/>
      <c r="BQ10" s="399"/>
      <c r="BR10" s="399"/>
      <c r="BS10" s="399"/>
      <c r="BT10" s="399"/>
      <c r="BU10" s="399"/>
      <c r="BV10" s="399"/>
      <c r="BW10" s="399"/>
      <c r="BX10" s="399"/>
      <c r="BY10" s="399"/>
      <c r="BZ10" s="399"/>
      <c r="CA10" s="399"/>
      <c r="CB10" s="399"/>
      <c r="CC10" s="399"/>
      <c r="CD10" s="399"/>
      <c r="CE10" s="399"/>
      <c r="CF10" s="399"/>
      <c r="CG10" s="399"/>
      <c r="CH10" s="399"/>
      <c r="CI10" s="399"/>
      <c r="CJ10" s="399"/>
      <c r="CK10" s="399"/>
      <c r="CL10" s="399"/>
      <c r="CM10" s="399"/>
      <c r="CN10" s="399"/>
      <c r="CO10" s="399"/>
      <c r="CP10" s="399"/>
      <c r="CQ10" s="399"/>
      <c r="CR10" s="399"/>
      <c r="CS10" s="399"/>
      <c r="CT10" s="399"/>
      <c r="CU10" s="399"/>
      <c r="CV10" s="399"/>
      <c r="CW10" s="399"/>
      <c r="CX10" s="399"/>
      <c r="CY10" s="399"/>
      <c r="CZ10" s="399"/>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row>
    <row r="11" spans="1:236" ht="15.5">
      <c r="A11" t="s">
        <v>5</v>
      </c>
      <c r="B11" s="1115">
        <v>15733790000</v>
      </c>
      <c r="C11" s="1115">
        <v>17069018000</v>
      </c>
      <c r="D11" s="1115">
        <v>17348564000</v>
      </c>
      <c r="E11" s="1115">
        <v>18001810000</v>
      </c>
      <c r="F11" s="1115">
        <v>19188948000</v>
      </c>
      <c r="G11" s="1115">
        <v>20553037000</v>
      </c>
      <c r="H11" s="1115">
        <v>20943678000</v>
      </c>
      <c r="I11" s="1115">
        <v>24058765000</v>
      </c>
      <c r="J11" s="1115">
        <f>ByAcct!J18</f>
        <v>28061732000</v>
      </c>
      <c r="K11" s="1115">
        <f>ByAcct!K18</f>
        <v>26670180000</v>
      </c>
      <c r="L11" s="11"/>
      <c r="M11" s="379">
        <f>K11/J11-1</f>
        <v>-4.9588956234062787E-2</v>
      </c>
      <c r="N11" s="1413" t="s">
        <v>1276</v>
      </c>
      <c r="O11" s="1414">
        <f>K11/$K$8</f>
        <v>0.3587794252970854</v>
      </c>
      <c r="P11" s="603"/>
      <c r="Q11" s="601"/>
      <c r="R11" s="601"/>
      <c r="S11" s="601"/>
      <c r="T11" s="601"/>
      <c r="U11" s="601"/>
      <c r="V11" s="601"/>
      <c r="W11" s="399"/>
      <c r="X11" s="412"/>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399"/>
      <c r="AZ11" s="399"/>
      <c r="BA11" s="399"/>
      <c r="BB11" s="399"/>
      <c r="BC11" s="399"/>
      <c r="BD11" s="399"/>
      <c r="BE11" s="399"/>
      <c r="BF11" s="399"/>
      <c r="BG11" s="399"/>
      <c r="BH11" s="399"/>
      <c r="BI11" s="399"/>
      <c r="BJ11" s="399"/>
      <c r="BK11" s="399"/>
      <c r="BL11" s="399"/>
      <c r="BM11" s="399"/>
      <c r="BN11" s="399"/>
      <c r="BO11" s="399"/>
      <c r="BP11" s="399"/>
      <c r="BQ11" s="399"/>
      <c r="BR11" s="399"/>
      <c r="BS11" s="399"/>
      <c r="BT11" s="399"/>
      <c r="BU11" s="399"/>
      <c r="BV11" s="399"/>
      <c r="BW11" s="399"/>
      <c r="BX11" s="399"/>
      <c r="BY11" s="399"/>
      <c r="BZ11" s="399"/>
      <c r="CA11" s="399"/>
      <c r="CB11" s="399"/>
      <c r="CC11" s="399"/>
      <c r="CD11" s="399"/>
      <c r="CE11" s="399"/>
      <c r="CF11" s="399"/>
      <c r="CG11" s="399"/>
      <c r="CH11" s="399"/>
      <c r="CI11" s="399"/>
      <c r="CJ11" s="399"/>
      <c r="CK11" s="399"/>
      <c r="CL11" s="399"/>
      <c r="CM11" s="399"/>
      <c r="CN11" s="399"/>
      <c r="CO11" s="399"/>
      <c r="CP11" s="399"/>
      <c r="CQ11" s="399"/>
      <c r="CR11" s="399"/>
      <c r="CS11" s="399"/>
      <c r="CT11" s="399"/>
      <c r="CU11" s="399"/>
      <c r="CV11" s="399"/>
      <c r="CW11" s="399"/>
      <c r="CX11" s="399"/>
      <c r="CY11" s="399"/>
      <c r="CZ11" s="399"/>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row>
    <row r="12" spans="1:236" ht="15.5">
      <c r="A12" s="6" t="s">
        <v>711</v>
      </c>
      <c r="B12" s="1116">
        <v>718404000</v>
      </c>
      <c r="C12" s="1116">
        <v>783311000</v>
      </c>
      <c r="D12" s="1116">
        <v>792553000</v>
      </c>
      <c r="E12" s="1116">
        <v>799920000</v>
      </c>
      <c r="F12" s="1116">
        <v>800144000</v>
      </c>
      <c r="G12" s="1116">
        <v>822377140.20000005</v>
      </c>
      <c r="H12" s="1116">
        <v>1294169628.1300001</v>
      </c>
      <c r="I12" s="1116">
        <v>1568171000</v>
      </c>
      <c r="J12" s="1116">
        <f>ByAcct!J39</f>
        <v>1667381000</v>
      </c>
      <c r="K12" s="1116">
        <f>ByAcct!K39</f>
        <v>1688907000</v>
      </c>
      <c r="L12" s="206"/>
      <c r="M12" s="380">
        <f>K12/J12-1</f>
        <v>1.2910066745392967E-2</v>
      </c>
      <c r="N12" s="1413" t="s">
        <v>1277</v>
      </c>
      <c r="O12" s="1414">
        <f>K12/$K$8</f>
        <v>2.271994725345778E-2</v>
      </c>
      <c r="P12" s="603"/>
      <c r="Q12" s="601"/>
      <c r="R12" s="601"/>
      <c r="S12" s="601"/>
      <c r="T12" s="601"/>
      <c r="U12" s="601"/>
      <c r="V12" s="601"/>
      <c r="W12" s="399"/>
      <c r="X12" s="399"/>
      <c r="Y12" s="399"/>
      <c r="Z12" s="399"/>
      <c r="AA12" s="399"/>
      <c r="AB12" s="399"/>
      <c r="AC12" s="399"/>
      <c r="AD12" s="399"/>
      <c r="AE12" s="399"/>
      <c r="AF12" s="399"/>
      <c r="AG12" s="399"/>
      <c r="AH12" s="399"/>
      <c r="AI12" s="399"/>
      <c r="AJ12" s="399"/>
      <c r="AK12" s="399"/>
      <c r="AL12" s="399"/>
      <c r="AM12" s="399"/>
      <c r="AN12" s="399"/>
      <c r="AO12" s="399"/>
      <c r="AP12" s="399"/>
      <c r="AQ12" s="399"/>
      <c r="AR12" s="399"/>
      <c r="AS12" s="399"/>
      <c r="AT12" s="399"/>
      <c r="AU12" s="399"/>
      <c r="AV12" s="399"/>
      <c r="AW12" s="399"/>
      <c r="AX12" s="399"/>
      <c r="AY12" s="399"/>
      <c r="AZ12" s="399"/>
      <c r="BA12" s="399"/>
      <c r="BB12" s="399"/>
      <c r="BC12" s="399"/>
      <c r="BD12" s="399"/>
      <c r="BE12" s="399"/>
      <c r="BF12" s="399"/>
      <c r="BG12" s="399"/>
      <c r="BH12" s="399"/>
      <c r="BI12" s="399"/>
      <c r="BJ12" s="399"/>
      <c r="BK12" s="399"/>
      <c r="BL12" s="399"/>
      <c r="BM12" s="399"/>
      <c r="BN12" s="399"/>
      <c r="BO12" s="399"/>
      <c r="BP12" s="399"/>
      <c r="BQ12" s="399"/>
      <c r="BR12" s="399"/>
      <c r="BS12" s="399"/>
      <c r="BT12" s="399"/>
      <c r="BU12" s="399"/>
      <c r="BV12" s="399"/>
      <c r="BW12" s="399"/>
      <c r="BX12" s="399"/>
      <c r="BY12" s="399"/>
      <c r="BZ12" s="399"/>
      <c r="CA12" s="399"/>
      <c r="CB12" s="399"/>
      <c r="CC12" s="399"/>
      <c r="CD12" s="399"/>
      <c r="CE12" s="399"/>
      <c r="CF12" s="399"/>
      <c r="CG12" s="399"/>
      <c r="CH12" s="399"/>
      <c r="CI12" s="399"/>
      <c r="CJ12" s="399"/>
      <c r="CK12" s="399"/>
      <c r="CL12" s="399"/>
      <c r="CM12" s="399"/>
      <c r="CN12" s="399"/>
      <c r="CO12" s="399"/>
      <c r="CP12" s="399"/>
      <c r="CQ12" s="399"/>
      <c r="CR12" s="399"/>
      <c r="CS12" s="399"/>
      <c r="CT12" s="399"/>
      <c r="CU12" s="399"/>
      <c r="CV12" s="399"/>
      <c r="CW12" s="399"/>
      <c r="CX12" s="399"/>
      <c r="CY12" s="399"/>
      <c r="CZ12" s="399"/>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row>
    <row r="13" spans="1:236" ht="18" customHeight="1" thickBot="1">
      <c r="A13" s="12" t="s">
        <v>7</v>
      </c>
      <c r="B13" s="1114">
        <f t="shared" ref="B13:K13" si="1">SUM(B11:B12)</f>
        <v>16452194000</v>
      </c>
      <c r="C13" s="1114">
        <f t="shared" si="1"/>
        <v>17852329000</v>
      </c>
      <c r="D13" s="1114">
        <f t="shared" si="1"/>
        <v>18141117000</v>
      </c>
      <c r="E13" s="1114">
        <f t="shared" si="1"/>
        <v>18801730000</v>
      </c>
      <c r="F13" s="1114">
        <f t="shared" si="1"/>
        <v>19989092000</v>
      </c>
      <c r="G13" s="1114">
        <f t="shared" si="1"/>
        <v>21375414140.200001</v>
      </c>
      <c r="H13" s="1114">
        <f t="shared" si="1"/>
        <v>22237847628.130001</v>
      </c>
      <c r="I13" s="1114">
        <f t="shared" ref="I13" si="2">SUM(I11:I12)</f>
        <v>25626936000</v>
      </c>
      <c r="J13" s="1114">
        <f t="shared" si="1"/>
        <v>29729113000</v>
      </c>
      <c r="K13" s="1114">
        <f t="shared" si="1"/>
        <v>28359087000</v>
      </c>
      <c r="L13" s="381"/>
      <c r="M13" s="382">
        <f>K13/J13-1</f>
        <v>-4.6083648711618186E-2</v>
      </c>
      <c r="N13" s="1415"/>
      <c r="O13" s="1414"/>
      <c r="P13" s="603"/>
      <c r="Q13" s="601"/>
      <c r="R13" s="601"/>
      <c r="S13" s="601"/>
      <c r="T13" s="601"/>
      <c r="U13" s="601"/>
      <c r="V13" s="601"/>
      <c r="W13" s="399"/>
      <c r="X13" s="399"/>
      <c r="Y13" s="399"/>
      <c r="Z13" s="399"/>
      <c r="AA13" s="399"/>
      <c r="AB13" s="399"/>
      <c r="AC13" s="399"/>
      <c r="AD13" s="399"/>
      <c r="AE13" s="399"/>
      <c r="AF13" s="399"/>
      <c r="AG13" s="399"/>
      <c r="AH13" s="399"/>
      <c r="AI13" s="399"/>
      <c r="AJ13" s="399"/>
      <c r="AK13" s="399"/>
      <c r="AL13" s="399"/>
      <c r="AM13" s="399"/>
      <c r="AN13" s="399"/>
      <c r="AO13" s="399"/>
      <c r="AP13" s="399"/>
      <c r="AQ13" s="399"/>
      <c r="AR13" s="399"/>
      <c r="AS13" s="399"/>
      <c r="AT13" s="399"/>
      <c r="AU13" s="399"/>
      <c r="AV13" s="399"/>
      <c r="AW13" s="399"/>
      <c r="AX13" s="399"/>
      <c r="AY13" s="399"/>
      <c r="AZ13" s="399"/>
      <c r="BA13" s="399"/>
      <c r="BB13" s="399"/>
      <c r="BC13" s="399"/>
      <c r="BD13" s="399"/>
      <c r="BE13" s="399"/>
      <c r="BF13" s="399"/>
      <c r="BG13" s="399"/>
      <c r="BH13" s="399"/>
      <c r="BI13" s="399"/>
      <c r="BJ13" s="399"/>
      <c r="BK13" s="399"/>
      <c r="BL13" s="399"/>
      <c r="BM13" s="399"/>
      <c r="BN13" s="399"/>
      <c r="BO13" s="399"/>
      <c r="BP13" s="399"/>
      <c r="BQ13" s="399"/>
      <c r="BR13" s="399"/>
      <c r="BS13" s="399"/>
      <c r="BT13" s="399"/>
      <c r="BU13" s="399"/>
      <c r="BV13" s="399"/>
      <c r="BW13" s="399"/>
      <c r="BX13" s="399"/>
      <c r="BY13" s="399"/>
      <c r="BZ13" s="399"/>
      <c r="CA13" s="399"/>
      <c r="CB13" s="399"/>
      <c r="CC13" s="399"/>
      <c r="CD13" s="399"/>
      <c r="CE13" s="399"/>
      <c r="CF13" s="399"/>
      <c r="CG13" s="399"/>
      <c r="CH13" s="399"/>
      <c r="CI13" s="399"/>
      <c r="CJ13" s="399"/>
      <c r="CK13" s="399"/>
      <c r="CL13" s="399"/>
      <c r="CM13" s="399"/>
      <c r="CN13" s="399"/>
      <c r="CO13" s="399"/>
      <c r="CP13" s="399"/>
      <c r="CQ13" s="399"/>
      <c r="CR13" s="399"/>
      <c r="CS13" s="399"/>
      <c r="CT13" s="399"/>
      <c r="CU13" s="399"/>
      <c r="CV13" s="399"/>
      <c r="CW13" s="399"/>
      <c r="CX13" s="399"/>
      <c r="CY13" s="399"/>
      <c r="CZ13" s="399"/>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row>
    <row r="14" spans="1:236" ht="14.15" customHeight="1" thickTop="1">
      <c r="A14"/>
      <c r="B14" s="1115"/>
      <c r="C14" s="1115"/>
      <c r="D14" s="1115"/>
      <c r="E14" s="1115"/>
      <c r="F14" s="1115"/>
      <c r="G14" s="1115"/>
      <c r="H14" s="1115"/>
      <c r="I14" s="1115"/>
      <c r="J14" s="1115"/>
      <c r="K14" s="1115"/>
      <c r="L14" s="11"/>
      <c r="M14" s="384"/>
      <c r="N14" s="1413"/>
      <c r="O14" s="1414"/>
      <c r="P14" s="603"/>
      <c r="Q14" s="602"/>
      <c r="R14" s="602"/>
      <c r="S14" s="602"/>
      <c r="T14" s="602"/>
      <c r="U14" s="602"/>
      <c r="V14" s="602"/>
      <c r="W14" s="399"/>
      <c r="Y14" s="413"/>
      <c r="Z14" s="414"/>
      <c r="AA14" s="399"/>
      <c r="AB14" s="399"/>
      <c r="AC14" s="399"/>
      <c r="AD14" s="399"/>
      <c r="AE14" s="399"/>
      <c r="AF14" s="399"/>
      <c r="AG14" s="399"/>
      <c r="AH14" s="399"/>
      <c r="AI14" s="399"/>
      <c r="AJ14" s="399"/>
      <c r="AK14" s="399"/>
      <c r="AL14" s="399"/>
      <c r="AM14" s="399"/>
      <c r="AN14" s="399"/>
      <c r="AO14" s="399"/>
      <c r="AP14" s="399"/>
      <c r="AQ14" s="399"/>
      <c r="AR14" s="399"/>
      <c r="AS14" s="399"/>
      <c r="AT14" s="399"/>
      <c r="AU14" s="399"/>
      <c r="AV14" s="399"/>
      <c r="AW14" s="399"/>
      <c r="AX14" s="399"/>
      <c r="AY14" s="399"/>
      <c r="AZ14" s="399"/>
      <c r="BA14" s="399"/>
      <c r="BB14" s="399"/>
      <c r="BC14" s="399"/>
      <c r="BD14" s="399"/>
      <c r="BE14" s="399"/>
      <c r="BF14" s="399"/>
      <c r="BG14" s="399"/>
      <c r="BH14" s="399"/>
      <c r="BI14" s="399"/>
      <c r="BJ14" s="399"/>
      <c r="BK14" s="399"/>
      <c r="BL14" s="399"/>
      <c r="BM14" s="399"/>
      <c r="BN14" s="399"/>
      <c r="BO14" s="399"/>
      <c r="BP14" s="399"/>
      <c r="BQ14" s="399"/>
      <c r="BR14" s="399"/>
      <c r="BS14" s="399"/>
      <c r="BT14" s="399"/>
      <c r="BU14" s="399"/>
      <c r="BV14" s="399"/>
      <c r="BW14" s="399"/>
      <c r="BX14" s="399"/>
      <c r="BY14" s="399"/>
      <c r="BZ14" s="399"/>
      <c r="CA14" s="399"/>
      <c r="CB14" s="399"/>
      <c r="CC14" s="399"/>
      <c r="CD14" s="399"/>
      <c r="CE14" s="399"/>
      <c r="CF14" s="399"/>
      <c r="CG14" s="399"/>
      <c r="CH14" s="399"/>
      <c r="CI14" s="399"/>
      <c r="CJ14" s="399"/>
      <c r="CK14" s="399"/>
      <c r="CL14" s="399"/>
      <c r="CM14" s="399"/>
      <c r="CN14" s="399"/>
      <c r="CO14" s="399"/>
      <c r="CP14" s="399"/>
      <c r="CQ14" s="399"/>
      <c r="CR14" s="399"/>
      <c r="CS14" s="399"/>
      <c r="CT14" s="399"/>
      <c r="CU14" s="399"/>
      <c r="CV14" s="399"/>
      <c r="CW14" s="399"/>
      <c r="CX14" s="399"/>
      <c r="CY14" s="399"/>
      <c r="CZ14" s="399"/>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row>
    <row r="15" spans="1:236" ht="15.5">
      <c r="A15" s="3" t="s">
        <v>8</v>
      </c>
      <c r="B15" s="1115"/>
      <c r="C15" s="1115"/>
      <c r="D15" s="1115"/>
      <c r="E15" s="1115"/>
      <c r="F15" s="1115"/>
      <c r="G15" s="1115"/>
      <c r="H15" s="1115"/>
      <c r="I15" s="1115"/>
      <c r="J15" s="1115"/>
      <c r="K15" s="1115"/>
      <c r="L15" s="11"/>
      <c r="M15" s="379"/>
      <c r="N15" s="1413"/>
      <c r="O15" s="1414"/>
      <c r="P15" s="603"/>
      <c r="Q15" s="602"/>
      <c r="R15" s="602"/>
      <c r="S15" s="602"/>
      <c r="T15" s="602"/>
      <c r="U15" s="602"/>
      <c r="V15" s="602"/>
      <c r="W15" s="399"/>
      <c r="X15" s="399"/>
      <c r="AA15" s="399"/>
      <c r="AB15" s="399"/>
      <c r="AC15" s="399"/>
      <c r="AD15" s="399"/>
      <c r="AE15" s="399"/>
      <c r="AF15" s="399"/>
      <c r="AG15" s="399"/>
      <c r="AH15" s="399"/>
      <c r="AI15" s="399"/>
      <c r="AJ15" s="399"/>
      <c r="AK15" s="399"/>
      <c r="AL15" s="399"/>
      <c r="AM15" s="399"/>
      <c r="AN15" s="399"/>
      <c r="AO15" s="399"/>
      <c r="AP15" s="399"/>
      <c r="AQ15" s="399"/>
      <c r="AR15" s="399"/>
      <c r="AS15" s="399"/>
      <c r="AT15" s="399"/>
      <c r="AU15" s="399"/>
      <c r="AV15" s="399"/>
      <c r="AW15" s="399"/>
      <c r="AX15" s="399"/>
      <c r="AY15" s="399"/>
      <c r="AZ15" s="399"/>
      <c r="BA15" s="399"/>
      <c r="BB15" s="399"/>
      <c r="BC15" s="399"/>
      <c r="BD15" s="399"/>
      <c r="BE15" s="399"/>
      <c r="BF15" s="399"/>
      <c r="BG15" s="399"/>
      <c r="BH15" s="399"/>
      <c r="BI15" s="399"/>
      <c r="BJ15" s="399"/>
      <c r="BK15" s="399"/>
      <c r="BL15" s="399"/>
      <c r="BM15" s="399"/>
      <c r="BN15" s="399"/>
      <c r="BO15" s="399"/>
      <c r="BP15" s="399"/>
      <c r="BQ15" s="399"/>
      <c r="BR15" s="399"/>
      <c r="BS15" s="399"/>
      <c r="BT15" s="399"/>
      <c r="BU15" s="399"/>
      <c r="BV15" s="399"/>
      <c r="BW15" s="399"/>
      <c r="BX15" s="399"/>
      <c r="BY15" s="399"/>
      <c r="BZ15" s="399"/>
      <c r="CA15" s="399"/>
      <c r="CB15" s="399"/>
      <c r="CC15" s="399"/>
      <c r="CD15" s="399"/>
      <c r="CE15" s="399"/>
      <c r="CF15" s="399"/>
      <c r="CG15" s="399"/>
      <c r="CH15" s="399"/>
      <c r="CI15" s="399"/>
      <c r="CJ15" s="399"/>
      <c r="CK15" s="399"/>
      <c r="CL15" s="399"/>
      <c r="CM15" s="399"/>
      <c r="CN15" s="399"/>
      <c r="CO15" s="399"/>
      <c r="CP15" s="399"/>
      <c r="CQ15" s="399"/>
      <c r="CR15" s="399"/>
      <c r="CS15" s="399"/>
      <c r="CT15" s="399"/>
      <c r="CU15" s="399"/>
      <c r="CV15" s="399"/>
      <c r="CW15" s="399"/>
      <c r="CX15" s="399"/>
      <c r="CY15" s="399"/>
      <c r="CZ15" s="399"/>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row>
    <row r="16" spans="1:236" ht="15.5">
      <c r="A16" t="s">
        <v>5</v>
      </c>
      <c r="B16" s="1115">
        <f t="shared" ref="B16:K17" si="3">B6-B11</f>
        <v>785852999.99999809</v>
      </c>
      <c r="C16" s="1115">
        <f t="shared" si="3"/>
        <v>787553000</v>
      </c>
      <c r="D16" s="1115">
        <f t="shared" si="3"/>
        <v>821896000</v>
      </c>
      <c r="E16" s="1115">
        <f t="shared" si="3"/>
        <v>838017000</v>
      </c>
      <c r="F16" s="1115">
        <f t="shared" si="3"/>
        <v>835072000</v>
      </c>
      <c r="G16" s="1115">
        <f t="shared" ref="G16" si="4">G6-G11</f>
        <v>914057000</v>
      </c>
      <c r="H16" s="1115">
        <f t="shared" si="3"/>
        <v>959893000</v>
      </c>
      <c r="I16" s="1115">
        <f t="shared" ref="I16" si="5">I6-I11</f>
        <v>1025038000</v>
      </c>
      <c r="J16" s="1115">
        <f t="shared" si="3"/>
        <v>1047517000</v>
      </c>
      <c r="K16" s="1115">
        <f t="shared" si="3"/>
        <v>1409132000</v>
      </c>
      <c r="L16" s="11"/>
      <c r="M16" s="385">
        <f>K16/J16-1</f>
        <v>0.34521158129175955</v>
      </c>
      <c r="N16" s="1413" t="s">
        <v>1278</v>
      </c>
      <c r="O16" s="1414">
        <f>K16/$K$8</f>
        <v>1.8956286351563153E-2</v>
      </c>
      <c r="P16" s="603"/>
      <c r="Q16" s="601"/>
      <c r="R16" s="601"/>
      <c r="S16" s="601"/>
      <c r="T16" s="601"/>
      <c r="U16" s="601"/>
      <c r="V16" s="601"/>
      <c r="W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399"/>
      <c r="CN16" s="399"/>
      <c r="CO16" s="399"/>
      <c r="CP16" s="399"/>
      <c r="CQ16" s="399"/>
      <c r="CR16" s="399"/>
      <c r="CS16" s="399"/>
      <c r="CT16" s="399"/>
      <c r="CU16" s="399"/>
      <c r="CV16" s="399"/>
      <c r="CW16" s="399"/>
      <c r="CX16" s="399"/>
      <c r="CY16" s="399"/>
      <c r="CZ16" s="399"/>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row>
    <row r="17" spans="1:236" ht="15.5">
      <c r="A17" s="6" t="s">
        <v>711</v>
      </c>
      <c r="B17" s="1116">
        <f t="shared" si="3"/>
        <v>23556988000</v>
      </c>
      <c r="C17" s="1116">
        <f t="shared" si="3"/>
        <v>24021908000</v>
      </c>
      <c r="D17" s="1116">
        <f t="shared" si="3"/>
        <v>24487273000</v>
      </c>
      <c r="E17" s="1116">
        <f t="shared" si="3"/>
        <v>25273603000</v>
      </c>
      <c r="F17" s="1116">
        <f t="shared" si="3"/>
        <v>26808662000</v>
      </c>
      <c r="G17" s="1116">
        <f t="shared" ref="G17" si="6">G7-G12</f>
        <v>28403067859.799999</v>
      </c>
      <c r="H17" s="1116">
        <f t="shared" si="3"/>
        <v>37825414371.870003</v>
      </c>
      <c r="I17" s="1116">
        <f t="shared" ref="I17" si="7">I7-I12</f>
        <v>48459646000</v>
      </c>
      <c r="J17" s="1116">
        <f t="shared" si="3"/>
        <v>44323754000</v>
      </c>
      <c r="K17" s="1116">
        <f t="shared" si="3"/>
        <v>44567649000</v>
      </c>
      <c r="L17" s="206"/>
      <c r="M17" s="380">
        <f>K17/J17-1</f>
        <v>5.5025799484402782E-3</v>
      </c>
      <c r="N17" s="1413" t="s">
        <v>1279</v>
      </c>
      <c r="O17" s="1414">
        <f>K17/$K$8</f>
        <v>0.59954434109789367</v>
      </c>
      <c r="P17" s="604"/>
      <c r="Q17" s="601"/>
      <c r="R17" s="601"/>
      <c r="S17" s="601"/>
      <c r="T17" s="601"/>
      <c r="U17" s="601"/>
      <c r="V17" s="601"/>
      <c r="W17" s="399"/>
      <c r="AA17" s="399"/>
      <c r="AB17" s="399"/>
      <c r="AC17" s="399"/>
      <c r="AD17" s="399"/>
      <c r="AE17" s="399"/>
      <c r="AF17" s="399"/>
      <c r="AG17" s="399"/>
      <c r="AH17" s="399"/>
      <c r="AI17" s="399"/>
      <c r="AJ17" s="399"/>
      <c r="AK17" s="399"/>
      <c r="AL17" s="399"/>
      <c r="AM17" s="399"/>
      <c r="AN17" s="399"/>
      <c r="AO17" s="399"/>
      <c r="AP17" s="399"/>
      <c r="AQ17" s="399"/>
      <c r="AR17" s="399"/>
      <c r="AS17" s="399"/>
      <c r="AT17" s="399"/>
      <c r="AU17" s="399"/>
      <c r="AV17" s="399"/>
      <c r="AW17" s="399"/>
      <c r="AX17" s="399"/>
      <c r="AY17" s="399"/>
      <c r="AZ17" s="399"/>
      <c r="BA17" s="399"/>
      <c r="BB17" s="399"/>
      <c r="BC17" s="399"/>
      <c r="BD17" s="399"/>
      <c r="BE17" s="399"/>
      <c r="BF17" s="399"/>
      <c r="BG17" s="399"/>
      <c r="BH17" s="399"/>
      <c r="BI17" s="399"/>
      <c r="BJ17" s="399"/>
      <c r="BK17" s="399"/>
      <c r="BL17" s="399"/>
      <c r="BM17" s="399"/>
      <c r="BN17" s="399"/>
      <c r="BO17" s="399"/>
      <c r="BP17" s="399"/>
      <c r="BQ17" s="399"/>
      <c r="BR17" s="399"/>
      <c r="BS17" s="399"/>
      <c r="BT17" s="399"/>
      <c r="BU17" s="399"/>
      <c r="BV17" s="399"/>
      <c r="BW17" s="399"/>
      <c r="BX17" s="399"/>
      <c r="BY17" s="399"/>
      <c r="BZ17" s="399"/>
      <c r="CA17" s="399"/>
      <c r="CB17" s="399"/>
      <c r="CC17" s="399"/>
      <c r="CD17" s="399"/>
      <c r="CE17" s="399"/>
      <c r="CF17" s="399"/>
      <c r="CG17" s="399"/>
      <c r="CH17" s="399"/>
      <c r="CI17" s="399"/>
      <c r="CJ17" s="399"/>
      <c r="CK17" s="399"/>
      <c r="CL17" s="399"/>
      <c r="CM17" s="399"/>
      <c r="CN17" s="399"/>
      <c r="CO17" s="399"/>
      <c r="CP17" s="399"/>
      <c r="CQ17" s="399"/>
      <c r="CR17" s="399"/>
      <c r="CS17" s="399"/>
      <c r="CT17" s="399"/>
      <c r="CU17" s="399"/>
      <c r="CV17" s="399"/>
      <c r="CW17" s="399"/>
      <c r="CX17" s="399"/>
      <c r="CY17" s="399"/>
      <c r="CZ17" s="399"/>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row>
    <row r="18" spans="1:236" ht="18" customHeight="1" thickBot="1">
      <c r="A18" s="12" t="s">
        <v>9</v>
      </c>
      <c r="B18" s="1114">
        <f t="shared" ref="B18:K18" si="8">SUM(B16:B17)</f>
        <v>24342841000</v>
      </c>
      <c r="C18" s="1114">
        <f t="shared" si="8"/>
        <v>24809461000</v>
      </c>
      <c r="D18" s="1114">
        <f t="shared" si="8"/>
        <v>25309169000</v>
      </c>
      <c r="E18" s="1114">
        <f t="shared" si="8"/>
        <v>26111620000</v>
      </c>
      <c r="F18" s="1114">
        <f t="shared" si="8"/>
        <v>27643734000</v>
      </c>
      <c r="G18" s="1114">
        <f t="shared" ref="G18" si="9">SUM(G16:G17)</f>
        <v>29317124859.799999</v>
      </c>
      <c r="H18" s="1114">
        <f t="shared" si="8"/>
        <v>38785307371.870003</v>
      </c>
      <c r="I18" s="1114">
        <f t="shared" ref="I18" si="10">SUM(I16:I17)</f>
        <v>49484684000</v>
      </c>
      <c r="J18" s="1114">
        <f t="shared" si="8"/>
        <v>45371271000</v>
      </c>
      <c r="K18" s="1114">
        <f t="shared" si="8"/>
        <v>45976781000</v>
      </c>
      <c r="L18" s="381"/>
      <c r="M18" s="488">
        <f>K18/J18-1</f>
        <v>1.3345669774161628E-2</v>
      </c>
      <c r="N18" s="382"/>
      <c r="O18" s="382"/>
      <c r="P18" s="603"/>
      <c r="Q18" s="601"/>
      <c r="R18" s="601"/>
      <c r="S18" s="601"/>
      <c r="T18" s="601"/>
      <c r="U18" s="601"/>
      <c r="V18" s="601"/>
      <c r="W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399"/>
      <c r="BJ18" s="399"/>
      <c r="BK18" s="399"/>
      <c r="BL18" s="399"/>
      <c r="BM18" s="399"/>
      <c r="BN18" s="399"/>
      <c r="BO18" s="399"/>
      <c r="BP18" s="399"/>
      <c r="BQ18" s="399"/>
      <c r="BR18" s="399"/>
      <c r="BS18" s="399"/>
      <c r="BT18" s="399"/>
      <c r="BU18" s="399"/>
      <c r="BV18" s="399"/>
      <c r="BW18" s="399"/>
      <c r="BX18" s="399"/>
      <c r="BY18" s="399"/>
      <c r="BZ18" s="399"/>
      <c r="CA18" s="399"/>
      <c r="CB18" s="399"/>
      <c r="CC18" s="399"/>
      <c r="CD18" s="399"/>
      <c r="CE18" s="399"/>
      <c r="CF18" s="399"/>
      <c r="CG18" s="399"/>
      <c r="CH18" s="399"/>
      <c r="CI18" s="399"/>
      <c r="CJ18" s="399"/>
      <c r="CK18" s="399"/>
      <c r="CL18" s="399"/>
      <c r="CM18" s="399"/>
      <c r="CN18" s="399"/>
      <c r="CO18" s="399"/>
      <c r="CP18" s="399"/>
      <c r="CQ18" s="399"/>
      <c r="CR18" s="399"/>
      <c r="CS18" s="399"/>
      <c r="CT18" s="399"/>
      <c r="CU18" s="399"/>
      <c r="CV18" s="399"/>
      <c r="CW18" s="399"/>
      <c r="CX18" s="399"/>
      <c r="CY18" s="399"/>
      <c r="CZ18" s="399"/>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row>
    <row r="19" spans="1:236" ht="14" customHeight="1" thickTop="1">
      <c r="A19"/>
      <c r="B19"/>
      <c r="C19"/>
      <c r="D19"/>
      <c r="E19"/>
      <c r="F19"/>
      <c r="G19"/>
      <c r="H19"/>
      <c r="I19"/>
      <c r="J19"/>
      <c r="K19"/>
      <c r="L19"/>
      <c r="M19" s="10"/>
      <c r="N19" s="10"/>
      <c r="O19" s="10"/>
      <c r="P19" s="600"/>
      <c r="Q19" s="601"/>
      <c r="R19" s="601"/>
      <c r="S19" s="601"/>
      <c r="T19" s="601"/>
      <c r="U19" s="601"/>
      <c r="V19" s="601"/>
      <c r="W19" s="399"/>
      <c r="AA19" s="399"/>
      <c r="AB19" s="399"/>
      <c r="AC19" s="399"/>
      <c r="AD19" s="399"/>
      <c r="AE19" s="399"/>
      <c r="AF19" s="399"/>
      <c r="AG19" s="399"/>
      <c r="AH19" s="399"/>
      <c r="AI19" s="399"/>
      <c r="AJ19" s="399"/>
      <c r="AK19" s="399"/>
      <c r="AL19" s="399"/>
      <c r="AM19" s="399"/>
      <c r="AN19" s="399"/>
      <c r="AO19" s="399"/>
      <c r="AP19" s="399"/>
      <c r="AQ19" s="399"/>
      <c r="AR19" s="399"/>
      <c r="AS19" s="399"/>
      <c r="AT19" s="399"/>
      <c r="AU19" s="399"/>
      <c r="AV19" s="399"/>
      <c r="AW19" s="399"/>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399"/>
      <c r="CS19" s="399"/>
      <c r="CT19" s="399"/>
      <c r="CU19" s="399"/>
      <c r="CV19" s="399"/>
      <c r="CW19" s="399"/>
      <c r="CX19" s="399"/>
      <c r="CY19" s="399"/>
      <c r="CZ19" s="399"/>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row>
    <row r="20" spans="1:236" s="1520" customFormat="1" ht="13">
      <c r="A20" s="1519" t="s">
        <v>1</v>
      </c>
      <c r="B20" s="1561"/>
      <c r="C20" s="1561"/>
      <c r="D20" s="1561"/>
      <c r="E20" s="1561"/>
      <c r="F20" s="1561"/>
      <c r="G20" s="1561"/>
      <c r="H20" s="1561"/>
      <c r="I20" s="1561"/>
      <c r="J20" s="1561"/>
      <c r="K20" s="1561"/>
      <c r="M20" s="1562"/>
      <c r="N20" s="1563"/>
      <c r="O20" s="1563"/>
      <c r="P20" s="1562"/>
      <c r="Q20" s="1564"/>
      <c r="R20" s="1564"/>
      <c r="S20" s="1564"/>
      <c r="T20" s="1564"/>
      <c r="U20" s="1564"/>
      <c r="V20" s="1564"/>
    </row>
    <row r="21" spans="1:236" s="1520" customFormat="1" ht="13">
      <c r="A21" s="1519" t="s">
        <v>10</v>
      </c>
      <c r="K21" s="1565"/>
      <c r="M21" s="1562"/>
      <c r="N21" s="1563"/>
      <c r="O21" s="1563"/>
      <c r="P21" s="1562"/>
      <c r="Q21" s="1564"/>
      <c r="R21" s="1564"/>
      <c r="S21" s="1564"/>
      <c r="T21" s="1564"/>
      <c r="U21" s="1564"/>
      <c r="V21" s="1564"/>
    </row>
    <row r="22" spans="1:236" s="1520" customFormat="1" ht="13">
      <c r="A22" s="1519" t="s">
        <v>1243</v>
      </c>
      <c r="N22" s="704"/>
      <c r="O22" s="704"/>
      <c r="P22" s="1521"/>
    </row>
    <row r="23" spans="1:236" s="1520" customFormat="1" ht="13">
      <c r="A23" s="1524" t="s">
        <v>1373</v>
      </c>
      <c r="B23" s="1566"/>
      <c r="C23" s="1566"/>
      <c r="D23" s="1566"/>
      <c r="E23" s="1566"/>
      <c r="F23" s="1566"/>
      <c r="G23" s="1566"/>
      <c r="H23" s="1566"/>
      <c r="I23" s="1566"/>
      <c r="J23" s="1566"/>
      <c r="K23" s="1566"/>
      <c r="M23" s="1521"/>
      <c r="N23" s="1522"/>
      <c r="O23" s="1522"/>
      <c r="P23" s="1521"/>
    </row>
    <row r="24" spans="1:236" s="1520" customFormat="1" ht="13">
      <c r="A24" s="1588" t="s">
        <v>1364</v>
      </c>
      <c r="B24" s="1566"/>
      <c r="C24" s="1566"/>
      <c r="D24" s="1566"/>
      <c r="E24" s="1566"/>
      <c r="F24" s="1566"/>
      <c r="G24" s="1566"/>
      <c r="H24" s="1566"/>
      <c r="I24" s="1566"/>
      <c r="J24" s="1566"/>
      <c r="K24" s="1566"/>
      <c r="M24" s="1521"/>
      <c r="N24" s="1522"/>
      <c r="O24" s="1522"/>
      <c r="P24" s="1521"/>
    </row>
    <row r="25" spans="1:236" ht="12.75" customHeight="1">
      <c r="A25" s="1588" t="s">
        <v>1365</v>
      </c>
      <c r="B25" s="1566"/>
      <c r="C25" s="1566"/>
      <c r="D25" s="1566"/>
      <c r="E25" s="1566"/>
      <c r="F25" s="1566"/>
      <c r="G25" s="1566"/>
      <c r="H25" s="1566"/>
      <c r="I25" s="1566"/>
      <c r="J25" s="1566"/>
      <c r="K25" s="1566"/>
      <c r="L25" s="1520"/>
      <c r="M25" s="1521"/>
      <c r="N25" s="1522"/>
      <c r="O25" s="1522"/>
      <c r="P25" s="1521"/>
      <c r="Q25" s="1520"/>
      <c r="R25" s="1520"/>
      <c r="S25" s="1520"/>
      <c r="T25" s="1520"/>
      <c r="U25" s="1520"/>
      <c r="V25" s="1520"/>
      <c r="W25" s="1520"/>
      <c r="AA25" s="399"/>
      <c r="AB25" s="399"/>
      <c r="AC25" s="399"/>
      <c r="AD25" s="399"/>
      <c r="AE25" s="399"/>
      <c r="AF25" s="399"/>
      <c r="AG25" s="399"/>
      <c r="AH25" s="399"/>
      <c r="AI25" s="399"/>
      <c r="AJ25" s="399"/>
      <c r="AK25" s="399"/>
      <c r="AL25" s="399"/>
      <c r="AM25" s="399"/>
      <c r="AN25" s="399"/>
      <c r="AO25" s="399"/>
      <c r="AP25" s="399"/>
      <c r="AQ25" s="399"/>
      <c r="AR25" s="399"/>
      <c r="AS25" s="399"/>
      <c r="AT25" s="399"/>
      <c r="AU25" s="399"/>
      <c r="AV25" s="399"/>
      <c r="AW25" s="399"/>
      <c r="AX25" s="399"/>
      <c r="AY25" s="399"/>
      <c r="AZ25" s="399"/>
      <c r="BA25" s="399"/>
      <c r="BB25" s="399"/>
      <c r="BC25" s="399"/>
      <c r="BD25" s="399"/>
      <c r="BE25" s="399"/>
      <c r="BF25" s="399"/>
      <c r="BG25" s="399"/>
      <c r="BH25" s="399"/>
      <c r="BI25" s="399"/>
      <c r="BJ25" s="399"/>
      <c r="BK25" s="399"/>
      <c r="BL25" s="399"/>
      <c r="BM25" s="399"/>
      <c r="BN25" s="399"/>
      <c r="BO25" s="399"/>
      <c r="BP25" s="399"/>
      <c r="BQ25" s="399"/>
      <c r="BR25" s="399"/>
      <c r="BS25" s="399"/>
      <c r="BT25" s="399"/>
      <c r="BU25" s="399"/>
      <c r="BV25" s="399"/>
      <c r="BW25" s="399"/>
      <c r="BX25" s="399"/>
      <c r="BY25" s="399"/>
      <c r="BZ25" s="399"/>
      <c r="CA25" s="399"/>
      <c r="CB25" s="399"/>
      <c r="CC25" s="399"/>
      <c r="CD25" s="399"/>
      <c r="CE25" s="399"/>
      <c r="CF25" s="399"/>
      <c r="CG25" s="399"/>
      <c r="CH25" s="399"/>
      <c r="CI25" s="399"/>
      <c r="CJ25" s="399"/>
      <c r="CK25" s="399"/>
      <c r="CL25" s="399"/>
      <c r="CM25" s="399"/>
      <c r="CN25" s="399"/>
      <c r="CO25" s="399"/>
      <c r="CP25" s="399"/>
      <c r="CQ25" s="399"/>
      <c r="CR25" s="399"/>
      <c r="CS25" s="399"/>
      <c r="CT25" s="399"/>
      <c r="CU25" s="399"/>
      <c r="CV25" s="399"/>
      <c r="CW25" s="399"/>
      <c r="CX25" s="399"/>
      <c r="CY25" s="399"/>
      <c r="CZ25" s="399"/>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row>
    <row r="26" spans="1:236" ht="12.75" customHeight="1">
      <c r="A26" s="1588" t="s">
        <v>1366</v>
      </c>
      <c r="B26" s="1566"/>
      <c r="C26" s="1566"/>
      <c r="D26" s="1566"/>
      <c r="E26" s="1566"/>
      <c r="F26" s="1566"/>
      <c r="G26" s="1566"/>
      <c r="H26" s="1566"/>
      <c r="I26" s="1566"/>
      <c r="J26" s="1566"/>
      <c r="K26" s="1566"/>
      <c r="L26" s="1520"/>
      <c r="M26" s="1521"/>
      <c r="N26" s="1522"/>
      <c r="O26" s="1522"/>
      <c r="P26" s="1521"/>
      <c r="Q26" s="1520"/>
      <c r="R26" s="1520"/>
      <c r="S26" s="1520"/>
      <c r="T26" s="1520"/>
      <c r="U26" s="1520"/>
      <c r="V26" s="1520"/>
      <c r="W26" s="1520"/>
      <c r="AA26" s="399"/>
      <c r="AB26" s="399"/>
      <c r="AC26" s="399"/>
      <c r="AD26" s="399"/>
      <c r="AE26" s="399"/>
      <c r="AF26" s="399"/>
      <c r="AG26" s="399"/>
      <c r="AH26" s="399"/>
      <c r="AI26" s="399"/>
      <c r="AJ26" s="399"/>
      <c r="AK26" s="399"/>
      <c r="AL26" s="399"/>
      <c r="AM26" s="399"/>
      <c r="AN26" s="399"/>
      <c r="AO26" s="399"/>
      <c r="AP26" s="399"/>
      <c r="AQ26" s="399"/>
      <c r="AR26" s="399"/>
      <c r="AS26" s="399"/>
      <c r="AT26" s="399"/>
      <c r="AU26" s="399"/>
      <c r="AV26" s="399"/>
      <c r="AW26" s="399"/>
      <c r="AX26" s="399"/>
      <c r="AY26" s="399"/>
      <c r="AZ26" s="399"/>
      <c r="BA26" s="399"/>
      <c r="BB26" s="399"/>
      <c r="BC26" s="399"/>
      <c r="BD26" s="399"/>
      <c r="BE26" s="399"/>
      <c r="BF26" s="399"/>
      <c r="BG26" s="399"/>
      <c r="BH26" s="399"/>
      <c r="BI26" s="399"/>
      <c r="BJ26" s="399"/>
      <c r="BK26" s="399"/>
      <c r="BL26" s="399"/>
      <c r="BM26" s="399"/>
      <c r="BN26" s="399"/>
      <c r="BO26" s="399"/>
      <c r="BP26" s="399"/>
      <c r="BQ26" s="399"/>
      <c r="BR26" s="399"/>
      <c r="BS26" s="399"/>
      <c r="BT26" s="399"/>
      <c r="BU26" s="399"/>
      <c r="BV26" s="399"/>
      <c r="BW26" s="399"/>
      <c r="BX26" s="399"/>
      <c r="BY26" s="399"/>
      <c r="BZ26" s="399"/>
      <c r="CA26" s="399"/>
      <c r="CB26" s="399"/>
      <c r="CC26" s="399"/>
      <c r="CD26" s="399"/>
      <c r="CE26" s="399"/>
      <c r="CF26" s="399"/>
      <c r="CG26" s="399"/>
      <c r="CH26" s="399"/>
      <c r="CI26" s="399"/>
      <c r="CJ26" s="399"/>
      <c r="CK26" s="399"/>
      <c r="CL26" s="399"/>
      <c r="CM26" s="399"/>
      <c r="CN26" s="399"/>
      <c r="CO26" s="399"/>
      <c r="CP26" s="399"/>
      <c r="CQ26" s="399"/>
      <c r="CR26" s="399"/>
      <c r="CS26" s="399"/>
      <c r="CT26" s="399"/>
      <c r="CU26" s="399"/>
      <c r="CV26" s="399"/>
      <c r="CW26" s="399"/>
      <c r="CX26" s="399"/>
      <c r="CY26" s="399"/>
      <c r="CZ26" s="399"/>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row>
    <row r="27" spans="1:236" ht="12.75" customHeight="1">
      <c r="A27" s="6"/>
      <c r="B27" s="136"/>
      <c r="C27" s="136"/>
      <c r="D27" s="136"/>
      <c r="E27" s="136"/>
      <c r="F27" s="136"/>
      <c r="G27" s="136"/>
      <c r="H27" s="136"/>
      <c r="I27" s="136"/>
      <c r="J27" s="136"/>
      <c r="K27" s="136"/>
      <c r="L27" s="1"/>
      <c r="M27" s="5"/>
      <c r="N27" s="5"/>
      <c r="O27" s="5"/>
      <c r="P27" s="477"/>
      <c r="Q27" s="361"/>
      <c r="R27" s="361"/>
      <c r="S27" s="361"/>
      <c r="T27" s="361"/>
      <c r="U27" s="361"/>
      <c r="V27" s="361"/>
      <c r="W27" s="399"/>
      <c r="X27" s="426"/>
      <c r="Y27" s="426"/>
      <c r="Z27" s="426"/>
      <c r="AA27" s="184"/>
      <c r="AB27" s="222"/>
      <c r="AC27" s="399"/>
      <c r="AD27" s="399"/>
      <c r="AE27" s="399"/>
      <c r="AF27" s="399"/>
      <c r="AG27" s="399"/>
      <c r="AH27" s="399"/>
      <c r="AI27" s="399"/>
      <c r="AJ27" s="399"/>
      <c r="AK27" s="399"/>
      <c r="AL27" s="399"/>
      <c r="AM27" s="399"/>
      <c r="AN27" s="399"/>
      <c r="AO27" s="399"/>
      <c r="AP27" s="399"/>
      <c r="AQ27" s="399"/>
      <c r="AR27" s="399"/>
      <c r="AS27" s="399"/>
      <c r="AT27" s="399"/>
      <c r="AU27" s="399"/>
      <c r="AV27" s="399"/>
      <c r="AW27" s="399"/>
      <c r="AX27" s="399"/>
      <c r="AY27" s="399"/>
      <c r="AZ27" s="399"/>
      <c r="BA27" s="399"/>
      <c r="BB27" s="399"/>
      <c r="BC27" s="399"/>
      <c r="BD27" s="399"/>
      <c r="BE27" s="399"/>
      <c r="BF27" s="399"/>
      <c r="BG27" s="399"/>
      <c r="BH27" s="399"/>
      <c r="BI27" s="399"/>
      <c r="BJ27" s="399"/>
      <c r="BK27" s="399"/>
      <c r="BL27" s="399"/>
      <c r="BM27" s="399"/>
      <c r="BN27" s="399"/>
      <c r="BO27" s="399"/>
      <c r="BP27" s="399"/>
      <c r="BQ27" s="399"/>
      <c r="BR27" s="399"/>
      <c r="BS27" s="399"/>
      <c r="BT27" s="399"/>
      <c r="BU27" s="399"/>
      <c r="BV27" s="399"/>
      <c r="BW27" s="399"/>
      <c r="BX27" s="399"/>
      <c r="BY27" s="399"/>
      <c r="BZ27" s="399"/>
      <c r="CA27" s="399"/>
      <c r="CB27" s="399"/>
      <c r="CC27" s="399"/>
      <c r="CD27" s="399"/>
      <c r="CE27" s="399"/>
      <c r="CF27" s="399"/>
      <c r="CG27" s="399"/>
      <c r="CH27" s="399"/>
      <c r="CI27" s="399"/>
      <c r="CJ27" s="399"/>
      <c r="CK27" s="399"/>
      <c r="CL27" s="399"/>
      <c r="CM27" s="399"/>
      <c r="CN27" s="399"/>
      <c r="CO27" s="399"/>
      <c r="CP27" s="399"/>
      <c r="CQ27" s="399"/>
      <c r="CR27" s="399"/>
      <c r="CS27" s="399"/>
      <c r="CT27" s="399"/>
      <c r="CU27" s="399"/>
      <c r="CV27" s="399"/>
      <c r="CW27" s="399"/>
      <c r="CX27" s="399"/>
      <c r="CY27" s="399"/>
      <c r="CZ27" s="399"/>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row>
    <row r="28" spans="1:236" ht="12.75" customHeight="1">
      <c r="A28" s="1"/>
      <c r="B28" s="136"/>
      <c r="C28" s="136"/>
      <c r="D28" s="136"/>
      <c r="E28" s="136"/>
      <c r="F28" s="136"/>
      <c r="G28" s="136"/>
      <c r="H28" s="136"/>
      <c r="I28" s="136"/>
      <c r="J28" s="136"/>
      <c r="K28" s="136"/>
      <c r="L28" s="1"/>
      <c r="M28" s="5"/>
      <c r="N28" s="5"/>
      <c r="O28" s="5"/>
      <c r="P28" s="477"/>
      <c r="Q28" s="361"/>
      <c r="R28" s="361"/>
      <c r="S28" s="361"/>
      <c r="T28" s="361"/>
      <c r="U28" s="361"/>
      <c r="V28" s="361"/>
      <c r="W28" s="399"/>
      <c r="X28" s="426"/>
      <c r="Y28" s="419"/>
      <c r="Z28" s="419"/>
      <c r="AA28" s="222" t="s">
        <v>715</v>
      </c>
      <c r="AB28" s="222" t="s">
        <v>719</v>
      </c>
      <c r="AC28" s="399"/>
      <c r="AD28" s="399"/>
      <c r="AE28" s="399"/>
      <c r="AF28" s="399"/>
      <c r="AG28" s="399"/>
      <c r="AH28" s="399"/>
      <c r="AI28" s="399"/>
      <c r="AJ28" s="399"/>
      <c r="AK28" s="399"/>
      <c r="AL28" s="399"/>
      <c r="AM28" s="399"/>
      <c r="AN28" s="399"/>
      <c r="AO28" s="399"/>
      <c r="AP28" s="399"/>
      <c r="AQ28" s="399"/>
      <c r="AR28" s="399"/>
      <c r="AS28" s="399"/>
      <c r="AT28" s="399"/>
      <c r="AU28" s="399"/>
      <c r="AV28" s="399"/>
      <c r="AW28" s="399"/>
      <c r="AX28" s="399"/>
      <c r="AY28" s="399"/>
      <c r="AZ28" s="399"/>
      <c r="BA28" s="399"/>
      <c r="BB28" s="399"/>
      <c r="BC28" s="399"/>
      <c r="BD28" s="399"/>
      <c r="BE28" s="399"/>
      <c r="BF28" s="399"/>
      <c r="BG28" s="399"/>
      <c r="BH28" s="399"/>
      <c r="BI28" s="399"/>
      <c r="BJ28" s="399"/>
      <c r="BK28" s="399"/>
      <c r="BL28" s="399"/>
      <c r="BM28" s="399"/>
      <c r="BN28" s="399"/>
      <c r="BO28" s="399"/>
      <c r="BP28" s="399"/>
      <c r="BQ28" s="399"/>
      <c r="BR28" s="399"/>
      <c r="BS28" s="399"/>
      <c r="BT28" s="399"/>
      <c r="BU28" s="399"/>
      <c r="BV28" s="399"/>
      <c r="BW28" s="399"/>
      <c r="BX28" s="399"/>
      <c r="BY28" s="399"/>
      <c r="BZ28" s="399"/>
      <c r="CA28" s="399"/>
      <c r="CB28" s="399"/>
      <c r="CC28" s="399"/>
      <c r="CD28" s="399"/>
      <c r="CE28" s="399"/>
      <c r="CF28" s="399"/>
      <c r="CG28" s="399"/>
      <c r="CH28" s="399"/>
      <c r="CI28" s="399"/>
      <c r="CJ28" s="399"/>
      <c r="CK28" s="399"/>
      <c r="CL28" s="399"/>
      <c r="CM28" s="399"/>
      <c r="CN28" s="399"/>
      <c r="CO28" s="399"/>
      <c r="CP28" s="399"/>
      <c r="CQ28" s="399"/>
      <c r="CR28" s="399"/>
      <c r="CS28" s="399"/>
      <c r="CT28" s="399"/>
      <c r="CU28" s="399"/>
      <c r="CV28" s="399"/>
      <c r="CW28" s="399"/>
      <c r="CX28" s="399"/>
      <c r="CY28" s="399"/>
      <c r="CZ28" s="399"/>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row>
    <row r="29" spans="1:236" ht="14.15" customHeight="1">
      <c r="A29" s="1"/>
      <c r="B29" s="1"/>
      <c r="C29" s="1"/>
      <c r="D29" s="1"/>
      <c r="E29" s="1"/>
      <c r="F29" s="1"/>
      <c r="G29" s="1"/>
      <c r="H29" s="1"/>
      <c r="I29" s="1"/>
      <c r="J29" s="1"/>
      <c r="K29" s="1"/>
      <c r="L29" s="1"/>
      <c r="M29" s="5"/>
      <c r="N29" s="5"/>
      <c r="O29" s="5"/>
      <c r="P29" s="477"/>
      <c r="Q29" s="361"/>
      <c r="R29" s="361"/>
      <c r="S29" s="361"/>
      <c r="T29" s="361"/>
      <c r="U29" s="361"/>
      <c r="V29" s="361"/>
      <c r="W29" s="184"/>
      <c r="X29" s="426"/>
      <c r="Y29" s="419" t="s">
        <v>712</v>
      </c>
      <c r="Z29" s="420">
        <f>K11/1000000000</f>
        <v>26.670179999999998</v>
      </c>
      <c r="AA29" s="421" t="e">
        <f>Z29/#REF!</f>
        <v>#REF!</v>
      </c>
      <c r="AB29" s="222">
        <v>40</v>
      </c>
      <c r="AC29" s="399"/>
      <c r="AD29" s="399"/>
      <c r="AE29" s="399"/>
      <c r="AF29" s="399"/>
      <c r="AG29" s="399"/>
      <c r="AH29" s="399"/>
      <c r="AI29" s="399"/>
      <c r="AJ29" s="399"/>
      <c r="AK29" s="399"/>
      <c r="AL29" s="399"/>
      <c r="AM29" s="399"/>
      <c r="AN29" s="399"/>
      <c r="AO29" s="399"/>
      <c r="AP29" s="399"/>
      <c r="AQ29" s="399"/>
      <c r="AR29" s="399"/>
      <c r="AS29" s="399"/>
      <c r="AT29" s="399"/>
      <c r="AU29" s="399"/>
      <c r="AV29" s="399"/>
      <c r="AW29" s="399"/>
      <c r="AX29" s="399"/>
      <c r="AY29" s="399"/>
      <c r="AZ29" s="399"/>
      <c r="BA29" s="399"/>
      <c r="BB29" s="399"/>
      <c r="BC29" s="399"/>
      <c r="BD29" s="399"/>
      <c r="BE29" s="399"/>
      <c r="BF29" s="399"/>
      <c r="BG29" s="399"/>
      <c r="BH29" s="399"/>
      <c r="BI29" s="399"/>
      <c r="BJ29" s="399"/>
      <c r="BK29" s="399"/>
      <c r="BL29" s="399"/>
      <c r="BM29" s="399"/>
      <c r="BN29" s="399"/>
      <c r="BO29" s="399"/>
      <c r="BP29" s="399"/>
      <c r="BQ29" s="399"/>
      <c r="BR29" s="399"/>
      <c r="BS29" s="399"/>
      <c r="BT29" s="399"/>
      <c r="BU29" s="399"/>
      <c r="BV29" s="399"/>
      <c r="BW29" s="399"/>
      <c r="BX29" s="399"/>
      <c r="BY29" s="399"/>
      <c r="BZ29" s="399"/>
      <c r="CA29" s="399"/>
      <c r="CB29" s="399"/>
      <c r="CC29" s="399"/>
      <c r="CD29" s="399"/>
      <c r="CE29" s="399"/>
      <c r="CF29" s="399"/>
      <c r="CG29" s="399"/>
      <c r="CH29" s="399"/>
      <c r="CI29" s="399"/>
      <c r="CJ29" s="399"/>
      <c r="CK29" s="399"/>
      <c r="CL29" s="399"/>
      <c r="CM29" s="399"/>
      <c r="CN29" s="399"/>
      <c r="CO29" s="399"/>
      <c r="CP29" s="399"/>
      <c r="CQ29" s="399"/>
      <c r="CR29" s="399"/>
      <c r="CS29" s="399"/>
      <c r="CT29" s="399"/>
      <c r="CU29" s="399"/>
      <c r="CV29" s="399"/>
      <c r="CW29" s="399"/>
      <c r="CX29" s="399"/>
      <c r="CY29" s="399"/>
      <c r="CZ29" s="399"/>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row>
    <row r="30" spans="1:236" ht="14.15" customHeight="1">
      <c r="A30" s="238"/>
      <c r="B30" s="1"/>
      <c r="C30" s="1"/>
      <c r="D30" s="1"/>
      <c r="E30" s="1"/>
      <c r="F30" s="1"/>
      <c r="G30" s="1"/>
      <c r="H30" s="1"/>
      <c r="I30" s="1"/>
      <c r="J30" s="1"/>
      <c r="K30" s="1"/>
      <c r="L30" s="1"/>
      <c r="M30" s="5"/>
      <c r="N30" s="5"/>
      <c r="O30" s="5"/>
      <c r="P30" s="477"/>
      <c r="Q30" s="361"/>
      <c r="R30" s="361"/>
      <c r="S30" s="361"/>
      <c r="T30" s="361"/>
      <c r="U30" s="361"/>
      <c r="V30" s="361"/>
      <c r="W30" s="184"/>
      <c r="X30" s="426"/>
      <c r="Y30" s="419" t="s">
        <v>713</v>
      </c>
      <c r="Z30" s="420">
        <f>K12/1000000000</f>
        <v>1.6889069999999999</v>
      </c>
      <c r="AA30" s="421" t="e">
        <f>Z30/#REF!</f>
        <v>#REF!</v>
      </c>
      <c r="AB30" s="222">
        <v>2</v>
      </c>
      <c r="AC30" s="399"/>
      <c r="AD30" s="399"/>
      <c r="AE30" s="399"/>
      <c r="AF30" s="399"/>
      <c r="AG30" s="399"/>
      <c r="AH30" s="399"/>
      <c r="AI30" s="399"/>
      <c r="AJ30" s="399"/>
      <c r="AK30" s="399"/>
      <c r="AL30" s="399"/>
      <c r="AM30" s="399"/>
      <c r="AN30" s="399"/>
      <c r="AO30" s="399"/>
      <c r="AP30" s="399"/>
      <c r="AQ30" s="399"/>
      <c r="AR30" s="399"/>
      <c r="AS30" s="399"/>
      <c r="AT30" s="399"/>
      <c r="AU30" s="399"/>
      <c r="AV30" s="399"/>
      <c r="AW30" s="399"/>
      <c r="AX30" s="399"/>
      <c r="AY30" s="399"/>
      <c r="AZ30" s="399"/>
      <c r="BA30" s="399"/>
      <c r="BB30" s="399"/>
      <c r="BC30" s="399"/>
      <c r="BD30" s="399"/>
      <c r="BE30" s="399"/>
      <c r="BF30" s="399"/>
      <c r="BG30" s="399"/>
      <c r="BH30" s="399"/>
      <c r="BI30" s="399"/>
      <c r="BJ30" s="399"/>
      <c r="BK30" s="399"/>
      <c r="BL30" s="399"/>
      <c r="BM30" s="399"/>
      <c r="BN30" s="399"/>
      <c r="BO30" s="399"/>
      <c r="BP30" s="399"/>
      <c r="BQ30" s="399"/>
      <c r="BR30" s="399"/>
      <c r="BS30" s="399"/>
      <c r="BT30" s="399"/>
      <c r="BU30" s="399"/>
      <c r="BV30" s="399"/>
      <c r="BW30" s="399"/>
      <c r="BX30" s="399"/>
      <c r="BY30" s="399"/>
      <c r="BZ30" s="399"/>
      <c r="CA30" s="399"/>
      <c r="CB30" s="399"/>
      <c r="CC30" s="399"/>
      <c r="CD30" s="399"/>
      <c r="CE30" s="399"/>
      <c r="CF30" s="399"/>
      <c r="CG30" s="399"/>
      <c r="CH30" s="399"/>
      <c r="CI30" s="399"/>
      <c r="CJ30" s="399"/>
      <c r="CK30" s="399"/>
      <c r="CL30" s="399"/>
      <c r="CM30" s="399"/>
      <c r="CN30" s="399"/>
      <c r="CO30" s="399"/>
      <c r="CP30" s="399"/>
      <c r="CQ30" s="399"/>
      <c r="CR30" s="399"/>
      <c r="CS30" s="399"/>
      <c r="CT30" s="399"/>
      <c r="CU30" s="399"/>
      <c r="CV30" s="399"/>
      <c r="CW30" s="399"/>
      <c r="CX30" s="399"/>
      <c r="CY30" s="399"/>
      <c r="CZ30" s="399"/>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row>
    <row r="31" spans="1:236" ht="15.75" customHeight="1">
      <c r="A31" s="3" t="s">
        <v>11</v>
      </c>
      <c r="B31" s="1"/>
      <c r="C31" s="1"/>
      <c r="D31" s="1"/>
      <c r="E31" s="1"/>
      <c r="F31" s="1"/>
      <c r="G31" s="1"/>
      <c r="H31" s="1"/>
      <c r="I31" s="1"/>
      <c r="J31" s="1"/>
      <c r="K31" s="1"/>
      <c r="L31" s="1"/>
      <c r="M31" s="5"/>
      <c r="N31" s="5"/>
      <c r="O31" s="5"/>
      <c r="P31" s="477"/>
      <c r="Q31" s="361"/>
      <c r="R31" s="361"/>
      <c r="U31" s="361"/>
      <c r="V31" s="361"/>
      <c r="W31" s="184"/>
      <c r="X31" s="426"/>
      <c r="Y31" s="419" t="s">
        <v>714</v>
      </c>
      <c r="Z31" s="420">
        <f>K17/1000000000</f>
        <v>44.567649000000003</v>
      </c>
      <c r="AA31" s="421" t="e">
        <f>Z31/#REF!</f>
        <v>#REF!</v>
      </c>
      <c r="AB31" s="222">
        <v>56</v>
      </c>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399"/>
      <c r="BE31" s="399"/>
      <c r="BF31" s="399"/>
      <c r="BG31" s="399"/>
      <c r="BH31" s="399"/>
      <c r="BI31" s="399"/>
      <c r="BJ31" s="399"/>
      <c r="BK31" s="399"/>
      <c r="BL31" s="399"/>
      <c r="BM31" s="399"/>
      <c r="BN31" s="399"/>
      <c r="BO31" s="399"/>
      <c r="BP31" s="399"/>
      <c r="BQ31" s="399"/>
      <c r="BR31" s="399"/>
      <c r="BS31" s="399"/>
      <c r="BT31" s="399"/>
      <c r="BU31" s="399"/>
      <c r="BV31" s="399"/>
      <c r="BW31" s="399"/>
      <c r="BX31" s="399"/>
      <c r="BY31" s="399"/>
      <c r="BZ31" s="399"/>
      <c r="CA31" s="399"/>
      <c r="CB31" s="399"/>
      <c r="CC31" s="399"/>
      <c r="CD31" s="399"/>
      <c r="CE31" s="399"/>
      <c r="CF31" s="399"/>
      <c r="CG31" s="399"/>
      <c r="CH31" s="399"/>
      <c r="CI31" s="399"/>
      <c r="CJ31" s="399"/>
      <c r="CK31" s="399"/>
      <c r="CL31" s="399"/>
      <c r="CM31" s="399"/>
      <c r="CN31" s="399"/>
      <c r="CO31" s="399"/>
      <c r="CP31" s="399"/>
      <c r="CQ31" s="399"/>
      <c r="CR31" s="399"/>
      <c r="CS31" s="399"/>
      <c r="CT31" s="399"/>
      <c r="CU31" s="399"/>
      <c r="CV31" s="399"/>
      <c r="CW31" s="399"/>
      <c r="CX31" s="399"/>
      <c r="CY31" s="399"/>
      <c r="CZ31" s="399"/>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row>
    <row r="32" spans="1:236" ht="24" customHeight="1">
      <c r="A32" s="694"/>
      <c r="B32" s="1"/>
      <c r="C32" s="1"/>
      <c r="D32" s="1"/>
      <c r="E32" s="1"/>
      <c r="F32" s="1"/>
      <c r="G32" s="1"/>
      <c r="H32" s="1"/>
      <c r="I32" s="1"/>
      <c r="J32" s="1"/>
      <c r="K32" s="1"/>
      <c r="L32" s="695"/>
      <c r="M32" s="393"/>
      <c r="N32" s="5"/>
      <c r="O32" s="5"/>
      <c r="P32" s="477"/>
      <c r="Q32" s="361"/>
      <c r="R32" s="361"/>
      <c r="S32" s="606"/>
      <c r="T32" s="606"/>
      <c r="U32" s="361"/>
      <c r="V32" s="361"/>
      <c r="W32" s="184"/>
      <c r="X32" s="426"/>
      <c r="Y32" s="419"/>
      <c r="Z32" s="419">
        <f>34.3+1.4+1.6+62.7</f>
        <v>100</v>
      </c>
      <c r="AA32" s="222"/>
      <c r="AB32" s="222"/>
      <c r="AC32" s="399"/>
      <c r="AD32" s="399"/>
      <c r="AE32" s="399"/>
      <c r="AF32" s="399"/>
      <c r="AG32" s="399"/>
      <c r="AH32" s="399"/>
      <c r="AI32" s="399"/>
      <c r="AJ32" s="399"/>
      <c r="AK32" s="399"/>
      <c r="AL32" s="399"/>
      <c r="AM32" s="399"/>
      <c r="AN32" s="399"/>
      <c r="AO32" s="399"/>
      <c r="AP32" s="399"/>
      <c r="AQ32" s="399"/>
      <c r="AR32" s="399"/>
      <c r="AS32" s="399"/>
      <c r="AT32" s="399"/>
      <c r="AU32" s="399"/>
      <c r="AV32" s="399"/>
      <c r="AW32" s="399"/>
      <c r="AX32" s="399"/>
      <c r="AY32" s="399"/>
      <c r="AZ32" s="399"/>
      <c r="BA32" s="399"/>
      <c r="BB32" s="399"/>
      <c r="BC32" s="399"/>
      <c r="BD32" s="399"/>
      <c r="BE32" s="399"/>
      <c r="BF32" s="399"/>
      <c r="BG32" s="399"/>
      <c r="BH32" s="399"/>
      <c r="BI32" s="399"/>
      <c r="BJ32" s="399"/>
      <c r="BK32" s="399"/>
      <c r="BL32" s="399"/>
      <c r="BM32" s="399"/>
      <c r="BN32" s="399"/>
      <c r="BO32" s="399"/>
      <c r="BP32" s="399"/>
      <c r="BQ32" s="399"/>
      <c r="BR32" s="399"/>
      <c r="BS32" s="399"/>
      <c r="BT32" s="399"/>
      <c r="BU32" s="399"/>
      <c r="BV32" s="399"/>
      <c r="BW32" s="399"/>
      <c r="BX32" s="399"/>
      <c r="BY32" s="399"/>
      <c r="BZ32" s="399"/>
      <c r="CA32" s="399"/>
      <c r="CB32" s="399"/>
      <c r="CC32" s="399"/>
      <c r="CD32" s="399"/>
      <c r="CE32" s="399"/>
      <c r="CF32" s="399"/>
      <c r="CG32" s="399"/>
      <c r="CH32" s="399"/>
      <c r="CI32" s="399"/>
      <c r="CJ32" s="399"/>
      <c r="CK32" s="399"/>
      <c r="CL32" s="399"/>
      <c r="CM32" s="399"/>
      <c r="CN32" s="399"/>
      <c r="CO32" s="399"/>
      <c r="CP32" s="399"/>
      <c r="CQ32" s="399"/>
      <c r="CR32" s="399"/>
      <c r="CS32" s="399"/>
      <c r="CT32" s="399"/>
      <c r="CU32" s="399"/>
      <c r="CV32" s="399"/>
      <c r="CW32" s="399"/>
      <c r="CX32" s="399"/>
      <c r="CY32" s="399"/>
      <c r="CZ32" s="399"/>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row>
    <row r="33" spans="1:238" ht="15" customHeight="1">
      <c r="A33" s="7" t="s">
        <v>12</v>
      </c>
      <c r="B33" s="595">
        <f>B3</f>
        <v>2014</v>
      </c>
      <c r="C33" s="595" t="str">
        <f>C3</f>
        <v>FY 2015</v>
      </c>
      <c r="D33" s="595" t="str">
        <f>D3</f>
        <v>FY 2016</v>
      </c>
      <c r="E33" s="595" t="str">
        <f>E3</f>
        <v>FY 2017</v>
      </c>
      <c r="F33" s="595" t="str">
        <f>F3</f>
        <v>FY 2018</v>
      </c>
      <c r="G33" s="595"/>
      <c r="H33" s="1569" t="s">
        <v>914</v>
      </c>
      <c r="I33" s="1133" t="s">
        <v>915</v>
      </c>
      <c r="J33" s="2" t="s">
        <v>1201</v>
      </c>
      <c r="K33" s="2" t="s">
        <v>1326</v>
      </c>
      <c r="L33" s="696"/>
      <c r="M33" s="475"/>
      <c r="N33" s="5"/>
      <c r="O33" s="5"/>
      <c r="P33" s="477"/>
      <c r="Q33" s="361"/>
      <c r="R33" s="361"/>
      <c r="S33" s="606"/>
      <c r="T33" s="606"/>
      <c r="U33" s="361"/>
      <c r="V33" s="361"/>
      <c r="W33" s="184"/>
      <c r="X33" s="426"/>
      <c r="Y33" s="426"/>
      <c r="Z33" s="426"/>
      <c r="AA33" s="184"/>
      <c r="AB33" s="222"/>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c r="BI33" s="399"/>
      <c r="BJ33" s="399"/>
      <c r="BK33" s="399"/>
      <c r="BL33" s="399"/>
      <c r="BM33" s="399"/>
      <c r="BN33" s="399"/>
      <c r="BO33" s="399"/>
      <c r="BP33" s="399"/>
      <c r="BQ33" s="399"/>
      <c r="BR33" s="399"/>
      <c r="BS33" s="399"/>
      <c r="BT33" s="399"/>
      <c r="BU33" s="399"/>
      <c r="BV33" s="399"/>
      <c r="BW33" s="399"/>
      <c r="BX33" s="399"/>
      <c r="BY33" s="399"/>
      <c r="BZ33" s="399"/>
      <c r="CA33" s="399"/>
      <c r="CB33" s="399"/>
      <c r="CC33" s="399"/>
      <c r="CD33" s="399"/>
      <c r="CE33" s="399"/>
      <c r="CF33" s="399"/>
      <c r="CG33" s="399"/>
      <c r="CH33" s="399"/>
      <c r="CI33" s="399"/>
      <c r="CJ33" s="399"/>
      <c r="CK33" s="399"/>
      <c r="CL33" s="399"/>
      <c r="CM33" s="399"/>
      <c r="CN33" s="399"/>
      <c r="CO33" s="399"/>
      <c r="CP33" s="399"/>
      <c r="CQ33" s="399"/>
      <c r="CR33" s="399"/>
      <c r="CS33" s="399"/>
      <c r="CT33" s="399"/>
      <c r="CU33" s="399"/>
      <c r="CV33" s="399"/>
      <c r="CW33" s="399"/>
      <c r="CX33" s="399"/>
      <c r="CY33" s="399"/>
      <c r="CZ33" s="399"/>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row>
    <row r="34" spans="1:238" ht="15" customHeight="1">
      <c r="A34" s="1" t="s">
        <v>13</v>
      </c>
      <c r="B34" s="697"/>
      <c r="C34" s="697"/>
      <c r="D34" s="697"/>
      <c r="E34" s="697"/>
      <c r="F34" s="697"/>
      <c r="G34" s="697"/>
      <c r="H34" s="697">
        <v>46141801.780000001</v>
      </c>
      <c r="I34" s="697">
        <v>49790482.079999998</v>
      </c>
      <c r="J34" s="697">
        <v>53009157.850000001</v>
      </c>
      <c r="K34" s="697">
        <v>53865800.609999999</v>
      </c>
      <c r="L34" s="698"/>
      <c r="M34" s="483"/>
      <c r="N34" s="1416"/>
      <c r="O34" s="1416"/>
      <c r="P34" s="477"/>
      <c r="Q34" s="361"/>
      <c r="R34" s="361"/>
      <c r="S34" s="606"/>
      <c r="T34" s="606"/>
      <c r="U34" s="361"/>
      <c r="V34" s="361"/>
      <c r="W34" s="184"/>
      <c r="X34" s="426"/>
      <c r="Y34" s="426"/>
      <c r="Z34" s="426"/>
      <c r="AA34" s="184"/>
      <c r="AB34" s="399"/>
      <c r="AC34" s="399"/>
      <c r="AD34" s="399"/>
      <c r="AE34" s="399"/>
      <c r="AF34" s="399"/>
      <c r="AG34" s="399"/>
      <c r="AH34" s="399"/>
      <c r="AI34" s="399"/>
      <c r="AJ34" s="399"/>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99"/>
      <c r="BG34" s="399"/>
      <c r="BH34" s="399"/>
      <c r="BI34" s="399"/>
      <c r="BJ34" s="399"/>
      <c r="BK34" s="399"/>
      <c r="BL34" s="399"/>
      <c r="BM34" s="399"/>
      <c r="BN34" s="399"/>
      <c r="BO34" s="399"/>
      <c r="BP34" s="399"/>
      <c r="BQ34" s="399"/>
      <c r="BR34" s="399"/>
      <c r="BS34" s="399"/>
      <c r="BT34" s="399"/>
      <c r="BU34" s="399"/>
      <c r="BV34" s="399"/>
      <c r="BW34" s="399"/>
      <c r="BX34" s="399"/>
      <c r="BY34" s="399"/>
      <c r="BZ34" s="399"/>
      <c r="CA34" s="399"/>
      <c r="CB34" s="399"/>
      <c r="CC34" s="399"/>
      <c r="CD34" s="399"/>
      <c r="CE34" s="399"/>
      <c r="CF34" s="399"/>
      <c r="CG34" s="399"/>
      <c r="CH34" s="399"/>
      <c r="CI34" s="399"/>
      <c r="CJ34" s="399"/>
      <c r="CK34" s="399"/>
      <c r="CL34" s="399"/>
      <c r="CM34" s="399"/>
      <c r="CN34" s="399"/>
      <c r="CO34" s="399"/>
      <c r="CP34" s="399"/>
      <c r="CQ34" s="399"/>
      <c r="CR34" s="399"/>
      <c r="CS34" s="399"/>
      <c r="CT34" s="399"/>
      <c r="CU34" s="399"/>
      <c r="CV34" s="399"/>
      <c r="CW34" s="399"/>
      <c r="CX34" s="399"/>
      <c r="CY34" s="399"/>
      <c r="CZ34" s="399"/>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row>
    <row r="35" spans="1:238" ht="24" customHeight="1">
      <c r="A35" s="1" t="s">
        <v>14</v>
      </c>
      <c r="B35" s="699"/>
      <c r="C35" s="699"/>
      <c r="D35" s="699"/>
      <c r="E35" s="699"/>
      <c r="F35" s="699"/>
      <c r="G35" s="699"/>
      <c r="H35" s="699">
        <v>4532077.97</v>
      </c>
      <c r="I35" s="699">
        <v>4206599.4400000004</v>
      </c>
      <c r="J35" s="699">
        <v>4272472.38</v>
      </c>
      <c r="K35" s="699">
        <v>4541304.24</v>
      </c>
      <c r="L35" s="698"/>
      <c r="M35" s="483"/>
      <c r="N35" s="1416"/>
      <c r="O35" s="1416"/>
      <c r="P35" s="477"/>
      <c r="Q35" s="361"/>
      <c r="R35" s="361"/>
      <c r="S35" s="607"/>
      <c r="T35" s="607"/>
      <c r="U35" s="361"/>
      <c r="V35" s="361"/>
      <c r="W35" s="184"/>
      <c r="X35" s="426"/>
      <c r="Y35" s="426"/>
      <c r="Z35" s="426"/>
      <c r="AA35" s="399"/>
      <c r="AB35" s="399"/>
      <c r="AC35" s="399"/>
      <c r="AD35" s="399"/>
      <c r="AE35" s="399"/>
      <c r="AF35" s="399"/>
      <c r="AG35" s="399"/>
      <c r="AH35" s="399"/>
      <c r="AI35" s="399"/>
      <c r="AJ35" s="399"/>
      <c r="AK35" s="399"/>
      <c r="AL35" s="399"/>
      <c r="AM35" s="399"/>
      <c r="AN35" s="399"/>
      <c r="AO35" s="399"/>
      <c r="AP35" s="399"/>
      <c r="AQ35" s="399"/>
      <c r="AR35" s="399"/>
      <c r="AS35" s="399"/>
      <c r="AT35" s="399"/>
      <c r="AU35" s="399"/>
      <c r="AV35" s="399"/>
      <c r="AW35" s="399"/>
      <c r="AX35" s="399"/>
      <c r="AY35" s="399"/>
      <c r="AZ35" s="399"/>
      <c r="BA35" s="399"/>
      <c r="BB35" s="399"/>
      <c r="BC35" s="399"/>
      <c r="BD35" s="399"/>
      <c r="BE35" s="399"/>
      <c r="BF35" s="399"/>
      <c r="BG35" s="399"/>
      <c r="BH35" s="399"/>
      <c r="BI35" s="399"/>
      <c r="BJ35" s="399"/>
      <c r="BK35" s="399"/>
      <c r="BL35" s="399"/>
      <c r="BM35" s="399"/>
      <c r="BN35" s="399"/>
      <c r="BO35" s="399"/>
      <c r="BP35" s="399"/>
      <c r="BQ35" s="399"/>
      <c r="BR35" s="399"/>
      <c r="BS35" s="399"/>
      <c r="BT35" s="399"/>
      <c r="BU35" s="399"/>
      <c r="BV35" s="399"/>
      <c r="BW35" s="399"/>
      <c r="BX35" s="399"/>
      <c r="BY35" s="399"/>
      <c r="BZ35" s="399"/>
      <c r="CA35" s="399"/>
      <c r="CB35" s="399"/>
      <c r="CC35" s="399"/>
      <c r="CD35" s="399"/>
      <c r="CE35" s="399"/>
      <c r="CF35" s="399"/>
      <c r="CG35" s="399"/>
      <c r="CH35" s="399"/>
      <c r="CI35" s="399"/>
      <c r="CJ35" s="399"/>
      <c r="CK35" s="399"/>
      <c r="CL35" s="399"/>
      <c r="CM35" s="399"/>
      <c r="CN35" s="399"/>
      <c r="CO35" s="399"/>
      <c r="CP35" s="399"/>
      <c r="CQ35" s="399"/>
      <c r="CR35" s="399"/>
      <c r="CS35" s="399"/>
      <c r="CT35" s="399"/>
      <c r="CU35" s="399"/>
      <c r="CV35" s="399"/>
      <c r="CW35" s="399"/>
      <c r="CX35" s="399"/>
      <c r="CY35" s="399"/>
      <c r="CZ35" s="399"/>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row>
    <row r="36" spans="1:238" ht="15.75" customHeight="1">
      <c r="A36" s="422" t="s">
        <v>797</v>
      </c>
      <c r="B36" s="700"/>
      <c r="C36" s="700"/>
      <c r="D36" s="700"/>
      <c r="E36" s="700"/>
      <c r="F36" s="700"/>
      <c r="G36" s="700"/>
      <c r="H36" s="700">
        <v>530984.82999999996</v>
      </c>
      <c r="I36" s="700">
        <v>597142.44000000006</v>
      </c>
      <c r="J36" s="700">
        <v>556301.28999999992</v>
      </c>
      <c r="K36" s="700">
        <v>430433.49</v>
      </c>
      <c r="L36" s="698"/>
      <c r="M36" s="483"/>
      <c r="N36" s="1416"/>
      <c r="O36" s="1416"/>
      <c r="P36" s="477"/>
      <c r="Q36" s="361"/>
      <c r="R36" s="361"/>
      <c r="S36" s="607"/>
      <c r="T36" s="607"/>
      <c r="U36" s="361"/>
      <c r="V36" s="361"/>
      <c r="W36" s="184"/>
      <c r="X36" s="426"/>
      <c r="Y36" s="426"/>
      <c r="Z36" s="426"/>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399"/>
      <c r="AW36" s="399"/>
      <c r="AX36" s="399"/>
      <c r="AY36" s="399"/>
      <c r="AZ36" s="399"/>
      <c r="BA36" s="399"/>
      <c r="BB36" s="399"/>
      <c r="BC36" s="399"/>
      <c r="BD36" s="399"/>
      <c r="BE36" s="399"/>
      <c r="BF36" s="399"/>
      <c r="BG36" s="399"/>
      <c r="BH36" s="399"/>
      <c r="BI36" s="399"/>
      <c r="BJ36" s="399"/>
      <c r="BK36" s="399"/>
      <c r="BL36" s="399"/>
      <c r="BM36" s="399"/>
      <c r="BN36" s="399"/>
      <c r="BO36" s="399"/>
      <c r="BP36" s="399"/>
      <c r="BQ36" s="399"/>
      <c r="BR36" s="399"/>
      <c r="BS36" s="399"/>
      <c r="BT36" s="399"/>
      <c r="BU36" s="399"/>
      <c r="BV36" s="399"/>
      <c r="BW36" s="399"/>
      <c r="BX36" s="399"/>
      <c r="BY36" s="399"/>
      <c r="BZ36" s="399"/>
      <c r="CA36" s="399"/>
      <c r="CB36" s="399"/>
      <c r="CC36" s="399"/>
      <c r="CD36" s="399"/>
      <c r="CE36" s="399"/>
      <c r="CF36" s="399"/>
      <c r="CG36" s="399"/>
      <c r="CH36" s="399"/>
      <c r="CI36" s="399"/>
      <c r="CJ36" s="399"/>
      <c r="CK36" s="399"/>
      <c r="CL36" s="399"/>
      <c r="CM36" s="399"/>
      <c r="CN36" s="399"/>
      <c r="CO36" s="399"/>
      <c r="CP36" s="399"/>
      <c r="CQ36" s="399"/>
      <c r="CR36" s="399"/>
      <c r="CS36" s="399"/>
      <c r="CT36" s="399"/>
      <c r="CU36" s="399"/>
      <c r="CV36" s="399"/>
      <c r="CW36" s="399"/>
      <c r="CX36" s="399"/>
      <c r="CY36" s="399"/>
      <c r="CZ36" s="399"/>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row>
    <row r="37" spans="1:238" ht="14.15" customHeight="1">
      <c r="A37" s="1135" t="s">
        <v>15</v>
      </c>
      <c r="B37" s="1136"/>
      <c r="C37" s="1136"/>
      <c r="D37" s="1136"/>
      <c r="E37" s="1136"/>
      <c r="F37" s="1136"/>
      <c r="G37" s="1136"/>
      <c r="H37" s="1136">
        <v>50055446.57</v>
      </c>
      <c r="I37" s="1136">
        <v>45005355.57</v>
      </c>
      <c r="J37" s="1136">
        <v>50107750.920000002</v>
      </c>
      <c r="K37" s="1136">
        <v>55521996.640000001</v>
      </c>
      <c r="L37" s="698"/>
      <c r="M37" s="483"/>
      <c r="N37" s="1416"/>
      <c r="O37" s="1416"/>
      <c r="P37" s="477"/>
      <c r="Q37" s="361"/>
      <c r="R37" s="361"/>
      <c r="S37" s="607"/>
      <c r="T37" s="607"/>
      <c r="U37" s="361"/>
      <c r="V37" s="361"/>
      <c r="W37" s="184"/>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399"/>
      <c r="AY37" s="399"/>
      <c r="AZ37" s="399"/>
      <c r="BA37" s="399"/>
      <c r="BB37" s="399"/>
      <c r="BC37" s="399"/>
      <c r="BD37" s="399"/>
      <c r="BE37" s="399"/>
      <c r="BF37" s="399"/>
      <c r="BG37" s="399"/>
      <c r="BH37" s="399"/>
      <c r="BI37" s="399"/>
      <c r="BJ37" s="399"/>
      <c r="BK37" s="399"/>
      <c r="BL37" s="399"/>
      <c r="BM37" s="399"/>
      <c r="BN37" s="399"/>
      <c r="BO37" s="399"/>
      <c r="BP37" s="399"/>
      <c r="BQ37" s="399"/>
      <c r="BR37" s="399"/>
      <c r="BS37" s="399"/>
      <c r="BT37" s="399"/>
      <c r="BU37" s="399"/>
      <c r="BV37" s="399"/>
      <c r="BW37" s="399"/>
      <c r="BX37" s="399"/>
      <c r="BY37" s="399"/>
      <c r="BZ37" s="399"/>
      <c r="CA37" s="399"/>
      <c r="CB37" s="399"/>
      <c r="CC37" s="399"/>
      <c r="CD37" s="399"/>
      <c r="CE37" s="399"/>
      <c r="CF37" s="399"/>
      <c r="CG37" s="399"/>
      <c r="CH37" s="399"/>
      <c r="CI37" s="399"/>
      <c r="CJ37" s="399"/>
      <c r="CK37" s="399"/>
      <c r="CL37" s="399"/>
      <c r="CM37" s="399"/>
      <c r="CN37" s="399"/>
      <c r="CO37" s="399"/>
      <c r="CP37" s="399"/>
      <c r="CQ37" s="399"/>
      <c r="CR37" s="399"/>
      <c r="CS37" s="399"/>
      <c r="CT37" s="399"/>
      <c r="CU37" s="399"/>
      <c r="CV37" s="399"/>
      <c r="CW37" s="399"/>
      <c r="CX37" s="399"/>
      <c r="CY37" s="399"/>
      <c r="CZ37" s="399"/>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row>
    <row r="38" spans="1:238" ht="15.75" customHeight="1" thickBot="1">
      <c r="A38" s="702" t="s">
        <v>16</v>
      </c>
      <c r="B38" s="1117">
        <f t="shared" ref="B38:K38" si="11">SUM(B34:B37)</f>
        <v>0</v>
      </c>
      <c r="C38" s="1117">
        <f t="shared" si="11"/>
        <v>0</v>
      </c>
      <c r="D38" s="1117">
        <f t="shared" si="11"/>
        <v>0</v>
      </c>
      <c r="E38" s="1117">
        <f t="shared" si="11"/>
        <v>0</v>
      </c>
      <c r="F38" s="1117">
        <f t="shared" si="11"/>
        <v>0</v>
      </c>
      <c r="G38" s="1117"/>
      <c r="H38" s="1117">
        <f t="shared" si="11"/>
        <v>101260311.15000001</v>
      </c>
      <c r="I38" s="1117">
        <f t="shared" ref="I38" si="12">SUM(I34:I37)</f>
        <v>99599579.530000001</v>
      </c>
      <c r="J38" s="1117">
        <f t="shared" si="11"/>
        <v>107945682.44</v>
      </c>
      <c r="K38" s="1117">
        <f t="shared" si="11"/>
        <v>114359534.98</v>
      </c>
      <c r="L38" s="701"/>
      <c r="M38" s="476"/>
      <c r="N38" s="1416"/>
      <c r="O38" s="1416"/>
      <c r="P38" s="477"/>
      <c r="Q38" s="361"/>
      <c r="R38" s="361"/>
      <c r="S38" s="607"/>
      <c r="T38" s="607"/>
      <c r="U38" s="361"/>
      <c r="V38" s="361"/>
      <c r="W38" s="184"/>
      <c r="AA38" s="399"/>
      <c r="AB38" s="399"/>
      <c r="AC38" s="399"/>
      <c r="AD38" s="399"/>
      <c r="AE38" s="399"/>
      <c r="AF38" s="399"/>
      <c r="AG38" s="399"/>
      <c r="AH38" s="399"/>
      <c r="AI38" s="399"/>
      <c r="AJ38" s="399"/>
      <c r="AK38" s="399"/>
      <c r="AL38" s="399"/>
      <c r="AM38" s="399"/>
      <c r="AN38" s="399"/>
      <c r="AO38" s="399"/>
      <c r="AP38" s="399"/>
      <c r="AQ38" s="399"/>
      <c r="AR38" s="399"/>
      <c r="AS38" s="399"/>
      <c r="AT38" s="399"/>
      <c r="AU38" s="399"/>
      <c r="AV38" s="399"/>
      <c r="AW38" s="399"/>
      <c r="AX38" s="399"/>
      <c r="AY38" s="399"/>
      <c r="AZ38" s="399"/>
      <c r="BA38" s="399"/>
      <c r="BB38" s="399"/>
      <c r="BC38" s="399"/>
      <c r="BD38" s="399"/>
      <c r="BE38" s="399"/>
      <c r="BF38" s="399"/>
      <c r="BG38" s="399"/>
      <c r="BH38" s="399"/>
      <c r="BI38" s="399"/>
      <c r="BJ38" s="399"/>
      <c r="BK38" s="399"/>
      <c r="BL38" s="399"/>
      <c r="BM38" s="399"/>
      <c r="BN38" s="399"/>
      <c r="BO38" s="399"/>
      <c r="BP38" s="399"/>
      <c r="BQ38" s="399"/>
      <c r="BR38" s="399"/>
      <c r="BS38" s="399"/>
      <c r="BT38" s="399"/>
      <c r="BU38" s="399"/>
      <c r="BV38" s="399"/>
      <c r="BW38" s="399"/>
      <c r="BX38" s="399"/>
      <c r="BY38" s="399"/>
      <c r="BZ38" s="399"/>
      <c r="CA38" s="399"/>
      <c r="CB38" s="399"/>
      <c r="CC38" s="399"/>
      <c r="CD38" s="399"/>
      <c r="CE38" s="399"/>
      <c r="CF38" s="399"/>
      <c r="CG38" s="399"/>
      <c r="CH38" s="399"/>
      <c r="CI38" s="399"/>
      <c r="CJ38" s="399"/>
      <c r="CK38" s="399"/>
      <c r="CL38" s="399"/>
      <c r="CM38" s="399"/>
      <c r="CN38" s="399"/>
      <c r="CO38" s="399"/>
      <c r="CP38" s="399"/>
      <c r="CQ38" s="399"/>
      <c r="CR38" s="399"/>
      <c r="CS38" s="399"/>
      <c r="CT38" s="399"/>
      <c r="CU38" s="399"/>
      <c r="CV38" s="399"/>
      <c r="CW38" s="399"/>
      <c r="CX38" s="399"/>
      <c r="CY38" s="399"/>
      <c r="CZ38" s="399"/>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row>
    <row r="39" spans="1:238" ht="14" customHeight="1" thickTop="1">
      <c r="A39" s="1"/>
      <c r="B39" s="1118"/>
      <c r="C39" s="1118"/>
      <c r="D39" s="1118"/>
      <c r="E39" s="1118"/>
      <c r="F39" s="1118"/>
      <c r="G39" s="1118"/>
      <c r="H39" s="1118"/>
      <c r="I39" s="1118"/>
      <c r="J39" s="1118"/>
      <c r="K39" s="1118"/>
      <c r="L39" s="701"/>
      <c r="M39" s="475"/>
      <c r="N39" s="5"/>
      <c r="O39" s="5"/>
      <c r="P39" s="477"/>
      <c r="Q39" s="361"/>
      <c r="R39" s="361"/>
      <c r="S39" s="606"/>
      <c r="T39" s="606"/>
      <c r="U39" s="361"/>
      <c r="V39" s="361"/>
      <c r="W39" s="399"/>
      <c r="AA39" s="399"/>
      <c r="AB39" s="399"/>
      <c r="AC39" s="399"/>
      <c r="AD39" s="399"/>
      <c r="AE39" s="399"/>
      <c r="AF39" s="399"/>
      <c r="AG39" s="399"/>
      <c r="AH39" s="399"/>
      <c r="AI39" s="399"/>
      <c r="AJ39" s="399"/>
      <c r="AK39" s="399"/>
      <c r="AL39" s="399"/>
      <c r="AM39" s="399"/>
      <c r="AN39" s="399"/>
      <c r="AO39" s="399"/>
      <c r="AP39" s="399"/>
      <c r="AQ39" s="399"/>
      <c r="AR39" s="399"/>
      <c r="AS39" s="399"/>
      <c r="AT39" s="399"/>
      <c r="AU39" s="399"/>
      <c r="AV39" s="399"/>
      <c r="AW39" s="399"/>
      <c r="AX39" s="399"/>
      <c r="AY39" s="399"/>
      <c r="AZ39" s="399"/>
      <c r="BA39" s="399"/>
      <c r="BB39" s="399"/>
      <c r="BC39" s="399"/>
      <c r="BD39" s="399"/>
      <c r="BE39" s="399"/>
      <c r="BF39" s="399"/>
      <c r="BG39" s="399"/>
      <c r="BH39" s="399"/>
      <c r="BI39" s="399"/>
      <c r="BJ39" s="399"/>
      <c r="BK39" s="399"/>
      <c r="BL39" s="399"/>
      <c r="BM39" s="399"/>
      <c r="BN39" s="399"/>
      <c r="BO39" s="399"/>
      <c r="BP39" s="399"/>
      <c r="BQ39" s="399"/>
      <c r="BR39" s="399"/>
      <c r="BS39" s="399"/>
      <c r="BT39" s="399"/>
      <c r="BU39" s="399"/>
      <c r="BV39" s="399"/>
      <c r="BW39" s="399"/>
      <c r="BX39" s="399"/>
      <c r="BY39" s="399"/>
      <c r="BZ39" s="399"/>
      <c r="CA39" s="399"/>
      <c r="CB39" s="399"/>
      <c r="CC39" s="399"/>
      <c r="CD39" s="399"/>
      <c r="CE39" s="399"/>
      <c r="CF39" s="399"/>
      <c r="CG39" s="399"/>
      <c r="CH39" s="399"/>
      <c r="CI39" s="399"/>
      <c r="CJ39" s="399"/>
      <c r="CK39" s="399"/>
      <c r="CL39" s="399"/>
      <c r="CM39" s="399"/>
      <c r="CN39" s="399"/>
      <c r="CO39" s="399"/>
      <c r="CP39" s="399"/>
      <c r="CQ39" s="399"/>
      <c r="CR39" s="399"/>
      <c r="CS39" s="399"/>
      <c r="CT39" s="399"/>
      <c r="CU39" s="399"/>
      <c r="CV39" s="399"/>
      <c r="CW39" s="399"/>
      <c r="CX39" s="399"/>
      <c r="CY39" s="399"/>
      <c r="CZ39" s="399"/>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row>
    <row r="40" spans="1:238" s="1520" customFormat="1" ht="15.5">
      <c r="A40" s="7" t="s">
        <v>17</v>
      </c>
      <c r="B40" s="1119">
        <f>B38/B13*100</f>
        <v>0</v>
      </c>
      <c r="C40" s="1119">
        <f>C38/C13*100</f>
        <v>0</v>
      </c>
      <c r="D40" s="1119">
        <f>D38/D13*100</f>
        <v>0</v>
      </c>
      <c r="E40" s="1119">
        <f>E38/E13*100</f>
        <v>0</v>
      </c>
      <c r="F40" s="1119">
        <f>F38/F13*100</f>
        <v>0</v>
      </c>
      <c r="G40" s="1119"/>
      <c r="H40" s="1119">
        <f>H38/H13*100</f>
        <v>0.45535122302893066</v>
      </c>
      <c r="I40" s="1119">
        <f>I38/I13*100</f>
        <v>0.38865192284399508</v>
      </c>
      <c r="J40" s="1119">
        <f>J38/J13*100</f>
        <v>0.36309755504646241</v>
      </c>
      <c r="K40" s="1119">
        <f>K38/K13*100</f>
        <v>0.40325534803006885</v>
      </c>
      <c r="L40" s="703"/>
      <c r="M40" s="475"/>
      <c r="N40" s="5"/>
      <c r="O40" s="5"/>
      <c r="P40" s="477"/>
      <c r="Q40" s="361"/>
      <c r="R40" s="605"/>
      <c r="S40" s="605"/>
      <c r="T40" s="605"/>
      <c r="U40" s="361"/>
      <c r="V40" s="361"/>
      <c r="W40" s="399"/>
    </row>
    <row r="41" spans="1:238" s="1520" customFormat="1" ht="15.5">
      <c r="A41" s="7"/>
      <c r="B41" s="6"/>
      <c r="C41" s="6"/>
      <c r="D41" s="6"/>
      <c r="E41" s="6"/>
      <c r="F41" s="6"/>
      <c r="G41" s="6"/>
      <c r="H41" s="6"/>
      <c r="I41" s="6"/>
      <c r="J41" s="6"/>
      <c r="K41" s="6"/>
      <c r="L41" s="6"/>
      <c r="M41" s="5"/>
      <c r="N41" s="5"/>
      <c r="O41" s="5"/>
      <c r="P41" s="477"/>
      <c r="Q41" s="361"/>
      <c r="R41" s="605"/>
      <c r="S41" s="605"/>
      <c r="T41" s="605"/>
      <c r="U41" s="361"/>
      <c r="V41" s="361"/>
      <c r="W41" s="399"/>
    </row>
    <row r="42" spans="1:238" s="1520" customFormat="1" ht="13">
      <c r="A42" s="1519" t="s">
        <v>18</v>
      </c>
      <c r="M42" s="1521"/>
      <c r="N42" s="1522"/>
      <c r="O42" s="1522"/>
      <c r="P42" s="1521"/>
    </row>
    <row r="43" spans="1:238" s="1520" customFormat="1" ht="15">
      <c r="A43" s="1523" t="s">
        <v>1327</v>
      </c>
      <c r="M43" s="1521"/>
      <c r="N43" s="1522"/>
      <c r="O43" s="1522"/>
      <c r="P43" s="1521"/>
    </row>
    <row r="44" spans="1:238" s="6" customFormat="1" ht="13">
      <c r="A44" s="1519" t="s">
        <v>798</v>
      </c>
      <c r="B44" s="1520"/>
      <c r="C44" s="1520"/>
      <c r="D44" s="1520"/>
      <c r="E44" s="1520"/>
      <c r="F44" s="1520"/>
      <c r="G44" s="1520"/>
      <c r="H44" s="1520"/>
      <c r="I44" s="1520"/>
      <c r="J44" s="1520"/>
      <c r="K44" s="1520"/>
      <c r="L44" s="1520"/>
      <c r="M44" s="1521"/>
      <c r="N44" s="1522"/>
      <c r="O44" s="1522"/>
      <c r="P44" s="1521"/>
      <c r="Q44" s="1520"/>
      <c r="R44" s="1520"/>
      <c r="S44" s="1520"/>
      <c r="T44" s="1520"/>
      <c r="U44" s="1520"/>
      <c r="V44" s="1520"/>
      <c r="W44" s="1520"/>
      <c r="X44" s="399"/>
      <c r="Y44" s="399"/>
      <c r="Z44" s="399"/>
      <c r="AA44" s="399"/>
      <c r="AB44" s="399"/>
      <c r="AC44" s="399"/>
      <c r="AD44" s="399"/>
      <c r="AE44" s="399"/>
      <c r="AF44" s="399"/>
      <c r="AG44" s="399"/>
      <c r="AH44" s="399"/>
      <c r="AI44" s="399"/>
      <c r="AJ44" s="399"/>
      <c r="AK44" s="399"/>
      <c r="AL44" s="399"/>
      <c r="AM44" s="399"/>
      <c r="AN44" s="399"/>
      <c r="AO44" s="399"/>
      <c r="AP44" s="399"/>
      <c r="AQ44" s="399"/>
      <c r="AR44" s="399"/>
      <c r="AS44" s="399"/>
      <c r="AT44" s="399"/>
      <c r="AU44" s="399"/>
      <c r="AV44" s="399"/>
      <c r="AW44" s="399"/>
      <c r="AX44" s="399"/>
      <c r="AY44" s="399"/>
      <c r="AZ44" s="399"/>
      <c r="BA44" s="399"/>
      <c r="BB44" s="399"/>
      <c r="BC44" s="399"/>
      <c r="BD44" s="399"/>
      <c r="BE44" s="399"/>
      <c r="BF44" s="399"/>
      <c r="BG44" s="399"/>
      <c r="BH44" s="399"/>
      <c r="BI44" s="399"/>
      <c r="BJ44" s="399"/>
      <c r="BK44" s="399"/>
      <c r="BL44" s="399"/>
      <c r="BM44" s="399"/>
      <c r="BN44" s="399"/>
      <c r="BO44" s="399"/>
      <c r="BP44" s="399"/>
      <c r="BQ44" s="399"/>
      <c r="BR44" s="399"/>
      <c r="BS44" s="399"/>
      <c r="BT44" s="399"/>
      <c r="BU44" s="399"/>
      <c r="BV44" s="399"/>
      <c r="BW44" s="399"/>
      <c r="BX44" s="399"/>
      <c r="BY44" s="399"/>
      <c r="BZ44" s="399"/>
      <c r="CA44" s="399"/>
      <c r="CB44" s="399"/>
      <c r="CC44" s="399"/>
      <c r="CD44" s="399"/>
      <c r="CE44" s="399"/>
      <c r="CF44" s="399"/>
      <c r="CG44" s="399"/>
      <c r="CH44" s="399"/>
      <c r="CI44" s="399"/>
      <c r="CJ44" s="399"/>
      <c r="CK44" s="399"/>
      <c r="CL44" s="399"/>
      <c r="CM44" s="399"/>
      <c r="CN44" s="399"/>
      <c r="CO44" s="399"/>
      <c r="CP44" s="399"/>
      <c r="CQ44" s="399"/>
      <c r="CR44" s="399"/>
      <c r="CS44" s="399"/>
      <c r="CT44" s="399"/>
      <c r="CU44" s="399"/>
      <c r="CV44" s="399"/>
      <c r="CW44" s="399"/>
      <c r="CX44" s="399"/>
      <c r="CY44" s="399"/>
      <c r="CZ44" s="399"/>
      <c r="IC44" s="8"/>
      <c r="ID44" s="8"/>
    </row>
    <row r="45" spans="1:238" s="6" customFormat="1" ht="13">
      <c r="A45" s="1519" t="s">
        <v>1328</v>
      </c>
      <c r="B45" s="1520"/>
      <c r="C45" s="1520"/>
      <c r="D45" s="1520"/>
      <c r="E45" s="1520"/>
      <c r="F45" s="1520"/>
      <c r="G45" s="1520"/>
      <c r="H45" s="1520"/>
      <c r="I45" s="1520"/>
      <c r="J45" s="1520"/>
      <c r="K45" s="1520"/>
      <c r="L45" s="1520"/>
      <c r="M45" s="1521"/>
      <c r="N45" s="1522"/>
      <c r="O45" s="1522"/>
      <c r="P45" s="1521"/>
      <c r="Q45" s="1520"/>
      <c r="R45" s="1520"/>
      <c r="S45" s="1520"/>
      <c r="T45" s="1520"/>
      <c r="U45" s="1520"/>
      <c r="V45" s="1520"/>
      <c r="W45" s="1520"/>
      <c r="X45" s="399"/>
      <c r="Y45" s="399"/>
      <c r="Z45" s="399"/>
      <c r="AA45" s="399"/>
      <c r="AB45" s="399"/>
      <c r="AC45" s="399"/>
      <c r="AD45" s="399"/>
      <c r="AE45" s="399"/>
      <c r="AF45" s="399"/>
      <c r="AG45" s="399"/>
      <c r="AH45" s="399"/>
      <c r="AI45" s="399"/>
      <c r="AJ45" s="399"/>
      <c r="AK45" s="399"/>
      <c r="AL45" s="399"/>
      <c r="AM45" s="399"/>
      <c r="AN45" s="399"/>
      <c r="AO45" s="399"/>
      <c r="AP45" s="399"/>
      <c r="AQ45" s="399"/>
      <c r="AR45" s="399"/>
      <c r="AS45" s="399"/>
      <c r="AT45" s="399"/>
      <c r="AU45" s="399"/>
      <c r="AV45" s="399"/>
      <c r="AW45" s="399"/>
      <c r="AX45" s="399"/>
      <c r="AY45" s="399"/>
      <c r="AZ45" s="399"/>
      <c r="BA45" s="399"/>
      <c r="BB45" s="399"/>
      <c r="BC45" s="399"/>
      <c r="BD45" s="399"/>
      <c r="BE45" s="399"/>
      <c r="BF45" s="399"/>
      <c r="BG45" s="399"/>
      <c r="BH45" s="399"/>
      <c r="BI45" s="399"/>
      <c r="BJ45" s="399"/>
      <c r="BK45" s="399"/>
      <c r="BL45" s="399"/>
      <c r="BM45" s="399"/>
      <c r="BN45" s="399"/>
      <c r="BO45" s="399"/>
      <c r="BP45" s="399"/>
      <c r="BQ45" s="399"/>
      <c r="BR45" s="399"/>
      <c r="BS45" s="399"/>
      <c r="BT45" s="399"/>
      <c r="BU45" s="399"/>
      <c r="BV45" s="399"/>
      <c r="BW45" s="399"/>
      <c r="BX45" s="399"/>
      <c r="BY45" s="399"/>
      <c r="BZ45" s="399"/>
      <c r="CA45" s="399"/>
      <c r="CB45" s="399"/>
      <c r="CC45" s="399"/>
      <c r="CD45" s="399"/>
      <c r="CE45" s="399"/>
      <c r="CF45" s="399"/>
      <c r="CG45" s="399"/>
      <c r="CH45" s="399"/>
      <c r="CI45" s="399"/>
      <c r="CJ45" s="399"/>
      <c r="CK45" s="399"/>
      <c r="CL45" s="399"/>
      <c r="CM45" s="399"/>
      <c r="CN45" s="399"/>
      <c r="CO45" s="399"/>
      <c r="CP45" s="399"/>
      <c r="CQ45" s="399"/>
      <c r="CR45" s="399"/>
      <c r="CS45" s="399"/>
      <c r="CT45" s="399"/>
      <c r="CU45" s="399"/>
      <c r="CV45" s="399"/>
      <c r="CW45" s="399"/>
      <c r="CX45" s="399"/>
      <c r="CY45" s="399"/>
      <c r="CZ45" s="399"/>
      <c r="IC45" s="8"/>
      <c r="ID45" s="8"/>
    </row>
    <row r="46" spans="1:238" ht="13">
      <c r="A46" s="1519" t="s">
        <v>1281</v>
      </c>
      <c r="B46" s="484">
        <f t="shared" ref="B46:H46" si="13">223900/104629-1</f>
        <v>1.1399420810673906</v>
      </c>
      <c r="C46" s="484">
        <f t="shared" si="13"/>
        <v>1.1399420810673906</v>
      </c>
      <c r="D46" s="484">
        <f t="shared" si="13"/>
        <v>1.1399420810673906</v>
      </c>
      <c r="E46" s="484">
        <f t="shared" si="13"/>
        <v>1.1399420810673906</v>
      </c>
      <c r="F46" s="484">
        <f t="shared" si="13"/>
        <v>1.1399420810673906</v>
      </c>
      <c r="G46" s="484"/>
      <c r="H46" s="484">
        <f t="shared" si="13"/>
        <v>1.1399420810673906</v>
      </c>
      <c r="I46" s="484"/>
      <c r="J46" s="1338"/>
      <c r="K46" s="6"/>
      <c r="L46" s="6"/>
      <c r="M46" s="14"/>
      <c r="N46" s="14"/>
      <c r="O46" s="14"/>
      <c r="P46" s="608"/>
      <c r="Q46" s="361"/>
      <c r="U46" s="361"/>
      <c r="V46" s="361"/>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c r="AV46" s="399"/>
      <c r="AW46" s="399"/>
      <c r="AX46" s="399"/>
      <c r="AY46" s="399"/>
      <c r="AZ46" s="399"/>
      <c r="BA46" s="399"/>
      <c r="BB46" s="399"/>
      <c r="BC46" s="399"/>
      <c r="BD46" s="399"/>
      <c r="BE46" s="399"/>
      <c r="BF46" s="399"/>
      <c r="BG46" s="399"/>
      <c r="BH46" s="399"/>
      <c r="BI46" s="399"/>
      <c r="BJ46" s="399"/>
      <c r="BK46" s="399"/>
      <c r="BL46" s="399"/>
      <c r="BM46" s="399"/>
      <c r="BN46" s="399"/>
      <c r="BO46" s="399"/>
      <c r="BP46" s="399"/>
      <c r="BQ46" s="399"/>
      <c r="BR46" s="399"/>
      <c r="BS46" s="399"/>
      <c r="BT46" s="399"/>
      <c r="BU46" s="399"/>
      <c r="BV46" s="399"/>
      <c r="BW46" s="399"/>
      <c r="BX46" s="399"/>
      <c r="BY46" s="399"/>
      <c r="BZ46" s="399"/>
      <c r="CA46" s="399"/>
      <c r="CB46" s="399"/>
      <c r="CC46" s="399"/>
      <c r="CD46" s="399"/>
      <c r="CE46" s="399"/>
      <c r="CF46" s="399"/>
      <c r="CG46" s="399"/>
      <c r="CH46" s="399"/>
      <c r="CI46" s="399"/>
      <c r="CJ46" s="399"/>
      <c r="CK46" s="399"/>
      <c r="CL46" s="399"/>
      <c r="CM46" s="399"/>
      <c r="CN46" s="399"/>
      <c r="CO46" s="399"/>
      <c r="CP46" s="399"/>
      <c r="CQ46" s="399"/>
      <c r="CR46" s="399"/>
      <c r="CS46" s="399"/>
      <c r="CT46" s="399"/>
      <c r="CU46" s="399"/>
      <c r="CV46" s="399"/>
      <c r="CW46" s="399"/>
      <c r="CX46" s="399"/>
      <c r="CY46" s="399"/>
      <c r="CZ46" s="399"/>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row>
    <row r="47" spans="1:238" ht="13">
      <c r="A47" s="1524" t="s">
        <v>1282</v>
      </c>
      <c r="M47" s="14"/>
      <c r="N47" s="14"/>
      <c r="O47" s="14"/>
      <c r="P47" s="608"/>
      <c r="Q47" s="361"/>
      <c r="U47" s="361"/>
      <c r="V47" s="361"/>
      <c r="W47" s="399"/>
      <c r="X47" s="399"/>
      <c r="Y47" s="399"/>
      <c r="Z47" s="399"/>
      <c r="AA47" s="399"/>
      <c r="AB47" s="399"/>
      <c r="AC47" s="399"/>
      <c r="AD47" s="399"/>
      <c r="AE47" s="399"/>
      <c r="AF47" s="399"/>
      <c r="AG47" s="399"/>
      <c r="AH47" s="399"/>
      <c r="AI47" s="399"/>
      <c r="AJ47" s="399"/>
      <c r="AK47" s="399"/>
      <c r="AL47" s="399"/>
      <c r="AM47" s="399"/>
      <c r="AN47" s="399"/>
      <c r="AO47" s="399"/>
      <c r="AP47" s="399"/>
      <c r="AQ47" s="399"/>
      <c r="AR47" s="399"/>
      <c r="AS47" s="399"/>
      <c r="AT47" s="399"/>
      <c r="AU47" s="399"/>
      <c r="AV47" s="399"/>
      <c r="AW47" s="399"/>
      <c r="AX47" s="399"/>
      <c r="AY47" s="399"/>
      <c r="AZ47" s="399"/>
      <c r="BA47" s="399"/>
      <c r="BB47" s="399"/>
      <c r="BC47" s="399"/>
      <c r="BD47" s="399"/>
      <c r="BE47" s="399"/>
      <c r="BF47" s="399"/>
      <c r="BG47" s="399"/>
      <c r="BH47" s="399"/>
      <c r="BI47" s="399"/>
      <c r="BJ47" s="399"/>
      <c r="BK47" s="399"/>
      <c r="BL47" s="399"/>
      <c r="BM47" s="399"/>
      <c r="BN47" s="399"/>
      <c r="BO47" s="399"/>
      <c r="BP47" s="399"/>
      <c r="BQ47" s="399"/>
      <c r="BR47" s="399"/>
      <c r="BS47" s="399"/>
      <c r="BT47" s="399"/>
      <c r="BU47" s="399"/>
      <c r="BV47" s="399"/>
      <c r="BW47" s="399"/>
      <c r="BX47" s="399"/>
      <c r="BY47" s="399"/>
      <c r="BZ47" s="399"/>
      <c r="CA47" s="399"/>
      <c r="CB47" s="399"/>
      <c r="CC47" s="399"/>
      <c r="CD47" s="399"/>
      <c r="CE47" s="399"/>
      <c r="CF47" s="399"/>
      <c r="CG47" s="399"/>
      <c r="CH47" s="399"/>
      <c r="CI47" s="399"/>
      <c r="CJ47" s="399"/>
      <c r="CK47" s="399"/>
      <c r="CL47" s="399"/>
      <c r="CM47" s="399"/>
      <c r="CN47" s="399"/>
      <c r="CO47" s="399"/>
      <c r="CP47" s="399"/>
      <c r="CQ47" s="399"/>
      <c r="CR47" s="399"/>
      <c r="CS47" s="399"/>
      <c r="CT47" s="399"/>
      <c r="CU47" s="399"/>
      <c r="CV47" s="399"/>
      <c r="CW47" s="399"/>
      <c r="CX47" s="399"/>
      <c r="CY47" s="399"/>
      <c r="CZ47" s="399"/>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row>
    <row r="48" spans="1:238" s="705" customFormat="1" ht="12.75" customHeight="1">
      <c r="A48" s="395"/>
      <c r="B48" s="8"/>
      <c r="C48" s="8"/>
      <c r="D48" s="8"/>
      <c r="E48" s="8"/>
      <c r="F48" s="8"/>
      <c r="G48" s="8"/>
      <c r="H48" s="8"/>
      <c r="I48" s="8"/>
      <c r="J48" s="8"/>
      <c r="K48" s="8"/>
      <c r="L48" s="8"/>
      <c r="M48" s="14"/>
      <c r="N48" s="14"/>
      <c r="O48" s="14"/>
      <c r="P48" s="608"/>
      <c r="Q48" s="361"/>
      <c r="R48" s="605"/>
      <c r="S48" s="605"/>
      <c r="T48" s="605"/>
      <c r="U48" s="361"/>
      <c r="V48" s="361"/>
      <c r="W48" s="399"/>
    </row>
    <row r="49" spans="1:236">
      <c r="A49" s="6"/>
      <c r="M49" s="14"/>
      <c r="N49" s="14"/>
      <c r="O49" s="14"/>
      <c r="P49" s="608"/>
      <c r="Q49" s="361"/>
      <c r="R49" s="361"/>
      <c r="S49" s="607"/>
      <c r="T49" s="607"/>
      <c r="U49" s="361"/>
      <c r="V49" s="361"/>
      <c r="W49" s="399"/>
      <c r="X49" s="399"/>
      <c r="Y49" s="399"/>
      <c r="Z49" s="399"/>
      <c r="AA49" s="399"/>
      <c r="AB49" s="399"/>
      <c r="AC49" s="399"/>
      <c r="AD49" s="399"/>
      <c r="AE49" s="399"/>
      <c r="AF49" s="399"/>
      <c r="AG49" s="399"/>
      <c r="AH49" s="399"/>
      <c r="AI49" s="399"/>
      <c r="AJ49" s="399"/>
      <c r="AK49" s="399"/>
      <c r="AL49" s="399"/>
      <c r="AM49" s="399"/>
      <c r="AN49" s="399"/>
      <c r="AO49" s="399"/>
      <c r="AP49" s="399"/>
      <c r="AQ49" s="399"/>
      <c r="AR49" s="399"/>
      <c r="AS49" s="399"/>
      <c r="AT49" s="399"/>
      <c r="AU49" s="399"/>
      <c r="AV49" s="399"/>
      <c r="AW49" s="399"/>
      <c r="AX49" s="399"/>
      <c r="AY49" s="399"/>
      <c r="AZ49" s="399"/>
      <c r="BA49" s="399"/>
      <c r="BB49" s="399"/>
      <c r="BC49" s="399"/>
      <c r="BD49" s="399"/>
      <c r="BE49" s="399"/>
      <c r="BF49" s="399"/>
      <c r="BG49" s="399"/>
      <c r="BH49" s="399"/>
      <c r="BI49" s="399"/>
      <c r="BJ49" s="399"/>
      <c r="BK49" s="399"/>
      <c r="BL49" s="399"/>
      <c r="BM49" s="399"/>
      <c r="BN49" s="399"/>
      <c r="BO49" s="399"/>
      <c r="BP49" s="399"/>
      <c r="BQ49" s="399"/>
      <c r="BR49" s="399"/>
      <c r="BS49" s="399"/>
      <c r="BT49" s="399"/>
      <c r="BU49" s="399"/>
      <c r="BV49" s="399"/>
      <c r="BW49" s="399"/>
      <c r="BX49" s="399"/>
      <c r="BY49" s="399"/>
      <c r="BZ49" s="399"/>
      <c r="CA49" s="399"/>
      <c r="CB49" s="399"/>
      <c r="CC49" s="399"/>
      <c r="CD49" s="399"/>
      <c r="CE49" s="399"/>
      <c r="CF49" s="399"/>
      <c r="CG49" s="399"/>
      <c r="CH49" s="399"/>
      <c r="CI49" s="399"/>
      <c r="CJ49" s="399"/>
      <c r="CK49" s="399"/>
      <c r="CL49" s="399"/>
      <c r="CM49" s="399"/>
      <c r="CN49" s="399"/>
      <c r="CO49" s="399"/>
      <c r="CP49" s="399"/>
      <c r="CQ49" s="399"/>
      <c r="CR49" s="399"/>
      <c r="CS49" s="399"/>
      <c r="CT49" s="399"/>
      <c r="CU49" s="399"/>
      <c r="CV49" s="399"/>
      <c r="CW49" s="399"/>
      <c r="CX49" s="399"/>
      <c r="CY49" s="399"/>
      <c r="CZ49" s="399"/>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row>
    <row r="50" spans="1:236" ht="13">
      <c r="A50" s="788" t="s">
        <v>1198</v>
      </c>
      <c r="B50" s="706"/>
      <c r="C50" s="706"/>
      <c r="D50" s="706"/>
      <c r="E50" s="707"/>
      <c r="F50" s="705"/>
      <c r="G50" s="705"/>
      <c r="H50" s="705"/>
      <c r="I50" s="705"/>
      <c r="J50" s="705"/>
      <c r="K50" s="705"/>
      <c r="L50" s="705"/>
      <c r="M50" s="705"/>
      <c r="N50" s="705"/>
      <c r="O50" s="705"/>
      <c r="P50" s="705"/>
      <c r="Q50" s="705"/>
      <c r="R50" s="705"/>
      <c r="S50" s="705"/>
      <c r="T50" s="705"/>
      <c r="U50" s="705"/>
      <c r="V50" s="705"/>
      <c r="W50" s="705"/>
      <c r="X50" s="399"/>
      <c r="Y50" s="399"/>
      <c r="Z50" s="399"/>
      <c r="AA50" s="399"/>
      <c r="AB50" s="399"/>
      <c r="AC50" s="399"/>
      <c r="AD50" s="399"/>
      <c r="AE50" s="399"/>
      <c r="AF50" s="399"/>
      <c r="AG50" s="399"/>
      <c r="AH50" s="399"/>
      <c r="AI50" s="399"/>
      <c r="AJ50" s="399"/>
      <c r="AK50" s="399"/>
      <c r="AL50" s="399"/>
      <c r="AM50" s="399"/>
      <c r="AN50" s="399"/>
      <c r="AO50" s="399"/>
      <c r="AP50" s="399"/>
      <c r="AQ50" s="399"/>
      <c r="AR50" s="399"/>
      <c r="AS50" s="399"/>
      <c r="AT50" s="399"/>
      <c r="AU50" s="399"/>
      <c r="AV50" s="399"/>
      <c r="AW50" s="399"/>
      <c r="AX50" s="399"/>
      <c r="AY50" s="399"/>
      <c r="AZ50" s="399"/>
      <c r="BA50" s="399"/>
      <c r="BB50" s="399"/>
      <c r="BC50" s="399"/>
      <c r="BD50" s="399"/>
      <c r="BE50" s="399"/>
      <c r="BF50" s="399"/>
      <c r="BG50" s="399"/>
      <c r="BH50" s="399"/>
      <c r="BI50" s="399"/>
      <c r="BJ50" s="399"/>
      <c r="BK50" s="399"/>
      <c r="BL50" s="399"/>
      <c r="BM50" s="399"/>
      <c r="BN50" s="399"/>
      <c r="BO50" s="399"/>
      <c r="BP50" s="399"/>
      <c r="BQ50" s="399"/>
      <c r="BR50" s="399"/>
      <c r="BS50" s="399"/>
      <c r="BT50" s="399"/>
      <c r="BU50" s="399"/>
      <c r="BV50" s="399"/>
      <c r="BW50" s="399"/>
      <c r="BX50" s="399"/>
      <c r="BY50" s="399"/>
      <c r="BZ50" s="399"/>
      <c r="CA50" s="399"/>
      <c r="CB50" s="399"/>
      <c r="CC50" s="399"/>
      <c r="CD50" s="399"/>
      <c r="CE50" s="399"/>
      <c r="CF50" s="399"/>
      <c r="CG50" s="399"/>
      <c r="CH50" s="399"/>
      <c r="CI50" s="399"/>
      <c r="CJ50" s="399"/>
      <c r="CK50" s="399"/>
      <c r="CL50" s="399"/>
      <c r="CM50" s="399"/>
      <c r="CN50" s="399"/>
      <c r="CO50" s="399"/>
      <c r="CP50" s="399"/>
      <c r="CQ50" s="399"/>
      <c r="CR50" s="399"/>
      <c r="CS50" s="399"/>
      <c r="CT50" s="399"/>
      <c r="CU50" s="399"/>
      <c r="CV50" s="399"/>
      <c r="CW50" s="399"/>
      <c r="CX50" s="399"/>
      <c r="CY50" s="399"/>
      <c r="CZ50" s="399"/>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row>
    <row r="51" spans="1:236" ht="14.15" customHeight="1">
      <c r="A51" s="788" t="s">
        <v>1199</v>
      </c>
      <c r="B51" s="423"/>
      <c r="C51" s="423"/>
      <c r="D51" s="423"/>
      <c r="E51" s="423"/>
      <c r="F51" s="423"/>
      <c r="G51" s="423"/>
      <c r="H51" s="423"/>
      <c r="I51" s="423"/>
      <c r="J51" s="423"/>
      <c r="K51" s="423"/>
      <c r="L51" s="423"/>
      <c r="M51" s="423"/>
      <c r="N51" s="423"/>
      <c r="O51" s="423"/>
      <c r="P51" s="609"/>
      <c r="Q51" s="609"/>
      <c r="R51" s="609"/>
      <c r="S51" s="609"/>
      <c r="T51" s="361"/>
      <c r="U51" s="361"/>
      <c r="V51" s="361"/>
      <c r="W51" s="399"/>
      <c r="X51" s="399"/>
      <c r="Y51" s="399"/>
      <c r="Z51" s="399"/>
      <c r="AA51" s="399"/>
      <c r="AB51" s="399"/>
      <c r="AC51" s="399"/>
      <c r="AD51" s="399"/>
      <c r="AE51" s="399"/>
      <c r="AF51" s="399"/>
      <c r="AG51" s="399"/>
      <c r="AH51" s="399"/>
      <c r="AI51" s="399"/>
      <c r="AJ51" s="399"/>
      <c r="AK51" s="399"/>
      <c r="AL51" s="399"/>
      <c r="AM51" s="399"/>
      <c r="AN51" s="399"/>
      <c r="AO51" s="399"/>
      <c r="AP51" s="399"/>
      <c r="AQ51" s="399"/>
      <c r="AR51" s="399"/>
      <c r="AS51" s="399"/>
      <c r="AT51" s="399"/>
      <c r="AU51" s="399"/>
      <c r="AV51" s="399"/>
      <c r="AW51" s="399"/>
      <c r="AX51" s="399"/>
      <c r="AY51" s="399"/>
      <c r="AZ51" s="399"/>
      <c r="BA51" s="399"/>
      <c r="BB51" s="399"/>
      <c r="BC51" s="399"/>
      <c r="BD51" s="399"/>
      <c r="BE51" s="399"/>
      <c r="BF51" s="399"/>
      <c r="BG51" s="399"/>
      <c r="BH51" s="399"/>
      <c r="BI51" s="399"/>
      <c r="BJ51" s="399"/>
      <c r="BK51" s="399"/>
      <c r="BL51" s="399"/>
      <c r="BM51" s="399"/>
      <c r="BN51" s="399"/>
      <c r="BO51" s="399"/>
      <c r="BP51" s="399"/>
      <c r="BQ51" s="399"/>
      <c r="BR51" s="399"/>
      <c r="BS51" s="399"/>
      <c r="BT51" s="399"/>
      <c r="BU51" s="399"/>
      <c r="BV51" s="399"/>
      <c r="BW51" s="399"/>
      <c r="BX51" s="399"/>
      <c r="BY51" s="399"/>
      <c r="BZ51" s="399"/>
      <c r="CA51" s="399"/>
      <c r="CB51" s="399"/>
      <c r="CC51" s="399"/>
      <c r="CD51" s="399"/>
      <c r="CE51" s="399"/>
      <c r="CF51" s="399"/>
      <c r="CG51" s="399"/>
      <c r="CH51" s="399"/>
      <c r="CI51" s="399"/>
      <c r="CJ51" s="399"/>
      <c r="CK51" s="399"/>
      <c r="CL51" s="399"/>
      <c r="CM51" s="399"/>
      <c r="CN51" s="399"/>
      <c r="CO51" s="399"/>
      <c r="CP51" s="399"/>
      <c r="CQ51" s="399"/>
      <c r="CR51" s="399"/>
      <c r="CS51" s="399"/>
      <c r="CT51" s="399"/>
      <c r="CU51" s="399"/>
      <c r="CV51" s="399"/>
      <c r="CW51" s="399"/>
      <c r="CX51" s="399"/>
      <c r="CY51" s="399"/>
      <c r="CZ51" s="399"/>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row>
    <row r="52" spans="1:236" ht="14.15" customHeight="1">
      <c r="A52" s="788" t="s">
        <v>1200</v>
      </c>
      <c r="B52" s="2"/>
      <c r="C52" s="2"/>
      <c r="D52" s="2"/>
      <c r="E52" s="2"/>
      <c r="F52" s="2"/>
      <c r="G52" s="2"/>
      <c r="H52" s="2"/>
      <c r="I52" s="2"/>
      <c r="J52" s="2"/>
      <c r="K52" s="2"/>
      <c r="L52" s="2"/>
      <c r="M52" s="2"/>
      <c r="N52" s="2"/>
      <c r="O52" s="2"/>
      <c r="P52" s="531"/>
      <c r="Q52" s="531"/>
      <c r="R52" s="531"/>
      <c r="S52" s="531"/>
      <c r="T52" s="531"/>
      <c r="U52" s="531"/>
      <c r="V52" s="531"/>
      <c r="W52" s="399"/>
      <c r="X52" s="399"/>
      <c r="Y52" s="399"/>
      <c r="Z52" s="399"/>
      <c r="AA52" s="399"/>
      <c r="AB52" s="399"/>
      <c r="AC52" s="399"/>
      <c r="AD52" s="399"/>
      <c r="AE52" s="399"/>
      <c r="AF52" s="399"/>
      <c r="AG52" s="399"/>
      <c r="AH52" s="399"/>
      <c r="AI52" s="399"/>
      <c r="AJ52" s="399"/>
      <c r="AK52" s="399"/>
      <c r="AL52" s="399"/>
      <c r="AM52" s="399"/>
      <c r="AN52" s="399"/>
      <c r="AO52" s="399"/>
      <c r="AP52" s="399"/>
      <c r="AQ52" s="399"/>
      <c r="AR52" s="399"/>
      <c r="AS52" s="399"/>
      <c r="AT52" s="399"/>
      <c r="AU52" s="399"/>
      <c r="AV52" s="399"/>
      <c r="AW52" s="399"/>
      <c r="AX52" s="399"/>
      <c r="AY52" s="399"/>
      <c r="AZ52" s="399"/>
      <c r="BA52" s="399"/>
      <c r="BB52" s="399"/>
      <c r="BC52" s="399"/>
      <c r="BD52" s="399"/>
      <c r="BE52" s="399"/>
      <c r="BF52" s="399"/>
      <c r="BG52" s="399"/>
      <c r="BH52" s="399"/>
      <c r="BI52" s="399"/>
      <c r="BJ52" s="399"/>
      <c r="BK52" s="399"/>
      <c r="BL52" s="399"/>
      <c r="BM52" s="399"/>
      <c r="BN52" s="399"/>
      <c r="BO52" s="399"/>
      <c r="BP52" s="399"/>
      <c r="BQ52" s="399"/>
      <c r="BR52" s="399"/>
      <c r="BS52" s="399"/>
      <c r="BT52" s="399"/>
      <c r="BU52" s="399"/>
      <c r="BV52" s="399"/>
      <c r="BW52" s="399"/>
      <c r="BX52" s="399"/>
      <c r="BY52" s="399"/>
      <c r="BZ52" s="399"/>
      <c r="CA52" s="399"/>
      <c r="CB52" s="399"/>
      <c r="CC52" s="399"/>
      <c r="CD52" s="399"/>
      <c r="CE52" s="399"/>
      <c r="CF52" s="399"/>
      <c r="CG52" s="399"/>
      <c r="CH52" s="399"/>
      <c r="CI52" s="399"/>
      <c r="CJ52" s="399"/>
      <c r="CK52" s="399"/>
      <c r="CL52" s="399"/>
      <c r="CM52" s="399"/>
      <c r="CN52" s="399"/>
      <c r="CO52" s="399"/>
      <c r="CP52" s="399"/>
      <c r="CQ52" s="399"/>
      <c r="CR52" s="399"/>
      <c r="CS52" s="399"/>
      <c r="CT52" s="399"/>
      <c r="CU52" s="399"/>
      <c r="CV52" s="399"/>
      <c r="CW52" s="399"/>
      <c r="CX52" s="399"/>
      <c r="CY52" s="399"/>
      <c r="CZ52" s="399"/>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row>
    <row r="53" spans="1:236" ht="14.15" customHeight="1">
      <c r="B53" s="6"/>
      <c r="C53" s="6"/>
      <c r="D53" s="6"/>
      <c r="E53" s="6"/>
      <c r="F53" s="6"/>
      <c r="G53" s="6"/>
      <c r="H53" s="6"/>
      <c r="I53" s="6"/>
      <c r="J53" s="6"/>
      <c r="K53" s="6"/>
      <c r="L53" s="6"/>
      <c r="M53" s="14"/>
      <c r="N53" s="14"/>
      <c r="O53" s="14"/>
      <c r="P53" s="608"/>
      <c r="Q53" s="361"/>
      <c r="R53" s="361"/>
      <c r="S53" s="361"/>
      <c r="T53" s="361"/>
      <c r="U53" s="361"/>
      <c r="V53" s="361"/>
      <c r="W53" s="399"/>
      <c r="X53" s="399"/>
      <c r="Y53" s="399"/>
      <c r="Z53" s="399"/>
      <c r="AA53" s="399"/>
      <c r="AB53" s="399"/>
      <c r="AC53" s="399"/>
      <c r="AD53" s="399"/>
      <c r="AE53" s="399"/>
      <c r="AF53" s="399"/>
      <c r="AG53" s="399"/>
      <c r="AH53" s="399"/>
      <c r="AI53" s="399"/>
      <c r="AJ53" s="399"/>
      <c r="AK53" s="399"/>
      <c r="AL53" s="399"/>
      <c r="AM53" s="399"/>
      <c r="AN53" s="399"/>
      <c r="AO53" s="399"/>
      <c r="AP53" s="399"/>
      <c r="AQ53" s="399"/>
      <c r="AR53" s="399"/>
      <c r="AS53" s="399"/>
      <c r="AT53" s="399"/>
      <c r="AU53" s="399"/>
      <c r="AV53" s="399"/>
      <c r="AW53" s="399"/>
      <c r="AX53" s="399"/>
      <c r="AY53" s="399"/>
      <c r="AZ53" s="399"/>
      <c r="BA53" s="399"/>
      <c r="BB53" s="399"/>
      <c r="BC53" s="399"/>
      <c r="BD53" s="399"/>
      <c r="BE53" s="399"/>
      <c r="BF53" s="399"/>
      <c r="BG53" s="399"/>
      <c r="BH53" s="399"/>
      <c r="BI53" s="399"/>
      <c r="BJ53" s="399"/>
      <c r="BK53" s="399"/>
      <c r="BL53" s="399"/>
      <c r="BM53" s="399"/>
      <c r="BN53" s="399"/>
      <c r="BO53" s="399"/>
      <c r="BP53" s="399"/>
      <c r="BQ53" s="399"/>
      <c r="BR53" s="399"/>
      <c r="BS53" s="399"/>
      <c r="BT53" s="399"/>
      <c r="BU53" s="399"/>
      <c r="BV53" s="399"/>
      <c r="BW53" s="399"/>
      <c r="BX53" s="399"/>
      <c r="BY53" s="399"/>
      <c r="BZ53" s="399"/>
      <c r="CA53" s="399"/>
      <c r="CB53" s="399"/>
      <c r="CC53" s="399"/>
      <c r="CD53" s="399"/>
      <c r="CE53" s="399"/>
      <c r="CF53" s="399"/>
      <c r="CG53" s="399"/>
      <c r="CH53" s="399"/>
      <c r="CI53" s="399"/>
      <c r="CJ53" s="399"/>
      <c r="CK53" s="399"/>
      <c r="CL53" s="399"/>
      <c r="CM53" s="399"/>
      <c r="CN53" s="399"/>
      <c r="CO53" s="399"/>
      <c r="CP53" s="399"/>
      <c r="CQ53" s="399"/>
      <c r="CR53" s="399"/>
      <c r="CS53" s="399"/>
      <c r="CT53" s="399"/>
      <c r="CU53" s="399"/>
      <c r="CV53" s="399"/>
      <c r="CW53" s="399"/>
      <c r="CX53" s="399"/>
      <c r="CY53" s="399"/>
      <c r="CZ53" s="399"/>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row>
    <row r="54" spans="1:236" ht="14.15" customHeight="1">
      <c r="A54" s="6"/>
      <c r="B54" s="6"/>
      <c r="C54" s="6"/>
      <c r="D54" s="6"/>
      <c r="E54" s="6"/>
      <c r="F54" s="6"/>
      <c r="G54" s="6"/>
      <c r="H54" s="6"/>
      <c r="I54" s="6"/>
      <c r="J54" s="6"/>
      <c r="K54" s="6"/>
      <c r="L54" s="6"/>
      <c r="M54" s="14"/>
      <c r="N54" s="14"/>
      <c r="O54" s="14"/>
      <c r="P54" s="608"/>
      <c r="Q54" s="361"/>
      <c r="R54" s="361"/>
      <c r="S54" s="361"/>
      <c r="T54" s="361"/>
      <c r="U54" s="361"/>
      <c r="V54" s="361"/>
      <c r="W54" s="399"/>
      <c r="X54" s="399"/>
      <c r="Y54" s="399"/>
      <c r="Z54" s="399"/>
      <c r="AA54" s="399"/>
      <c r="AB54" s="399"/>
      <c r="AC54" s="399"/>
      <c r="AD54" s="399"/>
      <c r="AE54" s="399"/>
      <c r="AF54" s="399"/>
      <c r="AG54" s="399"/>
      <c r="AH54" s="399"/>
      <c r="AI54" s="399"/>
      <c r="AJ54" s="399"/>
      <c r="AK54" s="399"/>
      <c r="AL54" s="399"/>
      <c r="AM54" s="399"/>
      <c r="AN54" s="399"/>
      <c r="AO54" s="399"/>
      <c r="AP54" s="399"/>
      <c r="AQ54" s="399"/>
      <c r="AR54" s="399"/>
      <c r="AS54" s="399"/>
      <c r="AT54" s="399"/>
      <c r="AU54" s="399"/>
      <c r="AV54" s="399"/>
      <c r="AW54" s="399"/>
      <c r="AX54" s="399"/>
      <c r="AY54" s="399"/>
      <c r="AZ54" s="399"/>
      <c r="BA54" s="399"/>
      <c r="BB54" s="399"/>
      <c r="BC54" s="399"/>
      <c r="BD54" s="399"/>
      <c r="BE54" s="399"/>
      <c r="BF54" s="399"/>
      <c r="BG54" s="399"/>
      <c r="BH54" s="399"/>
      <c r="BI54" s="399"/>
      <c r="BJ54" s="399"/>
      <c r="BK54" s="399"/>
      <c r="BL54" s="399"/>
      <c r="BM54" s="399"/>
      <c r="BN54" s="399"/>
      <c r="BO54" s="399"/>
      <c r="BP54" s="399"/>
      <c r="BQ54" s="399"/>
      <c r="BR54" s="399"/>
      <c r="BS54" s="399"/>
      <c r="BT54" s="399"/>
      <c r="BU54" s="399"/>
      <c r="BV54" s="399"/>
      <c r="BW54" s="399"/>
      <c r="BX54" s="399"/>
      <c r="BY54" s="399"/>
      <c r="BZ54" s="399"/>
      <c r="CA54" s="399"/>
      <c r="CB54" s="399"/>
      <c r="CC54" s="399"/>
      <c r="CD54" s="399"/>
      <c r="CE54" s="399"/>
      <c r="CF54" s="399"/>
      <c r="CG54" s="399"/>
      <c r="CH54" s="399"/>
      <c r="CI54" s="399"/>
      <c r="CJ54" s="399"/>
      <c r="CK54" s="399"/>
      <c r="CL54" s="399"/>
      <c r="CM54" s="399"/>
      <c r="CN54" s="399"/>
      <c r="CO54" s="399"/>
      <c r="CP54" s="399"/>
      <c r="CQ54" s="399"/>
      <c r="CR54" s="399"/>
      <c r="CS54" s="399"/>
      <c r="CT54" s="399"/>
      <c r="CU54" s="399"/>
      <c r="CV54" s="399"/>
      <c r="CW54" s="399"/>
      <c r="CX54" s="399"/>
      <c r="CY54" s="399"/>
      <c r="CZ54" s="399"/>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row>
    <row r="55" spans="1:236" ht="14.15" customHeight="1">
      <c r="A55" s="6"/>
      <c r="B55" s="6"/>
      <c r="C55" s="6"/>
      <c r="D55" s="6"/>
      <c r="E55" s="6"/>
      <c r="F55" s="6"/>
      <c r="G55" s="6"/>
      <c r="H55" s="6"/>
      <c r="I55" s="6"/>
      <c r="J55" s="6"/>
      <c r="K55" s="6"/>
      <c r="L55" s="6"/>
      <c r="M55" s="14"/>
      <c r="N55" s="14"/>
      <c r="O55" s="14"/>
      <c r="P55" s="608"/>
      <c r="Q55" s="361"/>
      <c r="R55" s="361"/>
      <c r="S55" s="361"/>
      <c r="T55" s="361"/>
      <c r="U55" s="361"/>
      <c r="V55" s="361"/>
      <c r="W55" s="399"/>
      <c r="X55" s="399"/>
      <c r="Y55" s="399"/>
      <c r="Z55" s="399"/>
      <c r="AA55" s="399"/>
      <c r="AB55" s="399"/>
      <c r="AC55" s="399"/>
      <c r="AD55" s="399"/>
      <c r="AE55" s="399"/>
      <c r="AF55" s="399"/>
      <c r="AG55" s="399"/>
      <c r="AH55" s="399"/>
      <c r="AI55" s="399"/>
      <c r="AJ55" s="399"/>
      <c r="AK55" s="399"/>
      <c r="AL55" s="399"/>
      <c r="AM55" s="399"/>
      <c r="AN55" s="399"/>
      <c r="AO55" s="399"/>
      <c r="AP55" s="399"/>
      <c r="AQ55" s="399"/>
      <c r="AR55" s="399"/>
      <c r="AS55" s="399"/>
      <c r="AT55" s="399"/>
      <c r="AU55" s="399"/>
      <c r="AV55" s="399"/>
      <c r="AW55" s="399"/>
      <c r="AX55" s="399"/>
      <c r="AY55" s="399"/>
      <c r="AZ55" s="399"/>
      <c r="BA55" s="399"/>
      <c r="BB55" s="399"/>
      <c r="BC55" s="399"/>
      <c r="BD55" s="399"/>
      <c r="BE55" s="399"/>
      <c r="BF55" s="399"/>
      <c r="BG55" s="399"/>
      <c r="BH55" s="399"/>
      <c r="BI55" s="399"/>
      <c r="BJ55" s="399"/>
      <c r="BK55" s="399"/>
      <c r="BL55" s="399"/>
      <c r="BM55" s="399"/>
      <c r="BN55" s="399"/>
      <c r="BO55" s="399"/>
      <c r="BP55" s="399"/>
      <c r="BQ55" s="399"/>
      <c r="BR55" s="399"/>
      <c r="BS55" s="399"/>
      <c r="BT55" s="399"/>
      <c r="BU55" s="399"/>
      <c r="BV55" s="399"/>
      <c r="BW55" s="399"/>
      <c r="BX55" s="399"/>
      <c r="BY55" s="399"/>
      <c r="BZ55" s="399"/>
      <c r="CA55" s="399"/>
      <c r="CB55" s="399"/>
      <c r="CC55" s="399"/>
      <c r="CD55" s="399"/>
      <c r="CE55" s="399"/>
      <c r="CF55" s="399"/>
      <c r="CG55" s="399"/>
      <c r="CH55" s="399"/>
      <c r="CI55" s="399"/>
      <c r="CJ55" s="399"/>
      <c r="CK55" s="399"/>
      <c r="CL55" s="399"/>
      <c r="CM55" s="399"/>
      <c r="CN55" s="399"/>
      <c r="CO55" s="399"/>
      <c r="CP55" s="399"/>
      <c r="CQ55" s="399"/>
      <c r="CR55" s="399"/>
      <c r="CS55" s="399"/>
      <c r="CT55" s="399"/>
      <c r="CU55" s="399"/>
      <c r="CV55" s="399"/>
      <c r="CW55" s="399"/>
      <c r="CX55" s="399"/>
      <c r="CY55" s="399"/>
      <c r="CZ55" s="399"/>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row>
    <row r="56" spans="1:236" ht="14.15" customHeight="1">
      <c r="A56" s="6"/>
      <c r="B56" s="6"/>
      <c r="C56" s="6"/>
      <c r="D56" s="6"/>
      <c r="E56" s="6"/>
      <c r="F56" s="6"/>
      <c r="G56" s="6"/>
      <c r="H56" s="6"/>
      <c r="I56" s="6"/>
      <c r="J56" s="6"/>
      <c r="K56" s="6"/>
      <c r="L56" s="6"/>
      <c r="M56" s="14"/>
      <c r="N56" s="14"/>
      <c r="O56" s="14"/>
      <c r="P56" s="608"/>
      <c r="Q56" s="361"/>
      <c r="R56" s="361"/>
      <c r="S56" s="361"/>
      <c r="T56" s="361"/>
      <c r="U56" s="361"/>
      <c r="V56" s="361"/>
      <c r="W56" s="399"/>
      <c r="X56" s="399"/>
      <c r="Y56" s="399"/>
      <c r="Z56" s="399"/>
      <c r="AA56" s="399"/>
      <c r="AB56" s="399"/>
      <c r="AC56" s="399"/>
      <c r="AD56" s="399"/>
      <c r="AE56" s="399"/>
      <c r="AF56" s="399"/>
      <c r="AG56" s="399"/>
      <c r="AH56" s="399"/>
      <c r="AI56" s="399"/>
      <c r="AJ56" s="399"/>
      <c r="AK56" s="399"/>
      <c r="AL56" s="399"/>
      <c r="AM56" s="399"/>
      <c r="AN56" s="399"/>
      <c r="AO56" s="399"/>
      <c r="AP56" s="399"/>
      <c r="AQ56" s="399"/>
      <c r="AR56" s="399"/>
      <c r="AS56" s="399"/>
      <c r="AT56" s="399"/>
      <c r="AU56" s="399"/>
      <c r="AV56" s="399"/>
      <c r="AW56" s="399"/>
      <c r="AX56" s="399"/>
      <c r="AY56" s="399"/>
      <c r="AZ56" s="399"/>
      <c r="BA56" s="399"/>
      <c r="BB56" s="399"/>
      <c r="BC56" s="399"/>
      <c r="BD56" s="399"/>
      <c r="BE56" s="399"/>
      <c r="BF56" s="399"/>
      <c r="BG56" s="399"/>
      <c r="BH56" s="399"/>
      <c r="BI56" s="399"/>
      <c r="BJ56" s="399"/>
      <c r="BK56" s="399"/>
      <c r="BL56" s="399"/>
      <c r="BM56" s="399"/>
      <c r="BN56" s="399"/>
      <c r="BO56" s="399"/>
      <c r="BP56" s="399"/>
      <c r="BQ56" s="399"/>
      <c r="BR56" s="399"/>
      <c r="BS56" s="399"/>
      <c r="BT56" s="399"/>
      <c r="BU56" s="399"/>
      <c r="BV56" s="399"/>
      <c r="BW56" s="399"/>
      <c r="BX56" s="399"/>
      <c r="BY56" s="399"/>
      <c r="BZ56" s="399"/>
      <c r="CA56" s="399"/>
      <c r="CB56" s="399"/>
      <c r="CC56" s="399"/>
      <c r="CD56" s="399"/>
      <c r="CE56" s="399"/>
      <c r="CF56" s="399"/>
      <c r="CG56" s="399"/>
      <c r="CH56" s="399"/>
      <c r="CI56" s="399"/>
      <c r="CJ56" s="399"/>
      <c r="CK56" s="399"/>
      <c r="CL56" s="399"/>
      <c r="CM56" s="399"/>
      <c r="CN56" s="399"/>
      <c r="CO56" s="399"/>
      <c r="CP56" s="399"/>
      <c r="CQ56" s="399"/>
      <c r="CR56" s="399"/>
      <c r="CS56" s="399"/>
      <c r="CT56" s="399"/>
      <c r="CU56" s="399"/>
      <c r="CV56" s="399"/>
      <c r="CW56" s="399"/>
      <c r="CX56" s="399"/>
      <c r="CY56" s="399"/>
      <c r="CZ56" s="399"/>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row>
    <row r="57" spans="1:236" ht="14.15" customHeight="1">
      <c r="A57" s="6"/>
      <c r="B57" s="6"/>
      <c r="C57" s="6"/>
      <c r="D57" s="6"/>
      <c r="E57" s="6"/>
      <c r="F57" s="6"/>
      <c r="G57" s="6"/>
      <c r="H57" s="6"/>
      <c r="I57" s="6"/>
      <c r="J57" s="1570"/>
      <c r="K57" s="6"/>
      <c r="L57" s="6"/>
      <c r="M57" s="14"/>
      <c r="N57" s="14"/>
      <c r="O57" s="14"/>
      <c r="P57" s="608"/>
      <c r="Q57" s="361"/>
      <c r="R57" s="361"/>
      <c r="S57" s="361"/>
      <c r="T57" s="361"/>
      <c r="U57" s="361"/>
      <c r="V57" s="361"/>
      <c r="W57" s="399"/>
      <c r="X57" s="399"/>
      <c r="Y57" s="399"/>
      <c r="Z57" s="399"/>
      <c r="AA57" s="399"/>
      <c r="AB57" s="399"/>
      <c r="AC57" s="399"/>
      <c r="AD57" s="399"/>
      <c r="AE57" s="399"/>
      <c r="AF57" s="399"/>
      <c r="AG57" s="399"/>
      <c r="AH57" s="399"/>
      <c r="AI57" s="399"/>
      <c r="AJ57" s="399"/>
      <c r="AK57" s="399"/>
      <c r="AL57" s="399"/>
      <c r="AM57" s="399"/>
      <c r="AN57" s="399"/>
      <c r="AO57" s="399"/>
      <c r="AP57" s="399"/>
      <c r="AQ57" s="399"/>
      <c r="AR57" s="399"/>
      <c r="AS57" s="399"/>
      <c r="AT57" s="399"/>
      <c r="AU57" s="399"/>
      <c r="AV57" s="399"/>
      <c r="AW57" s="399"/>
      <c r="AX57" s="399"/>
      <c r="AY57" s="399"/>
      <c r="AZ57" s="399"/>
      <c r="BA57" s="399"/>
      <c r="BB57" s="399"/>
      <c r="BC57" s="399"/>
      <c r="BD57" s="399"/>
      <c r="BE57" s="399"/>
      <c r="BF57" s="399"/>
      <c r="BG57" s="399"/>
      <c r="BH57" s="399"/>
      <c r="BI57" s="399"/>
      <c r="BJ57" s="399"/>
      <c r="BK57" s="399"/>
      <c r="BL57" s="399"/>
      <c r="BM57" s="399"/>
      <c r="BN57" s="399"/>
      <c r="BO57" s="399"/>
      <c r="BP57" s="399"/>
      <c r="BQ57" s="399"/>
      <c r="BR57" s="399"/>
      <c r="BS57" s="399"/>
      <c r="BT57" s="399"/>
      <c r="BU57" s="399"/>
      <c r="BV57" s="399"/>
      <c r="BW57" s="399"/>
      <c r="BX57" s="399"/>
      <c r="BY57" s="399"/>
      <c r="BZ57" s="399"/>
      <c r="CA57" s="399"/>
      <c r="CB57" s="399"/>
      <c r="CC57" s="399"/>
      <c r="CD57" s="399"/>
      <c r="CE57" s="399"/>
      <c r="CF57" s="399"/>
      <c r="CG57" s="399"/>
      <c r="CH57" s="399"/>
      <c r="CI57" s="399"/>
      <c r="CJ57" s="399"/>
      <c r="CK57" s="399"/>
      <c r="CL57" s="399"/>
      <c r="CM57" s="399"/>
      <c r="CN57" s="399"/>
      <c r="CO57" s="399"/>
      <c r="CP57" s="399"/>
      <c r="CQ57" s="399"/>
      <c r="CR57" s="399"/>
      <c r="CS57" s="399"/>
      <c r="CT57" s="399"/>
      <c r="CU57" s="399"/>
      <c r="CV57" s="399"/>
      <c r="CW57" s="399"/>
      <c r="CX57" s="399"/>
      <c r="CY57" s="399"/>
      <c r="CZ57" s="399"/>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row>
    <row r="58" spans="1:236" ht="14.15" customHeight="1">
      <c r="A58" s="6"/>
      <c r="B58" s="6"/>
      <c r="C58" s="6"/>
      <c r="D58" s="6"/>
      <c r="E58" s="6"/>
      <c r="F58" s="6"/>
      <c r="G58" s="6"/>
      <c r="H58" s="6"/>
      <c r="I58" s="6"/>
      <c r="J58" s="1570"/>
      <c r="K58" s="6"/>
      <c r="L58" s="6"/>
      <c r="M58" s="14"/>
      <c r="N58" s="14"/>
      <c r="O58" s="14"/>
      <c r="P58" s="608"/>
      <c r="Q58" s="361"/>
      <c r="R58" s="361"/>
      <c r="S58" s="361"/>
      <c r="T58" s="361"/>
      <c r="U58" s="361"/>
      <c r="V58" s="361"/>
      <c r="W58" s="399"/>
      <c r="X58" s="399"/>
      <c r="Y58" s="399"/>
      <c r="Z58" s="399"/>
      <c r="AA58" s="399"/>
      <c r="AB58" s="399"/>
      <c r="AC58" s="399"/>
      <c r="AD58" s="399"/>
      <c r="AE58" s="399"/>
      <c r="AF58" s="399"/>
      <c r="AG58" s="399"/>
      <c r="AH58" s="399"/>
      <c r="AI58" s="399"/>
      <c r="AJ58" s="399"/>
      <c r="AK58" s="399"/>
      <c r="AL58" s="399"/>
      <c r="AM58" s="399"/>
      <c r="AN58" s="399"/>
      <c r="AO58" s="399"/>
      <c r="AP58" s="399"/>
      <c r="AQ58" s="399"/>
      <c r="AR58" s="399"/>
      <c r="AS58" s="399"/>
      <c r="AT58" s="399"/>
      <c r="AU58" s="399"/>
      <c r="AV58" s="399"/>
      <c r="AW58" s="399"/>
      <c r="AX58" s="399"/>
      <c r="AY58" s="399"/>
      <c r="AZ58" s="399"/>
      <c r="BA58" s="399"/>
      <c r="BB58" s="399"/>
      <c r="BC58" s="399"/>
      <c r="BD58" s="399"/>
      <c r="BE58" s="399"/>
      <c r="BF58" s="399"/>
      <c r="BG58" s="399"/>
      <c r="BH58" s="399"/>
      <c r="BI58" s="399"/>
      <c r="BJ58" s="399"/>
      <c r="BK58" s="399"/>
      <c r="BL58" s="399"/>
      <c r="BM58" s="399"/>
      <c r="BN58" s="399"/>
      <c r="BO58" s="399"/>
      <c r="BP58" s="399"/>
      <c r="BQ58" s="399"/>
      <c r="BR58" s="399"/>
      <c r="BS58" s="399"/>
      <c r="BT58" s="399"/>
      <c r="BU58" s="399"/>
      <c r="BV58" s="399"/>
      <c r="BW58" s="399"/>
      <c r="BX58" s="399"/>
      <c r="BY58" s="399"/>
      <c r="BZ58" s="399"/>
      <c r="CA58" s="399"/>
      <c r="CB58" s="399"/>
      <c r="CC58" s="399"/>
      <c r="CD58" s="399"/>
      <c r="CE58" s="399"/>
      <c r="CF58" s="399"/>
      <c r="CG58" s="399"/>
      <c r="CH58" s="399"/>
      <c r="CI58" s="399"/>
      <c r="CJ58" s="399"/>
      <c r="CK58" s="399"/>
      <c r="CL58" s="399"/>
      <c r="CM58" s="399"/>
      <c r="CN58" s="399"/>
      <c r="CO58" s="399"/>
      <c r="CP58" s="399"/>
      <c r="CQ58" s="399"/>
      <c r="CR58" s="399"/>
      <c r="CS58" s="399"/>
      <c r="CT58" s="399"/>
      <c r="CU58" s="399"/>
      <c r="CV58" s="399"/>
      <c r="CW58" s="399"/>
      <c r="CX58" s="399"/>
      <c r="CY58" s="399"/>
      <c r="CZ58" s="399"/>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row>
    <row r="59" spans="1:236" ht="14.15" customHeight="1">
      <c r="A59" s="6"/>
      <c r="B59" s="6"/>
      <c r="C59" s="6"/>
      <c r="D59" s="6"/>
      <c r="E59" s="6"/>
      <c r="F59" s="6"/>
      <c r="G59" s="6"/>
      <c r="H59" s="6"/>
      <c r="I59" s="6"/>
      <c r="J59" s="15"/>
      <c r="K59" s="6"/>
      <c r="L59" s="6"/>
      <c r="M59" s="14"/>
      <c r="N59" s="14"/>
      <c r="O59" s="14"/>
      <c r="P59" s="608"/>
      <c r="Q59" s="361"/>
      <c r="R59" s="361"/>
      <c r="S59" s="361"/>
      <c r="T59" s="361"/>
      <c r="U59" s="361"/>
      <c r="V59" s="361"/>
      <c r="W59" s="399"/>
      <c r="X59" s="399"/>
      <c r="Y59" s="399"/>
      <c r="Z59" s="399"/>
      <c r="AA59" s="399"/>
      <c r="AB59" s="399"/>
      <c r="AC59" s="399"/>
      <c r="AD59" s="399"/>
      <c r="AE59" s="399"/>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c r="BH59" s="399"/>
      <c r="BI59" s="399"/>
      <c r="BJ59" s="399"/>
      <c r="BK59" s="399"/>
      <c r="BL59" s="399"/>
      <c r="BM59" s="399"/>
      <c r="BN59" s="399"/>
      <c r="BO59" s="399"/>
      <c r="BP59" s="399"/>
      <c r="BQ59" s="399"/>
      <c r="BR59" s="399"/>
      <c r="BS59" s="399"/>
      <c r="BT59" s="399"/>
      <c r="BU59" s="399"/>
      <c r="BV59" s="399"/>
      <c r="BW59" s="399"/>
      <c r="BX59" s="399"/>
      <c r="BY59" s="399"/>
      <c r="BZ59" s="399"/>
      <c r="CA59" s="399"/>
      <c r="CB59" s="399"/>
      <c r="CC59" s="399"/>
      <c r="CD59" s="399"/>
      <c r="CE59" s="399"/>
      <c r="CF59" s="399"/>
      <c r="CG59" s="399"/>
      <c r="CH59" s="399"/>
      <c r="CI59" s="399"/>
      <c r="CJ59" s="399"/>
      <c r="CK59" s="399"/>
      <c r="CL59" s="399"/>
      <c r="CM59" s="399"/>
      <c r="CN59" s="399"/>
      <c r="CO59" s="399"/>
      <c r="CP59" s="399"/>
      <c r="CQ59" s="399"/>
      <c r="CR59" s="399"/>
      <c r="CS59" s="399"/>
      <c r="CT59" s="399"/>
      <c r="CU59" s="399"/>
      <c r="CV59" s="399"/>
      <c r="CW59" s="399"/>
      <c r="CX59" s="399"/>
      <c r="CY59" s="399"/>
      <c r="CZ59" s="399"/>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row>
    <row r="60" spans="1:236" ht="14.15" customHeight="1">
      <c r="A60" s="6"/>
      <c r="B60" s="15"/>
      <c r="C60" s="15"/>
      <c r="D60" s="15"/>
      <c r="E60" s="15"/>
      <c r="F60" s="15"/>
      <c r="G60" s="15"/>
      <c r="H60" s="15"/>
      <c r="I60" s="15"/>
      <c r="J60" s="15"/>
      <c r="K60" s="15"/>
      <c r="L60" s="15"/>
      <c r="M60" s="14"/>
      <c r="N60" s="14"/>
      <c r="O60" s="14"/>
      <c r="P60" s="608"/>
      <c r="Q60" s="361"/>
      <c r="R60" s="361"/>
      <c r="S60" s="361"/>
      <c r="T60" s="361"/>
      <c r="U60" s="361"/>
      <c r="V60" s="361"/>
      <c r="W60" s="399"/>
      <c r="X60" s="399"/>
      <c r="Y60" s="415"/>
      <c r="Z60" s="416"/>
      <c r="AA60" s="399"/>
      <c r="AB60" s="399"/>
      <c r="AC60" s="399"/>
      <c r="AD60" s="399"/>
      <c r="AE60" s="399"/>
      <c r="AF60" s="399"/>
      <c r="AG60" s="399"/>
      <c r="AH60" s="399"/>
      <c r="AI60" s="399"/>
      <c r="AJ60" s="399"/>
      <c r="AK60" s="399"/>
      <c r="AL60" s="399"/>
      <c r="AM60" s="399"/>
      <c r="AN60" s="399"/>
      <c r="AO60" s="399"/>
      <c r="AP60" s="399"/>
      <c r="AQ60" s="399"/>
      <c r="AR60" s="399"/>
      <c r="AS60" s="399"/>
      <c r="AT60" s="399"/>
      <c r="AU60" s="399"/>
      <c r="AV60" s="399"/>
      <c r="AW60" s="399"/>
      <c r="AX60" s="399"/>
      <c r="AY60" s="399"/>
      <c r="AZ60" s="399"/>
      <c r="BA60" s="399"/>
      <c r="BB60" s="399"/>
      <c r="BC60" s="399"/>
      <c r="BD60" s="399"/>
      <c r="BE60" s="399"/>
      <c r="BF60" s="399"/>
      <c r="BG60" s="399"/>
      <c r="BH60" s="399"/>
      <c r="BI60" s="399"/>
      <c r="BJ60" s="399"/>
      <c r="BK60" s="399"/>
      <c r="BL60" s="399"/>
      <c r="BM60" s="399"/>
      <c r="BN60" s="399"/>
      <c r="BO60" s="399"/>
      <c r="BP60" s="399"/>
      <c r="BQ60" s="399"/>
      <c r="BR60" s="399"/>
      <c r="BS60" s="399"/>
      <c r="BT60" s="399"/>
      <c r="BU60" s="399"/>
      <c r="BV60" s="399"/>
      <c r="BW60" s="399"/>
      <c r="BX60" s="399"/>
      <c r="BY60" s="399"/>
      <c r="BZ60" s="399"/>
      <c r="CA60" s="399"/>
      <c r="CB60" s="399"/>
      <c r="CC60" s="399"/>
      <c r="CD60" s="399"/>
      <c r="CE60" s="399"/>
      <c r="CF60" s="399"/>
      <c r="CG60" s="399"/>
      <c r="CH60" s="399"/>
      <c r="CI60" s="399"/>
      <c r="CJ60" s="399"/>
      <c r="CK60" s="399"/>
      <c r="CL60" s="399"/>
      <c r="CM60" s="399"/>
      <c r="CN60" s="399"/>
      <c r="CO60" s="399"/>
      <c r="CP60" s="399"/>
      <c r="CQ60" s="399"/>
      <c r="CR60" s="399"/>
      <c r="CS60" s="399"/>
      <c r="CT60" s="399"/>
      <c r="CU60" s="399"/>
      <c r="CV60" s="399"/>
      <c r="CW60" s="399"/>
      <c r="CX60" s="399"/>
      <c r="CY60" s="399"/>
      <c r="CZ60" s="399"/>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row>
    <row r="61" spans="1:236" ht="14.15" customHeight="1">
      <c r="A61" s="6"/>
      <c r="B61" s="6"/>
      <c r="C61" s="6"/>
      <c r="D61" s="6"/>
      <c r="E61" s="6"/>
      <c r="F61" s="6"/>
      <c r="G61" s="6"/>
      <c r="H61" s="6"/>
      <c r="I61" s="6"/>
      <c r="J61" s="15"/>
      <c r="K61" s="6"/>
      <c r="L61" s="6"/>
      <c r="M61" s="14"/>
      <c r="N61" s="14"/>
      <c r="O61" s="14"/>
      <c r="P61" s="608"/>
      <c r="Q61" s="361"/>
      <c r="R61" s="361"/>
      <c r="S61" s="361"/>
      <c r="T61" s="361"/>
      <c r="U61" s="361"/>
      <c r="V61" s="361"/>
      <c r="W61" s="399"/>
      <c r="X61" s="417"/>
      <c r="Y61" s="418"/>
      <c r="Z61" s="418"/>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399"/>
      <c r="AY61" s="399"/>
      <c r="AZ61" s="399"/>
      <c r="BA61" s="399"/>
      <c r="BB61" s="399"/>
      <c r="BC61" s="399"/>
      <c r="BD61" s="399"/>
      <c r="BE61" s="399"/>
      <c r="BF61" s="399"/>
      <c r="BG61" s="399"/>
      <c r="BH61" s="399"/>
      <c r="BI61" s="399"/>
      <c r="BJ61" s="399"/>
      <c r="BK61" s="399"/>
      <c r="BL61" s="399"/>
      <c r="BM61" s="399"/>
      <c r="BN61" s="399"/>
      <c r="BO61" s="399"/>
      <c r="BP61" s="399"/>
      <c r="BQ61" s="399"/>
      <c r="BR61" s="399"/>
      <c r="BS61" s="399"/>
      <c r="BT61" s="399"/>
      <c r="BU61" s="399"/>
      <c r="BV61" s="399"/>
      <c r="BW61" s="399"/>
      <c r="BX61" s="399"/>
      <c r="BY61" s="399"/>
      <c r="BZ61" s="399"/>
      <c r="CA61" s="399"/>
      <c r="CB61" s="399"/>
      <c r="CC61" s="399"/>
      <c r="CD61" s="399"/>
      <c r="CE61" s="399"/>
      <c r="CF61" s="399"/>
      <c r="CG61" s="399"/>
      <c r="CH61" s="399"/>
      <c r="CI61" s="399"/>
      <c r="CJ61" s="399"/>
      <c r="CK61" s="399"/>
      <c r="CL61" s="399"/>
      <c r="CM61" s="399"/>
      <c r="CN61" s="399"/>
      <c r="CO61" s="399"/>
      <c r="CP61" s="399"/>
      <c r="CQ61" s="399"/>
      <c r="CR61" s="399"/>
      <c r="CS61" s="399"/>
      <c r="CT61" s="399"/>
      <c r="CU61" s="399"/>
      <c r="CV61" s="399"/>
      <c r="CW61" s="399"/>
      <c r="CX61" s="399"/>
      <c r="CY61" s="399"/>
      <c r="CZ61" s="399"/>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row>
    <row r="62" spans="1:236" ht="14.15" customHeight="1">
      <c r="A62" s="6"/>
      <c r="B62" s="6"/>
      <c r="C62" s="6"/>
      <c r="D62" s="6"/>
      <c r="E62" s="6"/>
      <c r="F62" s="6"/>
      <c r="G62" s="6"/>
      <c r="H62" s="6"/>
      <c r="I62" s="6"/>
      <c r="J62" s="15"/>
      <c r="K62" s="6"/>
      <c r="L62" s="6"/>
      <c r="M62" s="14"/>
      <c r="N62" s="14"/>
      <c r="O62" s="14"/>
      <c r="P62" s="608"/>
      <c r="Q62" s="361"/>
      <c r="R62" s="361"/>
      <c r="S62" s="361"/>
      <c r="T62" s="361"/>
      <c r="U62" s="361"/>
      <c r="V62" s="361"/>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399"/>
      <c r="AY62" s="399"/>
      <c r="AZ62" s="399"/>
      <c r="BA62" s="399"/>
      <c r="BB62" s="399"/>
      <c r="BC62" s="399"/>
      <c r="BD62" s="399"/>
      <c r="BE62" s="399"/>
      <c r="BF62" s="399"/>
      <c r="BG62" s="399"/>
      <c r="BH62" s="399"/>
      <c r="BI62" s="399"/>
      <c r="BJ62" s="399"/>
      <c r="BK62" s="399"/>
      <c r="BL62" s="399"/>
      <c r="BM62" s="399"/>
      <c r="BN62" s="399"/>
      <c r="BO62" s="399"/>
      <c r="BP62" s="399"/>
      <c r="BQ62" s="399"/>
      <c r="BR62" s="399"/>
      <c r="BS62" s="399"/>
      <c r="BT62" s="399"/>
      <c r="BU62" s="399"/>
      <c r="BV62" s="399"/>
      <c r="BW62" s="399"/>
      <c r="BX62" s="399"/>
      <c r="BY62" s="399"/>
      <c r="BZ62" s="399"/>
      <c r="CA62" s="399"/>
      <c r="CB62" s="399"/>
      <c r="CC62" s="399"/>
      <c r="CD62" s="399"/>
      <c r="CE62" s="399"/>
      <c r="CF62" s="399"/>
      <c r="CG62" s="399"/>
      <c r="CH62" s="399"/>
      <c r="CI62" s="399"/>
      <c r="CJ62" s="399"/>
      <c r="CK62" s="399"/>
      <c r="CL62" s="399"/>
      <c r="CM62" s="399"/>
      <c r="CN62" s="399"/>
      <c r="CO62" s="399"/>
      <c r="CP62" s="399"/>
      <c r="CQ62" s="399"/>
      <c r="CR62" s="399"/>
      <c r="CS62" s="399"/>
      <c r="CT62" s="399"/>
      <c r="CU62" s="399"/>
      <c r="CV62" s="399"/>
      <c r="CW62" s="399"/>
      <c r="CX62" s="399"/>
      <c r="CY62" s="399"/>
      <c r="CZ62" s="399"/>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row>
    <row r="63" spans="1:236" ht="14.15" customHeight="1">
      <c r="A63" s="16"/>
      <c r="B63" s="6"/>
      <c r="C63" s="6"/>
      <c r="D63" s="6"/>
      <c r="E63" s="6"/>
      <c r="F63" s="6"/>
      <c r="G63" s="6"/>
      <c r="H63" s="6"/>
      <c r="I63" s="6"/>
      <c r="J63" s="15"/>
      <c r="K63" s="1571"/>
      <c r="L63" s="6"/>
      <c r="M63" s="14"/>
      <c r="N63" s="14"/>
      <c r="O63" s="14"/>
      <c r="P63" s="608"/>
      <c r="Q63" s="361"/>
      <c r="R63" s="361"/>
      <c r="S63" s="361"/>
      <c r="T63" s="361"/>
      <c r="U63" s="361"/>
      <c r="V63" s="361"/>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399"/>
      <c r="AY63" s="399"/>
      <c r="AZ63" s="399"/>
      <c r="BA63" s="399"/>
      <c r="BB63" s="399"/>
      <c r="BC63" s="399"/>
      <c r="BD63" s="399"/>
      <c r="BE63" s="399"/>
      <c r="BF63" s="399"/>
      <c r="BG63" s="399"/>
      <c r="BH63" s="399"/>
      <c r="BI63" s="399"/>
      <c r="BJ63" s="399"/>
      <c r="BK63" s="399"/>
      <c r="BL63" s="399"/>
      <c r="BM63" s="399"/>
      <c r="BN63" s="399"/>
      <c r="BO63" s="399"/>
      <c r="BP63" s="399"/>
      <c r="BQ63" s="399"/>
      <c r="BR63" s="399"/>
      <c r="BS63" s="399"/>
      <c r="BT63" s="399"/>
      <c r="BU63" s="399"/>
      <c r="BV63" s="399"/>
      <c r="BW63" s="399"/>
      <c r="BX63" s="399"/>
      <c r="BY63" s="399"/>
      <c r="BZ63" s="399"/>
      <c r="CA63" s="399"/>
      <c r="CB63" s="399"/>
      <c r="CC63" s="399"/>
      <c r="CD63" s="399"/>
      <c r="CE63" s="399"/>
      <c r="CF63" s="399"/>
      <c r="CG63" s="399"/>
      <c r="CH63" s="399"/>
      <c r="CI63" s="399"/>
      <c r="CJ63" s="399"/>
      <c r="CK63" s="399"/>
      <c r="CL63" s="399"/>
      <c r="CM63" s="399"/>
      <c r="CN63" s="399"/>
      <c r="CO63" s="399"/>
      <c r="CP63" s="399"/>
      <c r="CQ63" s="399"/>
      <c r="CR63" s="399"/>
      <c r="CS63" s="399"/>
      <c r="CT63" s="399"/>
      <c r="CU63" s="399"/>
      <c r="CV63" s="399"/>
      <c r="CW63" s="399"/>
      <c r="CX63" s="399"/>
      <c r="CY63" s="399"/>
      <c r="CZ63" s="399"/>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row>
    <row r="64" spans="1:236" ht="14.15" customHeight="1">
      <c r="A64" s="6"/>
      <c r="B64" s="6"/>
      <c r="C64" s="6"/>
      <c r="D64" s="6"/>
      <c r="E64" s="6"/>
      <c r="F64" s="6"/>
      <c r="G64" s="6"/>
      <c r="H64" s="6"/>
      <c r="I64" s="6"/>
      <c r="J64" s="15"/>
      <c r="K64" s="1571"/>
      <c r="L64" s="6"/>
      <c r="M64" s="14"/>
      <c r="N64" s="14"/>
      <c r="O64" s="14"/>
      <c r="P64" s="608"/>
      <c r="Q64" s="361"/>
      <c r="R64" s="361"/>
      <c r="S64" s="361"/>
      <c r="T64" s="361"/>
      <c r="U64" s="361"/>
      <c r="V64" s="361"/>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399"/>
      <c r="AY64" s="399"/>
      <c r="AZ64" s="399"/>
      <c r="BA64" s="399"/>
      <c r="BB64" s="399"/>
      <c r="BC64" s="399"/>
      <c r="BD64" s="399"/>
      <c r="BE64" s="399"/>
      <c r="BF64" s="399"/>
      <c r="BG64" s="399"/>
      <c r="BH64" s="399"/>
      <c r="BI64" s="399"/>
      <c r="BJ64" s="399"/>
      <c r="BK64" s="399"/>
      <c r="BL64" s="399"/>
      <c r="BM64" s="399"/>
      <c r="BN64" s="399"/>
      <c r="BO64" s="399"/>
      <c r="BP64" s="399"/>
      <c r="BQ64" s="399"/>
      <c r="BR64" s="399"/>
      <c r="BS64" s="399"/>
      <c r="BT64" s="399"/>
      <c r="BU64" s="399"/>
      <c r="BV64" s="399"/>
      <c r="BW64" s="399"/>
      <c r="BX64" s="399"/>
      <c r="BY64" s="399"/>
      <c r="BZ64" s="399"/>
      <c r="CA64" s="399"/>
      <c r="CB64" s="399"/>
      <c r="CC64" s="399"/>
      <c r="CD64" s="399"/>
      <c r="CE64" s="399"/>
      <c r="CF64" s="399"/>
      <c r="CG64" s="399"/>
      <c r="CH64" s="399"/>
      <c r="CI64" s="399"/>
      <c r="CJ64" s="399"/>
      <c r="CK64" s="399"/>
      <c r="CL64" s="399"/>
      <c r="CM64" s="399"/>
      <c r="CN64" s="399"/>
      <c r="CO64" s="399"/>
      <c r="CP64" s="399"/>
      <c r="CQ64" s="399"/>
      <c r="CR64" s="399"/>
      <c r="CS64" s="399"/>
      <c r="CT64" s="399"/>
      <c r="CU64" s="399"/>
      <c r="CV64" s="399"/>
      <c r="CW64" s="399"/>
      <c r="CX64" s="399"/>
      <c r="CY64" s="399"/>
      <c r="CZ64" s="399"/>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row>
    <row r="65" spans="1:236" ht="14.15" customHeight="1">
      <c r="A65" s="6"/>
      <c r="B65" s="6"/>
      <c r="C65" s="6"/>
      <c r="D65" s="6"/>
      <c r="E65" s="6"/>
      <c r="F65" s="6"/>
      <c r="G65" s="6"/>
      <c r="H65" s="6"/>
      <c r="I65" s="6"/>
      <c r="J65" s="6"/>
      <c r="K65" s="6"/>
      <c r="L65" s="6"/>
      <c r="M65" s="14"/>
      <c r="N65" s="14"/>
      <c r="O65" s="14"/>
      <c r="P65" s="608"/>
      <c r="Q65" s="361"/>
      <c r="R65" s="361"/>
      <c r="S65" s="361"/>
      <c r="T65" s="361"/>
      <c r="U65" s="361"/>
      <c r="V65" s="361"/>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399"/>
      <c r="AY65" s="399"/>
      <c r="AZ65" s="399"/>
      <c r="BA65" s="399"/>
      <c r="BB65" s="399"/>
      <c r="BC65" s="399"/>
      <c r="BD65" s="399"/>
      <c r="BE65" s="399"/>
      <c r="BF65" s="399"/>
      <c r="BG65" s="399"/>
      <c r="BH65" s="399"/>
      <c r="BI65" s="399"/>
      <c r="BJ65" s="399"/>
      <c r="BK65" s="399"/>
      <c r="BL65" s="399"/>
      <c r="BM65" s="399"/>
      <c r="BN65" s="399"/>
      <c r="BO65" s="399"/>
      <c r="BP65" s="399"/>
      <c r="BQ65" s="399"/>
      <c r="BR65" s="399"/>
      <c r="BS65" s="399"/>
      <c r="BT65" s="399"/>
      <c r="BU65" s="399"/>
      <c r="BV65" s="399"/>
      <c r="BW65" s="399"/>
      <c r="BX65" s="399"/>
      <c r="BY65" s="399"/>
      <c r="BZ65" s="399"/>
      <c r="CA65" s="399"/>
      <c r="CB65" s="399"/>
      <c r="CC65" s="399"/>
      <c r="CD65" s="399"/>
      <c r="CE65" s="399"/>
      <c r="CF65" s="399"/>
      <c r="CG65" s="399"/>
      <c r="CH65" s="399"/>
      <c r="CI65" s="399"/>
      <c r="CJ65" s="399"/>
      <c r="CK65" s="399"/>
      <c r="CL65" s="399"/>
      <c r="CM65" s="399"/>
      <c r="CN65" s="399"/>
      <c r="CO65" s="399"/>
      <c r="CP65" s="399"/>
      <c r="CQ65" s="399"/>
      <c r="CR65" s="399"/>
      <c r="CS65" s="399"/>
      <c r="CT65" s="399"/>
      <c r="CU65" s="399"/>
      <c r="CV65" s="399"/>
      <c r="CW65" s="399"/>
      <c r="CX65" s="399"/>
      <c r="CY65" s="399"/>
      <c r="CZ65" s="399"/>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row>
    <row r="66" spans="1:236" ht="14.15" customHeight="1">
      <c r="A66" s="6"/>
      <c r="B66" s="6"/>
      <c r="C66" s="6"/>
      <c r="D66" s="6"/>
      <c r="E66" s="6"/>
      <c r="F66" s="6"/>
      <c r="G66" s="6"/>
      <c r="H66" s="6"/>
      <c r="I66" s="6"/>
      <c r="J66" s="6"/>
      <c r="K66" s="6"/>
      <c r="L66" s="6"/>
      <c r="M66" s="14"/>
      <c r="N66" s="14"/>
      <c r="O66" s="14"/>
      <c r="P66" s="608"/>
      <c r="Q66" s="361"/>
      <c r="R66" s="361"/>
      <c r="S66" s="361"/>
      <c r="T66" s="361"/>
      <c r="U66" s="361"/>
      <c r="V66" s="361"/>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399"/>
      <c r="AY66" s="399"/>
      <c r="AZ66" s="399"/>
      <c r="BA66" s="399"/>
      <c r="BB66" s="399"/>
      <c r="BC66" s="399"/>
      <c r="BD66" s="399"/>
      <c r="BE66" s="399"/>
      <c r="BF66" s="399"/>
      <c r="BG66" s="399"/>
      <c r="BH66" s="399"/>
      <c r="BI66" s="399"/>
      <c r="BJ66" s="399"/>
      <c r="BK66" s="399"/>
      <c r="BL66" s="399"/>
      <c r="BM66" s="399"/>
      <c r="BN66" s="399"/>
      <c r="BO66" s="399"/>
      <c r="BP66" s="399"/>
      <c r="BQ66" s="399"/>
      <c r="BR66" s="399"/>
      <c r="BS66" s="399"/>
      <c r="BT66" s="399"/>
      <c r="BU66" s="399"/>
      <c r="BV66" s="399"/>
      <c r="BW66" s="399"/>
      <c r="BX66" s="399"/>
      <c r="BY66" s="399"/>
      <c r="BZ66" s="399"/>
      <c r="CA66" s="399"/>
      <c r="CB66" s="399"/>
      <c r="CC66" s="399"/>
      <c r="CD66" s="399"/>
      <c r="CE66" s="399"/>
      <c r="CF66" s="399"/>
      <c r="CG66" s="399"/>
      <c r="CH66" s="399"/>
      <c r="CI66" s="399"/>
      <c r="CJ66" s="399"/>
      <c r="CK66" s="399"/>
      <c r="CL66" s="399"/>
      <c r="CM66" s="399"/>
      <c r="CN66" s="399"/>
      <c r="CO66" s="399"/>
      <c r="CP66" s="399"/>
      <c r="CQ66" s="399"/>
      <c r="CR66" s="399"/>
      <c r="CS66" s="399"/>
      <c r="CT66" s="399"/>
      <c r="CU66" s="399"/>
      <c r="CV66" s="399"/>
      <c r="CW66" s="399"/>
      <c r="CX66" s="399"/>
      <c r="CY66" s="399"/>
      <c r="CZ66" s="399"/>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row>
    <row r="67" spans="1:236" ht="14.15" customHeight="1">
      <c r="A67" s="6"/>
      <c r="B67" s="6"/>
      <c r="C67" s="6"/>
      <c r="D67" s="6"/>
      <c r="E67" s="6"/>
      <c r="F67" s="6"/>
      <c r="G67" s="6"/>
      <c r="H67" s="6"/>
      <c r="I67" s="6"/>
      <c r="J67" s="6"/>
      <c r="K67" s="6"/>
      <c r="L67" s="6"/>
      <c r="M67" s="14"/>
      <c r="N67" s="14"/>
      <c r="O67" s="14"/>
      <c r="P67" s="608"/>
      <c r="Q67" s="361"/>
      <c r="R67" s="361"/>
      <c r="S67" s="361"/>
      <c r="T67" s="361"/>
      <c r="U67" s="361"/>
      <c r="V67" s="361"/>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399"/>
      <c r="AY67" s="399"/>
      <c r="AZ67" s="399"/>
      <c r="BA67" s="399"/>
      <c r="BB67" s="399"/>
      <c r="BC67" s="399"/>
      <c r="BD67" s="399"/>
      <c r="BE67" s="399"/>
      <c r="BF67" s="399"/>
      <c r="BG67" s="399"/>
      <c r="BH67" s="399"/>
      <c r="BI67" s="399"/>
      <c r="BJ67" s="399"/>
      <c r="BK67" s="399"/>
      <c r="BL67" s="399"/>
      <c r="BM67" s="399"/>
      <c r="BN67" s="399"/>
      <c r="BO67" s="399"/>
      <c r="BP67" s="399"/>
      <c r="BQ67" s="399"/>
      <c r="BR67" s="399"/>
      <c r="BS67" s="399"/>
      <c r="BT67" s="399"/>
      <c r="BU67" s="399"/>
      <c r="BV67" s="399"/>
      <c r="BW67" s="399"/>
      <c r="BX67" s="399"/>
      <c r="BY67" s="399"/>
      <c r="BZ67" s="399"/>
      <c r="CA67" s="399"/>
      <c r="CB67" s="399"/>
      <c r="CC67" s="399"/>
      <c r="CD67" s="399"/>
      <c r="CE67" s="399"/>
      <c r="CF67" s="399"/>
      <c r="CG67" s="399"/>
      <c r="CH67" s="399"/>
      <c r="CI67" s="399"/>
      <c r="CJ67" s="399"/>
      <c r="CK67" s="399"/>
      <c r="CL67" s="399"/>
      <c r="CM67" s="399"/>
      <c r="CN67" s="399"/>
      <c r="CO67" s="399"/>
      <c r="CP67" s="399"/>
      <c r="CQ67" s="399"/>
      <c r="CR67" s="399"/>
      <c r="CS67" s="399"/>
      <c r="CT67" s="399"/>
      <c r="CU67" s="399"/>
      <c r="CV67" s="399"/>
      <c r="CW67" s="399"/>
      <c r="CX67" s="399"/>
      <c r="CY67" s="399"/>
      <c r="CZ67" s="399"/>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row>
    <row r="68" spans="1:236" ht="14.15" customHeight="1">
      <c r="A68" s="6"/>
      <c r="B68" s="6"/>
      <c r="C68" s="6"/>
      <c r="D68" s="6"/>
      <c r="E68" s="6"/>
      <c r="F68" s="6"/>
      <c r="G68" s="6"/>
      <c r="H68" s="6"/>
      <c r="I68" s="6"/>
      <c r="J68" s="6"/>
      <c r="K68" s="6"/>
      <c r="L68" s="6"/>
      <c r="M68" s="14"/>
      <c r="N68" s="14"/>
      <c r="O68" s="14"/>
      <c r="P68" s="608"/>
      <c r="Q68" s="361"/>
      <c r="R68" s="361"/>
      <c r="S68" s="361"/>
      <c r="T68" s="361"/>
      <c r="U68" s="361"/>
      <c r="V68" s="361"/>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399"/>
      <c r="AY68" s="399"/>
      <c r="AZ68" s="399"/>
      <c r="BA68" s="399"/>
      <c r="BB68" s="399"/>
      <c r="BC68" s="399"/>
      <c r="BD68" s="399"/>
      <c r="BE68" s="399"/>
      <c r="BF68" s="399"/>
      <c r="BG68" s="399"/>
      <c r="BH68" s="399"/>
      <c r="BI68" s="399"/>
      <c r="BJ68" s="399"/>
      <c r="BK68" s="399"/>
      <c r="BL68" s="399"/>
      <c r="BM68" s="399"/>
      <c r="BN68" s="399"/>
      <c r="BO68" s="399"/>
      <c r="BP68" s="399"/>
      <c r="BQ68" s="399"/>
      <c r="BR68" s="399"/>
      <c r="BS68" s="399"/>
      <c r="BT68" s="399"/>
      <c r="BU68" s="399"/>
      <c r="BV68" s="399"/>
      <c r="BW68" s="399"/>
      <c r="BX68" s="399"/>
      <c r="BY68" s="399"/>
      <c r="BZ68" s="399"/>
      <c r="CA68" s="399"/>
      <c r="CB68" s="399"/>
      <c r="CC68" s="399"/>
      <c r="CD68" s="399"/>
      <c r="CE68" s="399"/>
      <c r="CF68" s="399"/>
      <c r="CG68" s="399"/>
      <c r="CH68" s="399"/>
      <c r="CI68" s="399"/>
      <c r="CJ68" s="399"/>
      <c r="CK68" s="399"/>
      <c r="CL68" s="399"/>
      <c r="CM68" s="399"/>
      <c r="CN68" s="399"/>
      <c r="CO68" s="399"/>
      <c r="CP68" s="399"/>
      <c r="CQ68" s="399"/>
      <c r="CR68" s="399"/>
      <c r="CS68" s="399"/>
      <c r="CT68" s="399"/>
      <c r="CU68" s="399"/>
      <c r="CV68" s="399"/>
      <c r="CW68" s="399"/>
      <c r="CX68" s="399"/>
      <c r="CY68" s="399"/>
      <c r="CZ68" s="399"/>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row>
    <row r="69" spans="1:236" ht="14.15" customHeight="1">
      <c r="A69" s="6"/>
      <c r="B69" s="6"/>
      <c r="C69" s="6"/>
      <c r="D69" s="6"/>
      <c r="E69" s="6"/>
      <c r="F69" s="6"/>
      <c r="G69" s="6"/>
      <c r="H69" s="6"/>
      <c r="I69" s="6"/>
      <c r="J69" s="6"/>
      <c r="K69" s="6"/>
      <c r="L69" s="6"/>
      <c r="M69" s="14"/>
      <c r="N69" s="14"/>
      <c r="O69" s="14"/>
      <c r="P69" s="608"/>
      <c r="Q69" s="361"/>
      <c r="R69" s="361"/>
      <c r="S69" s="361"/>
      <c r="T69" s="361"/>
      <c r="U69" s="361"/>
      <c r="V69" s="361"/>
      <c r="W69" s="399"/>
      <c r="X69" s="399"/>
      <c r="Y69" s="399"/>
      <c r="Z69" s="399"/>
      <c r="AA69" s="399"/>
      <c r="AB69" s="399"/>
      <c r="AC69" s="399"/>
      <c r="AD69" s="399"/>
      <c r="AE69" s="399"/>
      <c r="AF69" s="399"/>
      <c r="AG69" s="399"/>
      <c r="AH69" s="399"/>
      <c r="AI69" s="399"/>
      <c r="AJ69" s="399"/>
      <c r="AK69" s="399"/>
      <c r="AL69" s="399"/>
      <c r="AM69" s="399"/>
      <c r="AN69" s="399"/>
      <c r="AO69" s="399"/>
      <c r="AP69" s="399"/>
      <c r="AQ69" s="399"/>
      <c r="AR69" s="399"/>
      <c r="AS69" s="399"/>
      <c r="AT69" s="399"/>
      <c r="AU69" s="399"/>
      <c r="AV69" s="399"/>
      <c r="AW69" s="399"/>
      <c r="AX69" s="399"/>
      <c r="AY69" s="399"/>
      <c r="AZ69" s="399"/>
      <c r="BA69" s="399"/>
      <c r="BB69" s="399"/>
      <c r="BC69" s="399"/>
      <c r="BD69" s="399"/>
      <c r="BE69" s="399"/>
      <c r="BF69" s="399"/>
      <c r="BG69" s="399"/>
      <c r="BH69" s="399"/>
      <c r="BI69" s="399"/>
      <c r="BJ69" s="399"/>
      <c r="BK69" s="399"/>
      <c r="BL69" s="399"/>
      <c r="BM69" s="399"/>
      <c r="BN69" s="399"/>
      <c r="BO69" s="399"/>
      <c r="BP69" s="399"/>
      <c r="BQ69" s="399"/>
      <c r="BR69" s="399"/>
      <c r="BS69" s="399"/>
      <c r="BT69" s="399"/>
      <c r="BU69" s="399"/>
      <c r="BV69" s="399"/>
      <c r="BW69" s="399"/>
      <c r="BX69" s="399"/>
      <c r="BY69" s="399"/>
      <c r="BZ69" s="399"/>
      <c r="CA69" s="399"/>
      <c r="CB69" s="399"/>
      <c r="CC69" s="399"/>
      <c r="CD69" s="399"/>
      <c r="CE69" s="399"/>
      <c r="CF69" s="399"/>
      <c r="CG69" s="399"/>
      <c r="CH69" s="399"/>
      <c r="CI69" s="399"/>
      <c r="CJ69" s="399"/>
      <c r="CK69" s="399"/>
      <c r="CL69" s="399"/>
      <c r="CM69" s="399"/>
      <c r="CN69" s="399"/>
      <c r="CO69" s="399"/>
      <c r="CP69" s="399"/>
      <c r="CQ69" s="399"/>
      <c r="CR69" s="399"/>
      <c r="CS69" s="399"/>
      <c r="CT69" s="399"/>
      <c r="CU69" s="399"/>
      <c r="CV69" s="399"/>
      <c r="CW69" s="399"/>
      <c r="CX69" s="399"/>
      <c r="CY69" s="399"/>
      <c r="CZ69" s="399"/>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row>
    <row r="70" spans="1:236" ht="14.15" customHeight="1">
      <c r="A70" s="6"/>
      <c r="B70" s="6"/>
      <c r="C70" s="6"/>
      <c r="D70" s="6"/>
      <c r="E70" s="6"/>
      <c r="F70" s="6"/>
      <c r="G70" s="6"/>
      <c r="H70" s="6"/>
      <c r="I70" s="6"/>
      <c r="J70" s="6"/>
      <c r="K70" s="6"/>
      <c r="L70" s="6"/>
      <c r="M70" s="14"/>
      <c r="N70" s="14"/>
      <c r="O70" s="14"/>
      <c r="P70" s="608"/>
      <c r="Q70" s="361"/>
      <c r="R70" s="361"/>
      <c r="S70" s="361"/>
      <c r="T70" s="361"/>
      <c r="U70" s="361"/>
      <c r="V70" s="361"/>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c r="AT70" s="399"/>
      <c r="AU70" s="399"/>
      <c r="AV70" s="399"/>
      <c r="AW70" s="399"/>
      <c r="AX70" s="399"/>
      <c r="AY70" s="399"/>
      <c r="AZ70" s="399"/>
      <c r="BA70" s="399"/>
      <c r="BB70" s="399"/>
      <c r="BC70" s="399"/>
      <c r="BD70" s="399"/>
      <c r="BE70" s="399"/>
      <c r="BF70" s="399"/>
      <c r="BG70" s="399"/>
      <c r="BH70" s="399"/>
      <c r="BI70" s="399"/>
      <c r="BJ70" s="399"/>
      <c r="BK70" s="399"/>
      <c r="BL70" s="399"/>
      <c r="BM70" s="399"/>
      <c r="BN70" s="399"/>
      <c r="BO70" s="399"/>
      <c r="BP70" s="399"/>
      <c r="BQ70" s="399"/>
      <c r="BR70" s="399"/>
      <c r="BS70" s="399"/>
      <c r="BT70" s="399"/>
      <c r="BU70" s="399"/>
      <c r="BV70" s="399"/>
      <c r="BW70" s="399"/>
      <c r="BX70" s="399"/>
      <c r="BY70" s="399"/>
      <c r="BZ70" s="399"/>
      <c r="CA70" s="399"/>
      <c r="CB70" s="399"/>
      <c r="CC70" s="399"/>
      <c r="CD70" s="399"/>
      <c r="CE70" s="399"/>
      <c r="CF70" s="399"/>
      <c r="CG70" s="399"/>
      <c r="CH70" s="399"/>
      <c r="CI70" s="399"/>
      <c r="CJ70" s="399"/>
      <c r="CK70" s="399"/>
      <c r="CL70" s="399"/>
      <c r="CM70" s="399"/>
      <c r="CN70" s="399"/>
      <c r="CO70" s="399"/>
      <c r="CP70" s="399"/>
      <c r="CQ70" s="399"/>
      <c r="CR70" s="399"/>
      <c r="CS70" s="399"/>
      <c r="CT70" s="399"/>
      <c r="CU70" s="399"/>
      <c r="CV70" s="399"/>
      <c r="CW70" s="399"/>
      <c r="CX70" s="399"/>
      <c r="CY70" s="399"/>
      <c r="CZ70" s="399"/>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row>
    <row r="71" spans="1:236" ht="14.15" customHeight="1">
      <c r="A71" s="6"/>
      <c r="B71" s="6"/>
      <c r="C71" s="6"/>
      <c r="D71" s="6"/>
      <c r="E71" s="6"/>
      <c r="F71" s="6"/>
      <c r="G71" s="6"/>
      <c r="H71" s="6"/>
      <c r="I71" s="6"/>
      <c r="J71" s="6"/>
      <c r="K71" s="6"/>
      <c r="L71" s="6"/>
      <c r="M71" s="14"/>
      <c r="N71" s="14"/>
      <c r="O71" s="14"/>
      <c r="P71" s="608"/>
      <c r="Q71" s="361"/>
      <c r="R71" s="361"/>
      <c r="S71" s="361"/>
      <c r="T71" s="361"/>
      <c r="U71" s="361"/>
      <c r="V71" s="361"/>
      <c r="W71" s="399"/>
      <c r="X71" s="399"/>
      <c r="Y71" s="399"/>
      <c r="Z71" s="399"/>
      <c r="AA71" s="399"/>
      <c r="AB71" s="399"/>
      <c r="AC71" s="399"/>
      <c r="AD71" s="399"/>
      <c r="AE71" s="399"/>
      <c r="AF71" s="399"/>
      <c r="AG71" s="399"/>
      <c r="AH71" s="399"/>
      <c r="AI71" s="399"/>
      <c r="AJ71" s="399"/>
      <c r="AK71" s="399"/>
      <c r="AL71" s="399"/>
      <c r="AM71" s="399"/>
      <c r="AN71" s="399"/>
      <c r="AO71" s="399"/>
      <c r="AP71" s="399"/>
      <c r="AQ71" s="399"/>
      <c r="AR71" s="399"/>
      <c r="AS71" s="399"/>
      <c r="AT71" s="399"/>
      <c r="AU71" s="399"/>
      <c r="AV71" s="399"/>
      <c r="AW71" s="399"/>
      <c r="AX71" s="399"/>
      <c r="AY71" s="399"/>
      <c r="AZ71" s="399"/>
      <c r="BA71" s="399"/>
      <c r="BB71" s="399"/>
      <c r="BC71" s="399"/>
      <c r="BD71" s="399"/>
      <c r="BE71" s="399"/>
      <c r="BF71" s="399"/>
      <c r="BG71" s="399"/>
      <c r="BH71" s="399"/>
      <c r="BI71" s="399"/>
      <c r="BJ71" s="399"/>
      <c r="BK71" s="399"/>
      <c r="BL71" s="399"/>
      <c r="BM71" s="399"/>
      <c r="BN71" s="399"/>
      <c r="BO71" s="399"/>
      <c r="BP71" s="399"/>
      <c r="BQ71" s="399"/>
      <c r="BR71" s="399"/>
      <c r="BS71" s="399"/>
      <c r="BT71" s="399"/>
      <c r="BU71" s="399"/>
      <c r="BV71" s="399"/>
      <c r="BW71" s="399"/>
      <c r="BX71" s="399"/>
      <c r="BY71" s="399"/>
      <c r="BZ71" s="399"/>
      <c r="CA71" s="399"/>
      <c r="CB71" s="399"/>
      <c r="CC71" s="399"/>
      <c r="CD71" s="399"/>
      <c r="CE71" s="399"/>
      <c r="CF71" s="399"/>
      <c r="CG71" s="399"/>
      <c r="CH71" s="399"/>
      <c r="CI71" s="399"/>
      <c r="CJ71" s="399"/>
      <c r="CK71" s="399"/>
      <c r="CL71" s="399"/>
      <c r="CM71" s="399"/>
      <c r="CN71" s="399"/>
      <c r="CO71" s="399"/>
      <c r="CP71" s="399"/>
      <c r="CQ71" s="399"/>
      <c r="CR71" s="399"/>
      <c r="CS71" s="399"/>
      <c r="CT71" s="399"/>
      <c r="CU71" s="399"/>
      <c r="CV71" s="399"/>
      <c r="CW71" s="399"/>
      <c r="CX71" s="399"/>
      <c r="CY71" s="399"/>
      <c r="CZ71" s="399"/>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row>
    <row r="72" spans="1:236" ht="14.15" customHeight="1">
      <c r="A72" s="6"/>
      <c r="B72" s="6"/>
      <c r="C72" s="6"/>
      <c r="D72" s="6"/>
      <c r="E72" s="6"/>
      <c r="F72" s="6"/>
      <c r="G72" s="6"/>
      <c r="H72" s="6"/>
      <c r="I72" s="6"/>
      <c r="J72" s="6"/>
      <c r="K72" s="6"/>
      <c r="L72" s="6"/>
      <c r="M72" s="14"/>
      <c r="N72" s="14"/>
      <c r="O72" s="14"/>
      <c r="P72" s="608"/>
      <c r="Q72" s="361"/>
      <c r="R72" s="361"/>
      <c r="S72" s="361"/>
      <c r="T72" s="361"/>
      <c r="U72" s="361"/>
      <c r="V72" s="361"/>
      <c r="W72" s="399"/>
      <c r="X72" s="399"/>
      <c r="Y72" s="399"/>
      <c r="Z72" s="399"/>
      <c r="AA72" s="399"/>
      <c r="AB72" s="399"/>
      <c r="AC72" s="399"/>
      <c r="AD72" s="399"/>
      <c r="AE72" s="399"/>
      <c r="AF72" s="399"/>
      <c r="AG72" s="399"/>
      <c r="AH72" s="399"/>
      <c r="AI72" s="399"/>
      <c r="AJ72" s="399"/>
      <c r="AK72" s="399"/>
      <c r="AL72" s="399"/>
      <c r="AM72" s="399"/>
      <c r="AN72" s="399"/>
      <c r="AO72" s="399"/>
      <c r="AP72" s="399"/>
      <c r="AQ72" s="399"/>
      <c r="AR72" s="399"/>
      <c r="AS72" s="399"/>
      <c r="AT72" s="399"/>
      <c r="AU72" s="399"/>
      <c r="AV72" s="399"/>
      <c r="AW72" s="399"/>
      <c r="AX72" s="399"/>
      <c r="AY72" s="399"/>
      <c r="AZ72" s="399"/>
      <c r="BA72" s="399"/>
      <c r="BB72" s="399"/>
      <c r="BC72" s="399"/>
      <c r="BD72" s="399"/>
      <c r="BE72" s="399"/>
      <c r="BF72" s="399"/>
      <c r="BG72" s="399"/>
      <c r="BH72" s="399"/>
      <c r="BI72" s="399"/>
      <c r="BJ72" s="399"/>
      <c r="BK72" s="399"/>
      <c r="BL72" s="399"/>
      <c r="BM72" s="399"/>
      <c r="BN72" s="399"/>
      <c r="BO72" s="399"/>
      <c r="BP72" s="399"/>
      <c r="BQ72" s="399"/>
      <c r="BR72" s="399"/>
      <c r="BS72" s="399"/>
      <c r="BT72" s="399"/>
      <c r="BU72" s="399"/>
      <c r="BV72" s="399"/>
      <c r="BW72" s="399"/>
      <c r="BX72" s="399"/>
      <c r="BY72" s="399"/>
      <c r="BZ72" s="399"/>
      <c r="CA72" s="399"/>
      <c r="CB72" s="399"/>
      <c r="CC72" s="399"/>
      <c r="CD72" s="399"/>
      <c r="CE72" s="399"/>
      <c r="CF72" s="399"/>
      <c r="CG72" s="399"/>
      <c r="CH72" s="399"/>
      <c r="CI72" s="399"/>
      <c r="CJ72" s="399"/>
      <c r="CK72" s="399"/>
      <c r="CL72" s="399"/>
      <c r="CM72" s="399"/>
      <c r="CN72" s="399"/>
      <c r="CO72" s="399"/>
      <c r="CP72" s="399"/>
      <c r="CQ72" s="399"/>
      <c r="CR72" s="399"/>
      <c r="CS72" s="399"/>
      <c r="CT72" s="399"/>
      <c r="CU72" s="399"/>
      <c r="CV72" s="399"/>
      <c r="CW72" s="399"/>
      <c r="CX72" s="399"/>
      <c r="CY72" s="399"/>
      <c r="CZ72" s="399"/>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row>
    <row r="73" spans="1:236" ht="14.15" customHeight="1">
      <c r="A73" s="6"/>
      <c r="B73" s="6"/>
      <c r="C73" s="6"/>
      <c r="D73" s="6"/>
      <c r="E73" s="6"/>
      <c r="F73" s="6"/>
      <c r="G73" s="6"/>
      <c r="H73" s="6"/>
      <c r="I73" s="6"/>
      <c r="J73" s="6"/>
      <c r="K73" s="6"/>
      <c r="L73" s="6"/>
      <c r="M73" s="14"/>
      <c r="N73" s="14"/>
      <c r="O73" s="14"/>
      <c r="P73" s="608"/>
      <c r="Q73" s="361"/>
      <c r="R73" s="361"/>
      <c r="S73" s="361"/>
      <c r="T73" s="361"/>
      <c r="U73" s="361"/>
      <c r="V73" s="361"/>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99"/>
      <c r="BA73" s="399"/>
      <c r="BB73" s="399"/>
      <c r="BC73" s="399"/>
      <c r="BD73" s="399"/>
      <c r="BE73" s="399"/>
      <c r="BF73" s="399"/>
      <c r="BG73" s="399"/>
      <c r="BH73" s="399"/>
      <c r="BI73" s="399"/>
      <c r="BJ73" s="399"/>
      <c r="BK73" s="399"/>
      <c r="BL73" s="399"/>
      <c r="BM73" s="399"/>
      <c r="BN73" s="399"/>
      <c r="BO73" s="399"/>
      <c r="BP73" s="399"/>
      <c r="BQ73" s="399"/>
      <c r="BR73" s="399"/>
      <c r="BS73" s="399"/>
      <c r="BT73" s="399"/>
      <c r="BU73" s="399"/>
      <c r="BV73" s="399"/>
      <c r="BW73" s="399"/>
      <c r="BX73" s="399"/>
      <c r="BY73" s="399"/>
      <c r="BZ73" s="399"/>
      <c r="CA73" s="399"/>
      <c r="CB73" s="399"/>
      <c r="CC73" s="399"/>
      <c r="CD73" s="399"/>
      <c r="CE73" s="399"/>
      <c r="CF73" s="399"/>
      <c r="CG73" s="399"/>
      <c r="CH73" s="399"/>
      <c r="CI73" s="399"/>
      <c r="CJ73" s="399"/>
      <c r="CK73" s="399"/>
      <c r="CL73" s="399"/>
      <c r="CM73" s="399"/>
      <c r="CN73" s="399"/>
      <c r="CO73" s="399"/>
      <c r="CP73" s="399"/>
      <c r="CQ73" s="399"/>
      <c r="CR73" s="399"/>
      <c r="CS73" s="399"/>
      <c r="CT73" s="399"/>
      <c r="CU73" s="399"/>
      <c r="CV73" s="399"/>
      <c r="CW73" s="399"/>
      <c r="CX73" s="399"/>
      <c r="CY73" s="399"/>
      <c r="CZ73" s="399"/>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row>
    <row r="74" spans="1:236" ht="14.15" customHeight="1">
      <c r="A74" s="6"/>
      <c r="B74" s="6"/>
      <c r="C74" s="6"/>
      <c r="D74" s="6"/>
      <c r="E74" s="6"/>
      <c r="F74" s="6"/>
      <c r="G74" s="6"/>
      <c r="H74" s="6"/>
      <c r="I74" s="6"/>
      <c r="J74" s="6"/>
      <c r="K74" s="6"/>
      <c r="L74" s="6"/>
      <c r="M74" s="14"/>
      <c r="N74" s="14"/>
      <c r="O74" s="14"/>
      <c r="P74" s="608"/>
      <c r="Q74" s="361"/>
      <c r="R74" s="361"/>
      <c r="S74" s="361"/>
      <c r="T74" s="361"/>
      <c r="U74" s="361"/>
      <c r="V74" s="361"/>
      <c r="W74" s="399"/>
      <c r="X74" s="399"/>
      <c r="Y74" s="399"/>
      <c r="Z74" s="399"/>
      <c r="AA74" s="399"/>
      <c r="AB74" s="399"/>
      <c r="AC74" s="399"/>
      <c r="AD74" s="399"/>
      <c r="AE74" s="399"/>
      <c r="AF74" s="399"/>
      <c r="AG74" s="399"/>
      <c r="AH74" s="399"/>
      <c r="AI74" s="399"/>
      <c r="AJ74" s="399"/>
      <c r="AK74" s="399"/>
      <c r="AL74" s="399"/>
      <c r="AM74" s="399"/>
      <c r="AN74" s="399"/>
      <c r="AO74" s="399"/>
      <c r="AP74" s="399"/>
      <c r="AQ74" s="399"/>
      <c r="AR74" s="399"/>
      <c r="AS74" s="399"/>
      <c r="AT74" s="399"/>
      <c r="AU74" s="399"/>
      <c r="AV74" s="399"/>
      <c r="AW74" s="399"/>
      <c r="AX74" s="399"/>
      <c r="AY74" s="399"/>
      <c r="AZ74" s="399"/>
      <c r="BA74" s="399"/>
      <c r="BB74" s="399"/>
      <c r="BC74" s="399"/>
      <c r="BD74" s="399"/>
      <c r="BE74" s="399"/>
      <c r="BF74" s="399"/>
      <c r="BG74" s="399"/>
      <c r="BH74" s="399"/>
      <c r="BI74" s="399"/>
      <c r="BJ74" s="399"/>
      <c r="BK74" s="399"/>
      <c r="BL74" s="399"/>
      <c r="BM74" s="399"/>
      <c r="BN74" s="399"/>
      <c r="BO74" s="399"/>
      <c r="BP74" s="399"/>
      <c r="BQ74" s="399"/>
      <c r="BR74" s="399"/>
      <c r="BS74" s="399"/>
      <c r="BT74" s="399"/>
      <c r="BU74" s="399"/>
      <c r="BV74" s="399"/>
      <c r="BW74" s="399"/>
      <c r="BX74" s="399"/>
      <c r="BY74" s="399"/>
      <c r="BZ74" s="399"/>
      <c r="CA74" s="399"/>
      <c r="CB74" s="399"/>
      <c r="CC74" s="399"/>
      <c r="CD74" s="399"/>
      <c r="CE74" s="399"/>
      <c r="CF74" s="399"/>
      <c r="CG74" s="399"/>
      <c r="CH74" s="399"/>
      <c r="CI74" s="399"/>
      <c r="CJ74" s="399"/>
      <c r="CK74" s="399"/>
      <c r="CL74" s="399"/>
      <c r="CM74" s="399"/>
      <c r="CN74" s="399"/>
      <c r="CO74" s="399"/>
      <c r="CP74" s="399"/>
      <c r="CQ74" s="399"/>
      <c r="CR74" s="399"/>
      <c r="CS74" s="399"/>
      <c r="CT74" s="399"/>
      <c r="CU74" s="399"/>
      <c r="CV74" s="399"/>
      <c r="CW74" s="399"/>
      <c r="CX74" s="399"/>
      <c r="CY74" s="399"/>
      <c r="CZ74" s="399"/>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row>
    <row r="75" spans="1:236" ht="14.15" customHeight="1">
      <c r="A75" s="6"/>
      <c r="B75" s="6"/>
      <c r="C75" s="6"/>
      <c r="D75" s="6"/>
      <c r="E75" s="6"/>
      <c r="F75" s="6"/>
      <c r="G75" s="6"/>
      <c r="H75" s="6"/>
      <c r="I75" s="6"/>
      <c r="J75" s="6"/>
      <c r="K75" s="6"/>
      <c r="L75" s="6"/>
      <c r="M75" s="14"/>
      <c r="N75" s="14"/>
      <c r="O75" s="14"/>
      <c r="P75" s="608"/>
      <c r="Q75" s="361"/>
      <c r="R75" s="361"/>
      <c r="S75" s="361"/>
      <c r="T75" s="361"/>
      <c r="U75" s="361"/>
      <c r="V75" s="361"/>
      <c r="W75" s="399"/>
      <c r="X75" s="399"/>
      <c r="Y75" s="399"/>
      <c r="Z75" s="399"/>
      <c r="AA75" s="399"/>
      <c r="AB75" s="399"/>
      <c r="AC75" s="399"/>
      <c r="AD75" s="399"/>
      <c r="AE75" s="399"/>
      <c r="AF75" s="399"/>
      <c r="AG75" s="399"/>
      <c r="AH75" s="399"/>
      <c r="AI75" s="399"/>
      <c r="AJ75" s="399"/>
      <c r="AK75" s="399"/>
      <c r="AL75" s="399"/>
      <c r="AM75" s="399"/>
      <c r="AN75" s="399"/>
      <c r="AO75" s="399"/>
      <c r="AP75" s="399"/>
      <c r="AQ75" s="399"/>
      <c r="AR75" s="399"/>
      <c r="AS75" s="399"/>
      <c r="AT75" s="399"/>
      <c r="AU75" s="399"/>
      <c r="AV75" s="399"/>
      <c r="AW75" s="399"/>
      <c r="AX75" s="399"/>
      <c r="AY75" s="399"/>
      <c r="AZ75" s="399"/>
      <c r="BA75" s="399"/>
      <c r="BB75" s="399"/>
      <c r="BC75" s="399"/>
      <c r="BD75" s="399"/>
      <c r="BE75" s="399"/>
      <c r="BF75" s="399"/>
      <c r="BG75" s="399"/>
      <c r="BH75" s="399"/>
      <c r="BI75" s="399"/>
      <c r="BJ75" s="399"/>
      <c r="BK75" s="399"/>
      <c r="BL75" s="399"/>
      <c r="BM75" s="399"/>
      <c r="BN75" s="399"/>
      <c r="BO75" s="399"/>
      <c r="BP75" s="399"/>
      <c r="BQ75" s="399"/>
      <c r="BR75" s="399"/>
      <c r="BS75" s="399"/>
      <c r="BT75" s="399"/>
      <c r="BU75" s="399"/>
      <c r="BV75" s="399"/>
      <c r="BW75" s="399"/>
      <c r="BX75" s="399"/>
      <c r="BY75" s="399"/>
      <c r="BZ75" s="399"/>
      <c r="CA75" s="399"/>
      <c r="CB75" s="399"/>
      <c r="CC75" s="399"/>
      <c r="CD75" s="399"/>
      <c r="CE75" s="399"/>
      <c r="CF75" s="399"/>
      <c r="CG75" s="399"/>
      <c r="CH75" s="399"/>
      <c r="CI75" s="399"/>
      <c r="CJ75" s="399"/>
      <c r="CK75" s="399"/>
      <c r="CL75" s="399"/>
      <c r="CM75" s="399"/>
      <c r="CN75" s="399"/>
      <c r="CO75" s="399"/>
      <c r="CP75" s="399"/>
      <c r="CQ75" s="399"/>
      <c r="CR75" s="399"/>
      <c r="CS75" s="399"/>
      <c r="CT75" s="399"/>
      <c r="CU75" s="399"/>
      <c r="CV75" s="399"/>
      <c r="CW75" s="399"/>
      <c r="CX75" s="399"/>
      <c r="CY75" s="399"/>
      <c r="CZ75" s="399"/>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row>
    <row r="76" spans="1:236" ht="14.15" customHeight="1">
      <c r="A76" s="6"/>
      <c r="B76" s="6"/>
      <c r="C76" s="6"/>
      <c r="D76" s="6"/>
      <c r="E76" s="6"/>
      <c r="F76" s="6"/>
      <c r="G76" s="6"/>
      <c r="H76" s="6"/>
      <c r="I76" s="6"/>
      <c r="J76" s="6"/>
      <c r="K76" s="6"/>
      <c r="L76" s="6"/>
      <c r="M76" s="14"/>
      <c r="N76" s="14"/>
      <c r="O76" s="14"/>
      <c r="P76" s="608"/>
      <c r="Q76" s="361"/>
      <c r="R76" s="361"/>
      <c r="S76" s="361"/>
      <c r="T76" s="361"/>
      <c r="U76" s="361"/>
      <c r="V76" s="361"/>
      <c r="W76" s="399"/>
      <c r="X76" s="399"/>
      <c r="Y76" s="399"/>
      <c r="Z76" s="399"/>
      <c r="AA76" s="399"/>
      <c r="AB76" s="399"/>
      <c r="AC76" s="399"/>
      <c r="AD76" s="399"/>
      <c r="AE76" s="399"/>
      <c r="AF76" s="399"/>
      <c r="AG76" s="399"/>
      <c r="AH76" s="399"/>
      <c r="AI76" s="399"/>
      <c r="AJ76" s="399"/>
      <c r="AK76" s="399"/>
      <c r="AL76" s="399"/>
      <c r="AM76" s="399"/>
      <c r="AN76" s="399"/>
      <c r="AO76" s="399"/>
      <c r="AP76" s="399"/>
      <c r="AQ76" s="399"/>
      <c r="AR76" s="399"/>
      <c r="AS76" s="399"/>
      <c r="AT76" s="399"/>
      <c r="AU76" s="399"/>
      <c r="AV76" s="399"/>
      <c r="AW76" s="399"/>
      <c r="AX76" s="399"/>
      <c r="AY76" s="399"/>
      <c r="AZ76" s="399"/>
      <c r="BA76" s="399"/>
      <c r="BB76" s="399"/>
      <c r="BC76" s="399"/>
      <c r="BD76" s="399"/>
      <c r="BE76" s="399"/>
      <c r="BF76" s="399"/>
      <c r="BG76" s="399"/>
      <c r="BH76" s="399"/>
      <c r="BI76" s="399"/>
      <c r="BJ76" s="399"/>
      <c r="BK76" s="399"/>
      <c r="BL76" s="399"/>
      <c r="BM76" s="399"/>
      <c r="BN76" s="399"/>
      <c r="BO76" s="399"/>
      <c r="BP76" s="399"/>
      <c r="BQ76" s="399"/>
      <c r="BR76" s="399"/>
      <c r="BS76" s="399"/>
      <c r="BT76" s="399"/>
      <c r="BU76" s="399"/>
      <c r="BV76" s="399"/>
      <c r="BW76" s="399"/>
      <c r="BX76" s="399"/>
      <c r="BY76" s="399"/>
      <c r="BZ76" s="399"/>
      <c r="CA76" s="399"/>
      <c r="CB76" s="399"/>
      <c r="CC76" s="399"/>
      <c r="CD76" s="399"/>
      <c r="CE76" s="399"/>
      <c r="CF76" s="399"/>
      <c r="CG76" s="399"/>
      <c r="CH76" s="399"/>
      <c r="CI76" s="399"/>
      <c r="CJ76" s="399"/>
      <c r="CK76" s="399"/>
      <c r="CL76" s="399"/>
      <c r="CM76" s="399"/>
      <c r="CN76" s="399"/>
      <c r="CO76" s="399"/>
      <c r="CP76" s="399"/>
      <c r="CQ76" s="399"/>
      <c r="CR76" s="399"/>
      <c r="CS76" s="399"/>
      <c r="CT76" s="399"/>
      <c r="CU76" s="399"/>
      <c r="CV76" s="399"/>
      <c r="CW76" s="399"/>
      <c r="CX76" s="399"/>
      <c r="CY76" s="399"/>
      <c r="CZ76" s="399"/>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row>
    <row r="77" spans="1:236" ht="14.15" customHeight="1">
      <c r="A77" s="6"/>
      <c r="B77" s="6"/>
      <c r="C77" s="6"/>
      <c r="D77" s="6"/>
      <c r="E77" s="6"/>
      <c r="F77" s="6"/>
      <c r="G77" s="6"/>
      <c r="H77" s="6"/>
      <c r="I77" s="6"/>
      <c r="J77" s="6"/>
      <c r="K77" s="6"/>
      <c r="L77" s="6"/>
      <c r="M77" s="14"/>
      <c r="N77" s="14"/>
      <c r="O77" s="14"/>
      <c r="P77" s="608"/>
      <c r="Q77" s="361"/>
      <c r="R77" s="361"/>
      <c r="S77" s="361"/>
      <c r="T77" s="361"/>
      <c r="U77" s="361"/>
      <c r="V77" s="361"/>
      <c r="W77" s="399"/>
      <c r="X77" s="399"/>
      <c r="Y77" s="399"/>
      <c r="Z77" s="399"/>
      <c r="AA77" s="399"/>
      <c r="AB77" s="399"/>
      <c r="AC77" s="399"/>
      <c r="AD77" s="399"/>
      <c r="AE77" s="399"/>
      <c r="AF77" s="399"/>
      <c r="AG77" s="399"/>
      <c r="AH77" s="399"/>
      <c r="AI77" s="399"/>
      <c r="AJ77" s="399"/>
      <c r="AK77" s="399"/>
      <c r="AL77" s="399"/>
      <c r="AM77" s="399"/>
      <c r="AN77" s="399"/>
      <c r="AO77" s="399"/>
      <c r="AP77" s="399"/>
      <c r="AQ77" s="399"/>
      <c r="AR77" s="399"/>
      <c r="AS77" s="399"/>
      <c r="AT77" s="399"/>
      <c r="AU77" s="399"/>
      <c r="AV77" s="399"/>
      <c r="AW77" s="399"/>
      <c r="AX77" s="399"/>
      <c r="AY77" s="399"/>
      <c r="AZ77" s="399"/>
      <c r="BA77" s="399"/>
      <c r="BB77" s="399"/>
      <c r="BC77" s="399"/>
      <c r="BD77" s="399"/>
      <c r="BE77" s="399"/>
      <c r="BF77" s="399"/>
      <c r="BG77" s="399"/>
      <c r="BH77" s="399"/>
      <c r="BI77" s="399"/>
      <c r="BJ77" s="399"/>
      <c r="BK77" s="399"/>
      <c r="BL77" s="399"/>
      <c r="BM77" s="399"/>
      <c r="BN77" s="399"/>
      <c r="BO77" s="399"/>
      <c r="BP77" s="399"/>
      <c r="BQ77" s="399"/>
      <c r="BR77" s="399"/>
      <c r="BS77" s="399"/>
      <c r="BT77" s="399"/>
      <c r="BU77" s="399"/>
      <c r="BV77" s="399"/>
      <c r="BW77" s="399"/>
      <c r="BX77" s="399"/>
      <c r="BY77" s="399"/>
      <c r="BZ77" s="399"/>
      <c r="CA77" s="399"/>
      <c r="CB77" s="399"/>
      <c r="CC77" s="399"/>
      <c r="CD77" s="399"/>
      <c r="CE77" s="399"/>
      <c r="CF77" s="399"/>
      <c r="CG77" s="399"/>
      <c r="CH77" s="399"/>
      <c r="CI77" s="399"/>
      <c r="CJ77" s="399"/>
      <c r="CK77" s="399"/>
      <c r="CL77" s="399"/>
      <c r="CM77" s="399"/>
      <c r="CN77" s="399"/>
      <c r="CO77" s="399"/>
      <c r="CP77" s="399"/>
      <c r="CQ77" s="399"/>
      <c r="CR77" s="399"/>
      <c r="CS77" s="399"/>
      <c r="CT77" s="399"/>
      <c r="CU77" s="399"/>
      <c r="CV77" s="399"/>
      <c r="CW77" s="399"/>
      <c r="CX77" s="399"/>
      <c r="CY77" s="399"/>
      <c r="CZ77" s="399"/>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row>
    <row r="78" spans="1:236" ht="14.15" customHeight="1">
      <c r="A78" s="6"/>
      <c r="B78" s="6"/>
      <c r="C78" s="6"/>
      <c r="D78" s="6"/>
      <c r="E78" s="6"/>
      <c r="F78" s="6"/>
      <c r="G78" s="6"/>
      <c r="H78" s="6"/>
      <c r="I78" s="6"/>
      <c r="J78" s="6"/>
      <c r="K78" s="6"/>
      <c r="L78" s="6"/>
      <c r="M78" s="14"/>
      <c r="N78" s="14"/>
      <c r="O78" s="14"/>
      <c r="P78" s="608"/>
      <c r="Q78" s="361"/>
      <c r="R78" s="361"/>
      <c r="S78" s="361"/>
      <c r="T78" s="361"/>
      <c r="U78" s="361"/>
      <c r="V78" s="361"/>
      <c r="W78" s="399"/>
      <c r="X78" s="399"/>
      <c r="Y78" s="399"/>
      <c r="Z78" s="399"/>
      <c r="AA78" s="399"/>
      <c r="AB78" s="399"/>
      <c r="AC78" s="399"/>
      <c r="AD78" s="399"/>
      <c r="AE78" s="399"/>
      <c r="AF78" s="399"/>
      <c r="AG78" s="399"/>
      <c r="AH78" s="399"/>
      <c r="AI78" s="399"/>
      <c r="AJ78" s="399"/>
      <c r="AK78" s="399"/>
      <c r="AL78" s="399"/>
      <c r="AM78" s="399"/>
      <c r="AN78" s="399"/>
      <c r="AO78" s="399"/>
      <c r="AP78" s="399"/>
      <c r="AQ78" s="399"/>
      <c r="AR78" s="399"/>
      <c r="AS78" s="399"/>
      <c r="AT78" s="399"/>
      <c r="AU78" s="399"/>
      <c r="AV78" s="399"/>
      <c r="AW78" s="399"/>
      <c r="AX78" s="399"/>
      <c r="AY78" s="399"/>
      <c r="AZ78" s="399"/>
      <c r="BA78" s="399"/>
      <c r="BB78" s="399"/>
      <c r="BC78" s="399"/>
      <c r="BD78" s="399"/>
      <c r="BE78" s="399"/>
      <c r="BF78" s="399"/>
      <c r="BG78" s="399"/>
      <c r="BH78" s="399"/>
      <c r="BI78" s="399"/>
      <c r="BJ78" s="399"/>
      <c r="BK78" s="399"/>
      <c r="BL78" s="399"/>
      <c r="BM78" s="399"/>
      <c r="BN78" s="399"/>
      <c r="BO78" s="399"/>
      <c r="BP78" s="399"/>
      <c r="BQ78" s="399"/>
      <c r="BR78" s="399"/>
      <c r="BS78" s="399"/>
      <c r="BT78" s="399"/>
      <c r="BU78" s="399"/>
      <c r="BV78" s="399"/>
      <c r="BW78" s="399"/>
      <c r="BX78" s="399"/>
      <c r="BY78" s="399"/>
      <c r="BZ78" s="399"/>
      <c r="CA78" s="399"/>
      <c r="CB78" s="399"/>
      <c r="CC78" s="399"/>
      <c r="CD78" s="399"/>
      <c r="CE78" s="399"/>
      <c r="CF78" s="399"/>
      <c r="CG78" s="399"/>
      <c r="CH78" s="399"/>
      <c r="CI78" s="399"/>
      <c r="CJ78" s="399"/>
      <c r="CK78" s="399"/>
      <c r="CL78" s="399"/>
      <c r="CM78" s="399"/>
      <c r="CN78" s="399"/>
      <c r="CO78" s="399"/>
      <c r="CP78" s="399"/>
      <c r="CQ78" s="399"/>
      <c r="CR78" s="399"/>
      <c r="CS78" s="399"/>
      <c r="CT78" s="399"/>
      <c r="CU78" s="399"/>
      <c r="CV78" s="399"/>
      <c r="CW78" s="399"/>
      <c r="CX78" s="399"/>
      <c r="CY78" s="399"/>
      <c r="CZ78" s="399"/>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row>
    <row r="79" spans="1:236" ht="14.15" customHeight="1">
      <c r="A79" s="6"/>
      <c r="B79" s="6"/>
      <c r="C79" s="6"/>
      <c r="D79" s="6"/>
      <c r="E79" s="6"/>
      <c r="F79" s="6"/>
      <c r="G79" s="6"/>
      <c r="H79" s="6"/>
      <c r="I79" s="6"/>
      <c r="J79" s="6"/>
      <c r="K79" s="6"/>
      <c r="L79" s="6"/>
      <c r="M79" s="14"/>
      <c r="N79" s="14"/>
      <c r="O79" s="14"/>
      <c r="P79" s="608"/>
      <c r="Q79" s="361"/>
      <c r="R79" s="361"/>
      <c r="S79" s="361"/>
      <c r="T79" s="361"/>
      <c r="U79" s="361"/>
      <c r="V79" s="361"/>
      <c r="W79" s="399"/>
      <c r="X79" s="399"/>
      <c r="Y79" s="399"/>
      <c r="Z79" s="399"/>
      <c r="AA79" s="399"/>
      <c r="AB79" s="399"/>
      <c r="AC79" s="399"/>
      <c r="AD79" s="399"/>
      <c r="AE79" s="399"/>
      <c r="AF79" s="399"/>
      <c r="AG79" s="399"/>
      <c r="AH79" s="399"/>
      <c r="AI79" s="399"/>
      <c r="AJ79" s="399"/>
      <c r="AK79" s="399"/>
      <c r="AL79" s="399"/>
      <c r="AM79" s="399"/>
      <c r="AN79" s="399"/>
      <c r="AO79" s="399"/>
      <c r="AP79" s="399"/>
      <c r="AQ79" s="399"/>
      <c r="AR79" s="399"/>
      <c r="AS79" s="399"/>
      <c r="AT79" s="399"/>
      <c r="AU79" s="399"/>
      <c r="AV79" s="399"/>
      <c r="AW79" s="399"/>
      <c r="AX79" s="399"/>
      <c r="AY79" s="399"/>
      <c r="AZ79" s="399"/>
      <c r="BA79" s="399"/>
      <c r="BB79" s="399"/>
      <c r="BC79" s="399"/>
      <c r="BD79" s="399"/>
      <c r="BE79" s="399"/>
      <c r="BF79" s="399"/>
      <c r="BG79" s="399"/>
      <c r="BH79" s="399"/>
      <c r="BI79" s="399"/>
      <c r="BJ79" s="399"/>
      <c r="BK79" s="399"/>
      <c r="BL79" s="399"/>
      <c r="BM79" s="399"/>
      <c r="BN79" s="399"/>
      <c r="BO79" s="399"/>
      <c r="BP79" s="399"/>
      <c r="BQ79" s="399"/>
      <c r="BR79" s="399"/>
      <c r="BS79" s="399"/>
      <c r="BT79" s="399"/>
      <c r="BU79" s="399"/>
      <c r="BV79" s="399"/>
      <c r="BW79" s="399"/>
      <c r="BX79" s="399"/>
      <c r="BY79" s="399"/>
      <c r="BZ79" s="399"/>
      <c r="CA79" s="399"/>
      <c r="CB79" s="399"/>
      <c r="CC79" s="399"/>
      <c r="CD79" s="399"/>
      <c r="CE79" s="399"/>
      <c r="CF79" s="399"/>
      <c r="CG79" s="399"/>
      <c r="CH79" s="399"/>
      <c r="CI79" s="399"/>
      <c r="CJ79" s="399"/>
      <c r="CK79" s="399"/>
      <c r="CL79" s="399"/>
      <c r="CM79" s="399"/>
      <c r="CN79" s="399"/>
      <c r="CO79" s="399"/>
      <c r="CP79" s="399"/>
      <c r="CQ79" s="399"/>
      <c r="CR79" s="399"/>
      <c r="CS79" s="399"/>
      <c r="CT79" s="399"/>
      <c r="CU79" s="399"/>
      <c r="CV79" s="399"/>
      <c r="CW79" s="399"/>
      <c r="CX79" s="399"/>
      <c r="CY79" s="399"/>
      <c r="CZ79" s="399"/>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row>
    <row r="80" spans="1:236" ht="14.15" customHeight="1">
      <c r="A80" s="6"/>
      <c r="B80" s="6"/>
      <c r="C80" s="6"/>
      <c r="D80" s="6"/>
      <c r="E80" s="6"/>
      <c r="F80" s="6"/>
      <c r="G80" s="6"/>
      <c r="H80" s="6"/>
      <c r="I80" s="6"/>
      <c r="J80" s="6"/>
      <c r="K80" s="6"/>
      <c r="L80" s="6"/>
      <c r="M80" s="14"/>
      <c r="N80" s="14"/>
      <c r="O80" s="14"/>
      <c r="P80" s="608"/>
      <c r="Q80" s="361"/>
      <c r="R80" s="361"/>
      <c r="S80" s="361"/>
      <c r="T80" s="361"/>
      <c r="U80" s="361"/>
      <c r="V80" s="361"/>
      <c r="W80" s="399"/>
      <c r="X80" s="399"/>
      <c r="Y80" s="399"/>
      <c r="Z80" s="399"/>
      <c r="AA80" s="399"/>
      <c r="AB80" s="399"/>
      <c r="AC80" s="399"/>
      <c r="AD80" s="399"/>
      <c r="AE80" s="399"/>
      <c r="AF80" s="399"/>
      <c r="AG80" s="399"/>
      <c r="AH80" s="399"/>
      <c r="AI80" s="399"/>
      <c r="AJ80" s="399"/>
      <c r="AK80" s="399"/>
      <c r="AL80" s="399"/>
      <c r="AM80" s="399"/>
      <c r="AN80" s="399"/>
      <c r="AO80" s="399"/>
      <c r="AP80" s="399"/>
      <c r="AQ80" s="399"/>
      <c r="AR80" s="399"/>
      <c r="AS80" s="399"/>
      <c r="AT80" s="399"/>
      <c r="AU80" s="399"/>
      <c r="AV80" s="399"/>
      <c r="AW80" s="399"/>
      <c r="AX80" s="399"/>
      <c r="AY80" s="399"/>
      <c r="AZ80" s="399"/>
      <c r="BA80" s="399"/>
      <c r="BB80" s="399"/>
      <c r="BC80" s="399"/>
      <c r="BD80" s="399"/>
      <c r="BE80" s="399"/>
      <c r="BF80" s="399"/>
      <c r="BG80" s="399"/>
      <c r="BH80" s="399"/>
      <c r="BI80" s="399"/>
      <c r="BJ80" s="399"/>
      <c r="BK80" s="399"/>
      <c r="BL80" s="399"/>
      <c r="BM80" s="399"/>
      <c r="BN80" s="399"/>
      <c r="BO80" s="399"/>
      <c r="BP80" s="399"/>
      <c r="BQ80" s="399"/>
      <c r="BR80" s="399"/>
      <c r="BS80" s="399"/>
      <c r="BT80" s="399"/>
      <c r="BU80" s="399"/>
      <c r="BV80" s="399"/>
      <c r="BW80" s="399"/>
      <c r="BX80" s="399"/>
      <c r="BY80" s="399"/>
      <c r="BZ80" s="399"/>
      <c r="CA80" s="399"/>
      <c r="CB80" s="399"/>
      <c r="CC80" s="399"/>
      <c r="CD80" s="399"/>
      <c r="CE80" s="399"/>
      <c r="CF80" s="399"/>
      <c r="CG80" s="399"/>
      <c r="CH80" s="399"/>
      <c r="CI80" s="399"/>
      <c r="CJ80" s="399"/>
      <c r="CK80" s="399"/>
      <c r="CL80" s="399"/>
      <c r="CM80" s="399"/>
      <c r="CN80" s="399"/>
      <c r="CO80" s="399"/>
      <c r="CP80" s="399"/>
      <c r="CQ80" s="399"/>
      <c r="CR80" s="399"/>
      <c r="CS80" s="399"/>
      <c r="CT80" s="399"/>
      <c r="CU80" s="399"/>
      <c r="CV80" s="399"/>
      <c r="CW80" s="399"/>
      <c r="CX80" s="399"/>
      <c r="CY80" s="399"/>
      <c r="CZ80" s="399"/>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row>
    <row r="81" spans="1:236" ht="14.15" customHeight="1">
      <c r="A81" s="6"/>
      <c r="B81" s="6"/>
      <c r="C81" s="6"/>
      <c r="D81" s="6"/>
      <c r="E81" s="6"/>
      <c r="F81" s="6"/>
      <c r="G81" s="6"/>
      <c r="H81" s="6"/>
      <c r="I81" s="6"/>
      <c r="J81" s="6"/>
      <c r="K81" s="6"/>
      <c r="L81" s="6"/>
      <c r="M81" s="14"/>
      <c r="N81" s="14"/>
      <c r="O81" s="14"/>
      <c r="P81" s="608"/>
      <c r="Q81" s="361"/>
      <c r="R81" s="361"/>
      <c r="S81" s="361"/>
      <c r="T81" s="361"/>
      <c r="U81" s="361"/>
      <c r="V81" s="361"/>
      <c r="W81" s="399"/>
      <c r="X81" s="399"/>
      <c r="Y81" s="399"/>
      <c r="Z81" s="399"/>
      <c r="AA81" s="399"/>
      <c r="AB81" s="399"/>
      <c r="AC81" s="399"/>
      <c r="AD81" s="399"/>
      <c r="AE81" s="399"/>
      <c r="AF81" s="399"/>
      <c r="AG81" s="399"/>
      <c r="AH81" s="399"/>
      <c r="AI81" s="399"/>
      <c r="AJ81" s="399"/>
      <c r="AK81" s="399"/>
      <c r="AL81" s="399"/>
      <c r="AM81" s="399"/>
      <c r="AN81" s="399"/>
      <c r="AO81" s="399"/>
      <c r="AP81" s="399"/>
      <c r="AQ81" s="399"/>
      <c r="AR81" s="399"/>
      <c r="AS81" s="399"/>
      <c r="AT81" s="399"/>
      <c r="AU81" s="399"/>
      <c r="AV81" s="399"/>
      <c r="AW81" s="399"/>
      <c r="AX81" s="399"/>
      <c r="AY81" s="399"/>
      <c r="AZ81" s="399"/>
      <c r="BA81" s="399"/>
      <c r="BB81" s="399"/>
      <c r="BC81" s="399"/>
      <c r="BD81" s="399"/>
      <c r="BE81" s="399"/>
      <c r="BF81" s="399"/>
      <c r="BG81" s="399"/>
      <c r="BH81" s="399"/>
      <c r="BI81" s="399"/>
      <c r="BJ81" s="399"/>
      <c r="BK81" s="399"/>
      <c r="BL81" s="399"/>
      <c r="BM81" s="399"/>
      <c r="BN81" s="399"/>
      <c r="BO81" s="399"/>
      <c r="BP81" s="399"/>
      <c r="BQ81" s="399"/>
      <c r="BR81" s="399"/>
      <c r="BS81" s="399"/>
      <c r="BT81" s="399"/>
      <c r="BU81" s="399"/>
      <c r="BV81" s="399"/>
      <c r="BW81" s="399"/>
      <c r="BX81" s="399"/>
      <c r="BY81" s="399"/>
      <c r="BZ81" s="399"/>
      <c r="CA81" s="399"/>
      <c r="CB81" s="399"/>
      <c r="CC81" s="399"/>
      <c r="CD81" s="399"/>
      <c r="CE81" s="399"/>
      <c r="CF81" s="399"/>
      <c r="CG81" s="399"/>
      <c r="CH81" s="399"/>
      <c r="CI81" s="399"/>
      <c r="CJ81" s="399"/>
      <c r="CK81" s="399"/>
      <c r="CL81" s="399"/>
      <c r="CM81" s="399"/>
      <c r="CN81" s="399"/>
      <c r="CO81" s="399"/>
      <c r="CP81" s="399"/>
      <c r="CQ81" s="399"/>
      <c r="CR81" s="399"/>
      <c r="CS81" s="399"/>
      <c r="CT81" s="399"/>
      <c r="CU81" s="399"/>
      <c r="CV81" s="399"/>
      <c r="CW81" s="399"/>
      <c r="CX81" s="399"/>
      <c r="CY81" s="399"/>
      <c r="CZ81" s="399"/>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row>
    <row r="82" spans="1:236" ht="14.15" customHeight="1">
      <c r="A82" s="6"/>
      <c r="B82" s="6"/>
      <c r="C82" s="6"/>
      <c r="D82" s="6"/>
      <c r="E82" s="6"/>
      <c r="F82" s="6"/>
      <c r="G82" s="6"/>
      <c r="H82" s="6"/>
      <c r="I82" s="6"/>
      <c r="J82" s="6"/>
      <c r="K82" s="6"/>
      <c r="L82" s="6"/>
      <c r="M82" s="14"/>
      <c r="N82" s="14"/>
      <c r="O82" s="14"/>
      <c r="P82" s="608"/>
      <c r="Q82" s="361"/>
      <c r="R82" s="361"/>
      <c r="S82" s="361"/>
      <c r="T82" s="361"/>
      <c r="U82" s="361"/>
      <c r="V82" s="361"/>
      <c r="W82" s="399"/>
      <c r="X82" s="399"/>
      <c r="Y82" s="399"/>
      <c r="Z82" s="399"/>
      <c r="AA82" s="399"/>
      <c r="AB82" s="399"/>
      <c r="AC82" s="399"/>
      <c r="AD82" s="399"/>
      <c r="AE82" s="399"/>
      <c r="AF82" s="399"/>
      <c r="AG82" s="399"/>
      <c r="AH82" s="399"/>
      <c r="AI82" s="399"/>
      <c r="AJ82" s="399"/>
      <c r="AK82" s="399"/>
      <c r="AL82" s="399"/>
      <c r="AM82" s="399"/>
      <c r="AN82" s="399"/>
      <c r="AO82" s="399"/>
      <c r="AP82" s="399"/>
      <c r="AQ82" s="399"/>
      <c r="AR82" s="399"/>
      <c r="AS82" s="399"/>
      <c r="AT82" s="399"/>
      <c r="AU82" s="399"/>
      <c r="AV82" s="399"/>
      <c r="AW82" s="399"/>
      <c r="AX82" s="399"/>
      <c r="AY82" s="399"/>
      <c r="AZ82" s="399"/>
      <c r="BA82" s="399"/>
      <c r="BB82" s="399"/>
      <c r="BC82" s="399"/>
      <c r="BD82" s="399"/>
      <c r="BE82" s="399"/>
      <c r="BF82" s="399"/>
      <c r="BG82" s="399"/>
      <c r="BH82" s="399"/>
      <c r="BI82" s="399"/>
      <c r="BJ82" s="399"/>
      <c r="BK82" s="399"/>
      <c r="BL82" s="399"/>
      <c r="BM82" s="399"/>
      <c r="BN82" s="399"/>
      <c r="BO82" s="399"/>
      <c r="BP82" s="399"/>
      <c r="BQ82" s="399"/>
      <c r="BR82" s="399"/>
      <c r="BS82" s="399"/>
      <c r="BT82" s="399"/>
      <c r="BU82" s="399"/>
      <c r="BV82" s="399"/>
      <c r="BW82" s="399"/>
      <c r="BX82" s="399"/>
      <c r="BY82" s="399"/>
      <c r="BZ82" s="399"/>
      <c r="CA82" s="399"/>
      <c r="CB82" s="399"/>
      <c r="CC82" s="399"/>
      <c r="CD82" s="399"/>
      <c r="CE82" s="399"/>
      <c r="CF82" s="399"/>
      <c r="CG82" s="399"/>
      <c r="CH82" s="399"/>
      <c r="CI82" s="399"/>
      <c r="CJ82" s="399"/>
      <c r="CK82" s="399"/>
      <c r="CL82" s="399"/>
      <c r="CM82" s="399"/>
      <c r="CN82" s="399"/>
      <c r="CO82" s="399"/>
      <c r="CP82" s="399"/>
      <c r="CQ82" s="399"/>
      <c r="CR82" s="399"/>
      <c r="CS82" s="399"/>
      <c r="CT82" s="399"/>
      <c r="CU82" s="399"/>
      <c r="CV82" s="399"/>
      <c r="CW82" s="399"/>
      <c r="CX82" s="399"/>
      <c r="CY82" s="399"/>
      <c r="CZ82" s="399"/>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row>
    <row r="83" spans="1:236" ht="14.15" customHeight="1">
      <c r="A83" s="6"/>
      <c r="B83" s="6"/>
      <c r="C83" s="6"/>
      <c r="D83" s="6"/>
      <c r="E83" s="6"/>
      <c r="F83" s="6"/>
      <c r="G83" s="6"/>
      <c r="H83" s="6"/>
      <c r="I83" s="6"/>
      <c r="J83" s="6"/>
      <c r="K83" s="6"/>
      <c r="L83" s="6"/>
      <c r="M83" s="14"/>
      <c r="N83" s="14"/>
      <c r="O83" s="14"/>
      <c r="P83" s="608"/>
      <c r="Q83" s="361"/>
      <c r="R83" s="361"/>
      <c r="S83" s="361"/>
      <c r="T83" s="361"/>
      <c r="U83" s="361"/>
      <c r="V83" s="361"/>
      <c r="W83" s="399"/>
      <c r="X83" s="399"/>
      <c r="Y83" s="399"/>
      <c r="Z83" s="399"/>
      <c r="AA83" s="399"/>
      <c r="AB83" s="399"/>
      <c r="AC83" s="399"/>
      <c r="AD83" s="399"/>
      <c r="AE83" s="399"/>
      <c r="AF83" s="399"/>
      <c r="AG83" s="399"/>
      <c r="AH83" s="399"/>
      <c r="AI83" s="399"/>
      <c r="AJ83" s="399"/>
      <c r="AK83" s="399"/>
      <c r="AL83" s="399"/>
      <c r="AM83" s="399"/>
      <c r="AN83" s="399"/>
      <c r="AO83" s="399"/>
      <c r="AP83" s="399"/>
      <c r="AQ83" s="399"/>
      <c r="AR83" s="399"/>
      <c r="AS83" s="399"/>
      <c r="AT83" s="399"/>
      <c r="AU83" s="399"/>
      <c r="AV83" s="399"/>
      <c r="AW83" s="399"/>
      <c r="AX83" s="399"/>
      <c r="AY83" s="399"/>
      <c r="AZ83" s="399"/>
      <c r="BA83" s="399"/>
      <c r="BB83" s="399"/>
      <c r="BC83" s="399"/>
      <c r="BD83" s="399"/>
      <c r="BE83" s="399"/>
      <c r="BF83" s="399"/>
      <c r="BG83" s="399"/>
      <c r="BH83" s="399"/>
      <c r="BI83" s="399"/>
      <c r="BJ83" s="399"/>
      <c r="BK83" s="399"/>
      <c r="BL83" s="399"/>
      <c r="BM83" s="399"/>
      <c r="BN83" s="399"/>
      <c r="BO83" s="399"/>
      <c r="BP83" s="399"/>
      <c r="BQ83" s="399"/>
      <c r="BR83" s="399"/>
      <c r="BS83" s="399"/>
      <c r="BT83" s="399"/>
      <c r="BU83" s="399"/>
      <c r="BV83" s="399"/>
      <c r="BW83" s="399"/>
      <c r="BX83" s="399"/>
      <c r="BY83" s="399"/>
      <c r="BZ83" s="399"/>
      <c r="CA83" s="399"/>
      <c r="CB83" s="399"/>
      <c r="CC83" s="399"/>
      <c r="CD83" s="399"/>
      <c r="CE83" s="399"/>
      <c r="CF83" s="399"/>
      <c r="CG83" s="399"/>
      <c r="CH83" s="399"/>
      <c r="CI83" s="399"/>
      <c r="CJ83" s="399"/>
      <c r="CK83" s="399"/>
      <c r="CL83" s="399"/>
      <c r="CM83" s="399"/>
      <c r="CN83" s="399"/>
      <c r="CO83" s="399"/>
      <c r="CP83" s="399"/>
      <c r="CQ83" s="399"/>
      <c r="CR83" s="399"/>
      <c r="CS83" s="399"/>
      <c r="CT83" s="399"/>
      <c r="CU83" s="399"/>
      <c r="CV83" s="399"/>
      <c r="CW83" s="399"/>
      <c r="CX83" s="399"/>
      <c r="CY83" s="399"/>
      <c r="CZ83" s="399"/>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row>
    <row r="84" spans="1:236" ht="14.15" customHeight="1">
      <c r="A84" s="6"/>
      <c r="B84" s="6"/>
      <c r="C84" s="6"/>
      <c r="D84" s="6"/>
      <c r="E84" s="6"/>
      <c r="F84" s="6"/>
      <c r="G84" s="6"/>
      <c r="H84" s="6"/>
      <c r="I84" s="6"/>
      <c r="J84" s="6"/>
      <c r="K84" s="6"/>
      <c r="L84" s="6"/>
      <c r="M84" s="14"/>
      <c r="N84" s="14"/>
      <c r="O84" s="14"/>
      <c r="P84" s="608"/>
      <c r="Q84" s="361"/>
      <c r="R84" s="361"/>
      <c r="S84" s="361"/>
      <c r="T84" s="361"/>
      <c r="U84" s="361"/>
      <c r="V84" s="361"/>
      <c r="W84" s="399"/>
      <c r="X84" s="399"/>
      <c r="Y84" s="399"/>
      <c r="Z84" s="399"/>
      <c r="AA84" s="399"/>
      <c r="AB84" s="399"/>
      <c r="AC84" s="399"/>
      <c r="AD84" s="399"/>
      <c r="AE84" s="399"/>
      <c r="AF84" s="399"/>
      <c r="AG84" s="399"/>
      <c r="AH84" s="399"/>
      <c r="AI84" s="399"/>
      <c r="AJ84" s="399"/>
      <c r="AK84" s="399"/>
      <c r="AL84" s="399"/>
      <c r="AM84" s="399"/>
      <c r="AN84" s="399"/>
      <c r="AO84" s="399"/>
      <c r="AP84" s="399"/>
      <c r="AQ84" s="399"/>
      <c r="AR84" s="399"/>
      <c r="AS84" s="399"/>
      <c r="AT84" s="399"/>
      <c r="AU84" s="399"/>
      <c r="AV84" s="399"/>
      <c r="AW84" s="399"/>
      <c r="AX84" s="399"/>
      <c r="AY84" s="399"/>
      <c r="AZ84" s="399"/>
      <c r="BA84" s="399"/>
      <c r="BB84" s="399"/>
      <c r="BC84" s="399"/>
      <c r="BD84" s="399"/>
      <c r="BE84" s="399"/>
      <c r="BF84" s="399"/>
      <c r="BG84" s="399"/>
      <c r="BH84" s="399"/>
      <c r="BI84" s="399"/>
      <c r="BJ84" s="399"/>
      <c r="BK84" s="399"/>
      <c r="BL84" s="399"/>
      <c r="BM84" s="399"/>
      <c r="BN84" s="399"/>
      <c r="BO84" s="399"/>
      <c r="BP84" s="399"/>
      <c r="BQ84" s="399"/>
      <c r="BR84" s="399"/>
      <c r="BS84" s="399"/>
      <c r="BT84" s="399"/>
      <c r="BU84" s="399"/>
      <c r="BV84" s="399"/>
      <c r="BW84" s="399"/>
      <c r="BX84" s="399"/>
      <c r="BY84" s="399"/>
      <c r="BZ84" s="399"/>
      <c r="CA84" s="399"/>
      <c r="CB84" s="399"/>
      <c r="CC84" s="399"/>
      <c r="CD84" s="399"/>
      <c r="CE84" s="399"/>
      <c r="CF84" s="399"/>
      <c r="CG84" s="399"/>
      <c r="CH84" s="399"/>
      <c r="CI84" s="399"/>
      <c r="CJ84" s="399"/>
      <c r="CK84" s="399"/>
      <c r="CL84" s="399"/>
      <c r="CM84" s="399"/>
      <c r="CN84" s="399"/>
      <c r="CO84" s="399"/>
      <c r="CP84" s="399"/>
      <c r="CQ84" s="399"/>
      <c r="CR84" s="399"/>
      <c r="CS84" s="399"/>
      <c r="CT84" s="399"/>
      <c r="CU84" s="399"/>
      <c r="CV84" s="399"/>
      <c r="CW84" s="399"/>
      <c r="CX84" s="399"/>
      <c r="CY84" s="399"/>
      <c r="CZ84" s="399"/>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row>
    <row r="85" spans="1:236" ht="14.15" customHeight="1">
      <c r="A85" s="6"/>
      <c r="B85" s="6"/>
      <c r="C85" s="6"/>
      <c r="D85" s="6"/>
      <c r="E85" s="6"/>
      <c r="F85" s="6"/>
      <c r="G85" s="6"/>
      <c r="H85" s="6"/>
      <c r="I85" s="6"/>
      <c r="J85" s="6"/>
      <c r="K85" s="6"/>
      <c r="L85" s="6"/>
      <c r="M85" s="14"/>
      <c r="N85" s="14"/>
      <c r="O85" s="14"/>
      <c r="P85" s="608"/>
      <c r="Q85" s="361"/>
      <c r="R85" s="361"/>
      <c r="S85" s="361"/>
      <c r="T85" s="361"/>
      <c r="U85" s="361"/>
      <c r="V85" s="361"/>
      <c r="W85" s="399"/>
      <c r="X85" s="399"/>
      <c r="Y85" s="399"/>
      <c r="Z85" s="399"/>
      <c r="AA85" s="399"/>
      <c r="AB85" s="399"/>
      <c r="AC85" s="399"/>
      <c r="AD85" s="399"/>
      <c r="AE85" s="399"/>
      <c r="AF85" s="399"/>
      <c r="AG85" s="399"/>
      <c r="AH85" s="399"/>
      <c r="AI85" s="399"/>
      <c r="AJ85" s="399"/>
      <c r="AK85" s="399"/>
      <c r="AL85" s="399"/>
      <c r="AM85" s="399"/>
      <c r="AN85" s="399"/>
      <c r="AO85" s="399"/>
      <c r="AP85" s="399"/>
      <c r="AQ85" s="399"/>
      <c r="AR85" s="399"/>
      <c r="AS85" s="399"/>
      <c r="AT85" s="399"/>
      <c r="AU85" s="399"/>
      <c r="AV85" s="399"/>
      <c r="AW85" s="399"/>
      <c r="AX85" s="399"/>
      <c r="AY85" s="399"/>
      <c r="AZ85" s="399"/>
      <c r="BA85" s="399"/>
      <c r="BB85" s="399"/>
      <c r="BC85" s="399"/>
      <c r="BD85" s="399"/>
      <c r="BE85" s="399"/>
      <c r="BF85" s="399"/>
      <c r="BG85" s="399"/>
      <c r="BH85" s="399"/>
      <c r="BI85" s="399"/>
      <c r="BJ85" s="399"/>
      <c r="BK85" s="399"/>
      <c r="BL85" s="399"/>
      <c r="BM85" s="399"/>
      <c r="BN85" s="399"/>
      <c r="BO85" s="399"/>
      <c r="BP85" s="399"/>
      <c r="BQ85" s="399"/>
      <c r="BR85" s="399"/>
      <c r="BS85" s="399"/>
      <c r="BT85" s="399"/>
      <c r="BU85" s="399"/>
      <c r="BV85" s="399"/>
      <c r="BW85" s="399"/>
      <c r="BX85" s="399"/>
      <c r="BY85" s="399"/>
      <c r="BZ85" s="399"/>
      <c r="CA85" s="399"/>
      <c r="CB85" s="399"/>
      <c r="CC85" s="399"/>
      <c r="CD85" s="399"/>
      <c r="CE85" s="399"/>
      <c r="CF85" s="399"/>
      <c r="CG85" s="399"/>
      <c r="CH85" s="399"/>
      <c r="CI85" s="399"/>
      <c r="CJ85" s="399"/>
      <c r="CK85" s="399"/>
      <c r="CL85" s="399"/>
      <c r="CM85" s="399"/>
      <c r="CN85" s="399"/>
      <c r="CO85" s="399"/>
      <c r="CP85" s="399"/>
      <c r="CQ85" s="399"/>
      <c r="CR85" s="399"/>
      <c r="CS85" s="399"/>
      <c r="CT85" s="399"/>
      <c r="CU85" s="399"/>
      <c r="CV85" s="399"/>
      <c r="CW85" s="399"/>
      <c r="CX85" s="399"/>
      <c r="CY85" s="399"/>
      <c r="CZ85" s="399"/>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row>
    <row r="86" spans="1:236" ht="14.15" customHeight="1">
      <c r="A86" s="6"/>
      <c r="B86" s="6"/>
      <c r="C86" s="6"/>
      <c r="D86" s="6"/>
      <c r="E86" s="6"/>
      <c r="F86" s="6"/>
      <c r="G86" s="6"/>
      <c r="H86" s="6"/>
      <c r="I86" s="6"/>
      <c r="J86" s="6"/>
      <c r="K86" s="6"/>
      <c r="L86" s="6"/>
      <c r="M86" s="14"/>
      <c r="N86" s="14"/>
      <c r="O86" s="14"/>
      <c r="P86" s="608"/>
      <c r="Q86" s="361"/>
      <c r="R86" s="361"/>
      <c r="S86" s="361"/>
      <c r="T86" s="361"/>
      <c r="U86" s="361"/>
      <c r="V86" s="361"/>
      <c r="W86" s="399"/>
      <c r="X86" s="399"/>
      <c r="Y86" s="399"/>
      <c r="Z86" s="399"/>
      <c r="AA86" s="399"/>
      <c r="AB86" s="399"/>
      <c r="AC86" s="399"/>
      <c r="AD86" s="399"/>
      <c r="AE86" s="399"/>
      <c r="AF86" s="399"/>
      <c r="AG86" s="399"/>
      <c r="AH86" s="399"/>
      <c r="AI86" s="399"/>
      <c r="AJ86" s="399"/>
      <c r="AK86" s="399"/>
      <c r="AL86" s="399"/>
      <c r="AM86" s="399"/>
      <c r="AN86" s="399"/>
      <c r="AO86" s="399"/>
      <c r="AP86" s="399"/>
      <c r="AQ86" s="399"/>
      <c r="AR86" s="399"/>
      <c r="AS86" s="399"/>
      <c r="AT86" s="399"/>
      <c r="AU86" s="399"/>
      <c r="AV86" s="399"/>
      <c r="AW86" s="399"/>
      <c r="AX86" s="399"/>
      <c r="AY86" s="399"/>
      <c r="AZ86" s="399"/>
      <c r="BA86" s="399"/>
      <c r="BB86" s="399"/>
      <c r="BC86" s="399"/>
      <c r="BD86" s="399"/>
      <c r="BE86" s="399"/>
      <c r="BF86" s="399"/>
      <c r="BG86" s="399"/>
      <c r="BH86" s="399"/>
      <c r="BI86" s="399"/>
      <c r="BJ86" s="399"/>
      <c r="BK86" s="399"/>
      <c r="BL86" s="399"/>
      <c r="BM86" s="399"/>
      <c r="BN86" s="399"/>
      <c r="BO86" s="399"/>
      <c r="BP86" s="399"/>
      <c r="BQ86" s="399"/>
      <c r="BR86" s="399"/>
      <c r="BS86" s="399"/>
      <c r="BT86" s="399"/>
      <c r="BU86" s="399"/>
      <c r="BV86" s="399"/>
      <c r="BW86" s="399"/>
      <c r="BX86" s="399"/>
      <c r="BY86" s="399"/>
      <c r="BZ86" s="399"/>
      <c r="CA86" s="399"/>
      <c r="CB86" s="399"/>
      <c r="CC86" s="399"/>
      <c r="CD86" s="399"/>
      <c r="CE86" s="399"/>
      <c r="CF86" s="399"/>
      <c r="CG86" s="399"/>
      <c r="CH86" s="399"/>
      <c r="CI86" s="399"/>
      <c r="CJ86" s="399"/>
      <c r="CK86" s="399"/>
      <c r="CL86" s="399"/>
      <c r="CM86" s="399"/>
      <c r="CN86" s="399"/>
      <c r="CO86" s="399"/>
      <c r="CP86" s="399"/>
      <c r="CQ86" s="399"/>
      <c r="CR86" s="399"/>
      <c r="CS86" s="399"/>
      <c r="CT86" s="399"/>
      <c r="CU86" s="399"/>
      <c r="CV86" s="399"/>
      <c r="CW86" s="399"/>
      <c r="CX86" s="399"/>
      <c r="CY86" s="399"/>
      <c r="CZ86" s="399"/>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row>
    <row r="87" spans="1:236" ht="14.15" customHeight="1">
      <c r="A87" s="6"/>
      <c r="B87" s="6"/>
      <c r="C87" s="6"/>
      <c r="D87" s="6"/>
      <c r="E87" s="6"/>
      <c r="F87" s="6"/>
      <c r="G87" s="6"/>
      <c r="H87" s="6"/>
      <c r="I87" s="6"/>
      <c r="J87" s="6"/>
      <c r="K87" s="6"/>
      <c r="L87" s="6"/>
      <c r="M87" s="14"/>
      <c r="N87" s="14"/>
      <c r="O87" s="14"/>
      <c r="P87" s="608"/>
      <c r="Q87" s="361"/>
      <c r="R87" s="361"/>
      <c r="S87" s="361"/>
      <c r="T87" s="361"/>
      <c r="U87" s="361"/>
      <c r="V87" s="361"/>
      <c r="W87" s="399"/>
      <c r="X87" s="399"/>
      <c r="Y87" s="399"/>
      <c r="Z87" s="399"/>
      <c r="AA87" s="399"/>
      <c r="AB87" s="399"/>
      <c r="AC87" s="399"/>
      <c r="AD87" s="399"/>
      <c r="AE87" s="399"/>
      <c r="AF87" s="399"/>
      <c r="AG87" s="399"/>
      <c r="AH87" s="399"/>
      <c r="AI87" s="399"/>
      <c r="AJ87" s="399"/>
      <c r="AK87" s="399"/>
      <c r="AL87" s="399"/>
      <c r="AM87" s="399"/>
      <c r="AN87" s="399"/>
      <c r="AO87" s="399"/>
      <c r="AP87" s="399"/>
      <c r="AQ87" s="399"/>
      <c r="AR87" s="399"/>
      <c r="AS87" s="399"/>
      <c r="AT87" s="399"/>
      <c r="AU87" s="399"/>
      <c r="AV87" s="399"/>
      <c r="AW87" s="399"/>
      <c r="AX87" s="399"/>
      <c r="AY87" s="399"/>
      <c r="AZ87" s="399"/>
      <c r="BA87" s="399"/>
      <c r="BB87" s="399"/>
      <c r="BC87" s="399"/>
      <c r="BD87" s="399"/>
      <c r="BE87" s="399"/>
      <c r="BF87" s="399"/>
      <c r="BG87" s="399"/>
      <c r="BH87" s="399"/>
      <c r="BI87" s="399"/>
      <c r="BJ87" s="399"/>
      <c r="BK87" s="399"/>
      <c r="BL87" s="399"/>
      <c r="BM87" s="399"/>
      <c r="BN87" s="399"/>
      <c r="BO87" s="399"/>
      <c r="BP87" s="399"/>
      <c r="BQ87" s="399"/>
      <c r="BR87" s="399"/>
      <c r="BS87" s="399"/>
      <c r="BT87" s="399"/>
      <c r="BU87" s="399"/>
      <c r="BV87" s="399"/>
      <c r="BW87" s="399"/>
      <c r="BX87" s="399"/>
      <c r="BY87" s="399"/>
      <c r="BZ87" s="399"/>
      <c r="CA87" s="399"/>
      <c r="CB87" s="399"/>
      <c r="CC87" s="399"/>
      <c r="CD87" s="399"/>
      <c r="CE87" s="399"/>
      <c r="CF87" s="399"/>
      <c r="CG87" s="399"/>
      <c r="CH87" s="399"/>
      <c r="CI87" s="399"/>
      <c r="CJ87" s="399"/>
      <c r="CK87" s="399"/>
      <c r="CL87" s="399"/>
      <c r="CM87" s="399"/>
      <c r="CN87" s="399"/>
      <c r="CO87" s="399"/>
      <c r="CP87" s="399"/>
      <c r="CQ87" s="399"/>
      <c r="CR87" s="399"/>
      <c r="CS87" s="399"/>
      <c r="CT87" s="399"/>
      <c r="CU87" s="399"/>
      <c r="CV87" s="399"/>
      <c r="CW87" s="399"/>
      <c r="CX87" s="399"/>
      <c r="CY87" s="399"/>
      <c r="CZ87" s="399"/>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row>
    <row r="88" spans="1:236" ht="14.15" customHeight="1">
      <c r="A88" s="6"/>
      <c r="B88" s="6"/>
      <c r="C88" s="6"/>
      <c r="D88" s="6"/>
      <c r="E88" s="6"/>
      <c r="F88" s="6"/>
      <c r="G88" s="6"/>
      <c r="H88" s="6"/>
      <c r="I88" s="6"/>
      <c r="J88" s="6"/>
      <c r="K88" s="6"/>
      <c r="L88" s="6"/>
      <c r="M88" s="14"/>
      <c r="N88" s="14"/>
      <c r="O88" s="14"/>
      <c r="P88" s="608"/>
      <c r="Q88" s="361"/>
      <c r="R88" s="361"/>
      <c r="S88" s="361"/>
      <c r="T88" s="361"/>
      <c r="U88" s="361"/>
      <c r="V88" s="361"/>
      <c r="W88" s="399"/>
      <c r="X88" s="399"/>
      <c r="Y88" s="399"/>
      <c r="Z88" s="399"/>
      <c r="AA88" s="399"/>
      <c r="AB88" s="399"/>
      <c r="AC88" s="399"/>
      <c r="AD88" s="399"/>
      <c r="AE88" s="399"/>
      <c r="AF88" s="399"/>
      <c r="AG88" s="399"/>
      <c r="AH88" s="399"/>
      <c r="AI88" s="399"/>
      <c r="AJ88" s="399"/>
      <c r="AK88" s="399"/>
      <c r="AL88" s="399"/>
      <c r="AM88" s="399"/>
      <c r="AN88" s="399"/>
      <c r="AO88" s="399"/>
      <c r="AP88" s="399"/>
      <c r="AQ88" s="399"/>
      <c r="AR88" s="399"/>
      <c r="AS88" s="399"/>
      <c r="AT88" s="399"/>
      <c r="AU88" s="399"/>
      <c r="AV88" s="399"/>
      <c r="AW88" s="399"/>
      <c r="AX88" s="399"/>
      <c r="AY88" s="399"/>
      <c r="AZ88" s="399"/>
      <c r="BA88" s="399"/>
      <c r="BB88" s="399"/>
      <c r="BC88" s="399"/>
      <c r="BD88" s="399"/>
      <c r="BE88" s="399"/>
      <c r="BF88" s="399"/>
      <c r="BG88" s="399"/>
      <c r="BH88" s="399"/>
      <c r="BI88" s="399"/>
      <c r="BJ88" s="399"/>
      <c r="BK88" s="399"/>
      <c r="BL88" s="399"/>
      <c r="BM88" s="399"/>
      <c r="BN88" s="399"/>
      <c r="BO88" s="399"/>
      <c r="BP88" s="399"/>
      <c r="BQ88" s="399"/>
      <c r="BR88" s="399"/>
      <c r="BS88" s="399"/>
      <c r="BT88" s="399"/>
      <c r="BU88" s="399"/>
      <c r="BV88" s="399"/>
      <c r="BW88" s="399"/>
      <c r="BX88" s="399"/>
      <c r="BY88" s="399"/>
      <c r="BZ88" s="399"/>
      <c r="CA88" s="399"/>
      <c r="CB88" s="399"/>
      <c r="CC88" s="399"/>
      <c r="CD88" s="399"/>
      <c r="CE88" s="399"/>
      <c r="CF88" s="399"/>
      <c r="CG88" s="399"/>
      <c r="CH88" s="399"/>
      <c r="CI88" s="399"/>
      <c r="CJ88" s="399"/>
      <c r="CK88" s="399"/>
      <c r="CL88" s="399"/>
      <c r="CM88" s="399"/>
      <c r="CN88" s="399"/>
      <c r="CO88" s="399"/>
      <c r="CP88" s="399"/>
      <c r="CQ88" s="399"/>
      <c r="CR88" s="399"/>
      <c r="CS88" s="399"/>
      <c r="CT88" s="399"/>
      <c r="CU88" s="399"/>
      <c r="CV88" s="399"/>
      <c r="CW88" s="399"/>
      <c r="CX88" s="399"/>
      <c r="CY88" s="399"/>
      <c r="CZ88" s="399"/>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row>
    <row r="89" spans="1:236" ht="14.15" customHeight="1">
      <c r="A89" s="6"/>
      <c r="B89" s="6"/>
      <c r="C89" s="6"/>
      <c r="D89" s="6"/>
      <c r="E89" s="6"/>
      <c r="F89" s="6"/>
      <c r="G89" s="6"/>
      <c r="H89" s="6"/>
      <c r="I89" s="6"/>
      <c r="J89" s="6"/>
      <c r="K89" s="6"/>
      <c r="L89" s="6"/>
      <c r="M89" s="14"/>
      <c r="N89" s="14"/>
      <c r="O89" s="14"/>
      <c r="P89" s="608"/>
      <c r="Q89" s="361"/>
      <c r="R89" s="361"/>
      <c r="S89" s="361"/>
      <c r="T89" s="361"/>
      <c r="U89" s="361"/>
      <c r="V89" s="361"/>
      <c r="W89" s="399"/>
      <c r="X89" s="399"/>
      <c r="Y89" s="399"/>
      <c r="Z89" s="399"/>
      <c r="AA89" s="399"/>
      <c r="AB89" s="399"/>
      <c r="AC89" s="399"/>
      <c r="AD89" s="399"/>
      <c r="AE89" s="399"/>
      <c r="AF89" s="399"/>
      <c r="AG89" s="399"/>
      <c r="AH89" s="399"/>
      <c r="AI89" s="399"/>
      <c r="AJ89" s="399"/>
      <c r="AK89" s="399"/>
      <c r="AL89" s="399"/>
      <c r="AM89" s="399"/>
      <c r="AN89" s="399"/>
      <c r="AO89" s="399"/>
      <c r="AP89" s="399"/>
      <c r="AQ89" s="399"/>
      <c r="AR89" s="399"/>
      <c r="AS89" s="399"/>
      <c r="AT89" s="399"/>
      <c r="AU89" s="399"/>
      <c r="AV89" s="399"/>
      <c r="AW89" s="399"/>
      <c r="AX89" s="399"/>
      <c r="AY89" s="399"/>
      <c r="AZ89" s="399"/>
      <c r="BA89" s="399"/>
      <c r="BB89" s="399"/>
      <c r="BC89" s="399"/>
      <c r="BD89" s="399"/>
      <c r="BE89" s="399"/>
      <c r="BF89" s="399"/>
      <c r="BG89" s="399"/>
      <c r="BH89" s="399"/>
      <c r="BI89" s="399"/>
      <c r="BJ89" s="399"/>
      <c r="BK89" s="399"/>
      <c r="BL89" s="399"/>
      <c r="BM89" s="399"/>
      <c r="BN89" s="399"/>
      <c r="BO89" s="399"/>
      <c r="BP89" s="399"/>
      <c r="BQ89" s="399"/>
      <c r="BR89" s="399"/>
      <c r="BS89" s="399"/>
      <c r="BT89" s="399"/>
      <c r="BU89" s="399"/>
      <c r="BV89" s="399"/>
      <c r="BW89" s="399"/>
      <c r="BX89" s="399"/>
      <c r="BY89" s="399"/>
      <c r="BZ89" s="399"/>
      <c r="CA89" s="399"/>
      <c r="CB89" s="399"/>
      <c r="CC89" s="399"/>
      <c r="CD89" s="399"/>
      <c r="CE89" s="399"/>
      <c r="CF89" s="399"/>
      <c r="CG89" s="399"/>
      <c r="CH89" s="399"/>
      <c r="CI89" s="399"/>
      <c r="CJ89" s="399"/>
      <c r="CK89" s="399"/>
      <c r="CL89" s="399"/>
      <c r="CM89" s="399"/>
      <c r="CN89" s="399"/>
      <c r="CO89" s="399"/>
      <c r="CP89" s="399"/>
      <c r="CQ89" s="399"/>
      <c r="CR89" s="399"/>
      <c r="CS89" s="399"/>
      <c r="CT89" s="399"/>
      <c r="CU89" s="399"/>
      <c r="CV89" s="399"/>
      <c r="CW89" s="399"/>
      <c r="CX89" s="399"/>
      <c r="CY89" s="399"/>
      <c r="CZ89" s="399"/>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row>
    <row r="90" spans="1:236" ht="14.15" customHeight="1">
      <c r="A90" s="6"/>
      <c r="B90" s="6"/>
      <c r="C90" s="6"/>
      <c r="D90" s="6"/>
      <c r="E90" s="6"/>
      <c r="F90" s="6"/>
      <c r="G90" s="6"/>
      <c r="H90" s="6"/>
      <c r="I90" s="6"/>
      <c r="J90" s="6"/>
      <c r="K90" s="6"/>
      <c r="L90" s="6"/>
      <c r="M90" s="14"/>
      <c r="N90" s="14"/>
      <c r="O90" s="14"/>
      <c r="P90" s="608"/>
      <c r="Q90" s="361"/>
      <c r="R90" s="361"/>
      <c r="S90" s="361"/>
      <c r="T90" s="361"/>
      <c r="U90" s="361"/>
      <c r="V90" s="361"/>
      <c r="W90" s="399"/>
      <c r="X90" s="399"/>
      <c r="Y90" s="399"/>
      <c r="Z90" s="399"/>
      <c r="AA90" s="399"/>
      <c r="AB90" s="399"/>
      <c r="AC90" s="399"/>
      <c r="AD90" s="399"/>
      <c r="AE90" s="399"/>
      <c r="AF90" s="399"/>
      <c r="AG90" s="399"/>
      <c r="AH90" s="399"/>
      <c r="AI90" s="399"/>
      <c r="AJ90" s="399"/>
      <c r="AK90" s="399"/>
      <c r="AL90" s="399"/>
      <c r="AM90" s="399"/>
      <c r="AN90" s="399"/>
      <c r="AO90" s="399"/>
      <c r="AP90" s="399"/>
      <c r="AQ90" s="399"/>
      <c r="AR90" s="399"/>
      <c r="AS90" s="399"/>
      <c r="AT90" s="399"/>
      <c r="AU90" s="399"/>
      <c r="AV90" s="399"/>
      <c r="AW90" s="399"/>
      <c r="AX90" s="399"/>
      <c r="AY90" s="399"/>
      <c r="AZ90" s="399"/>
      <c r="BA90" s="399"/>
      <c r="BB90" s="399"/>
      <c r="BC90" s="399"/>
      <c r="BD90" s="399"/>
      <c r="BE90" s="399"/>
      <c r="BF90" s="399"/>
      <c r="BG90" s="399"/>
      <c r="BH90" s="399"/>
      <c r="BI90" s="399"/>
      <c r="BJ90" s="399"/>
      <c r="BK90" s="399"/>
      <c r="BL90" s="399"/>
      <c r="BM90" s="399"/>
      <c r="BN90" s="399"/>
      <c r="BO90" s="399"/>
      <c r="BP90" s="399"/>
      <c r="BQ90" s="399"/>
      <c r="BR90" s="399"/>
      <c r="BS90" s="399"/>
      <c r="BT90" s="399"/>
      <c r="BU90" s="399"/>
      <c r="BV90" s="399"/>
      <c r="BW90" s="399"/>
      <c r="BX90" s="399"/>
      <c r="BY90" s="399"/>
      <c r="BZ90" s="399"/>
      <c r="CA90" s="399"/>
      <c r="CB90" s="399"/>
      <c r="CC90" s="399"/>
      <c r="CD90" s="399"/>
      <c r="CE90" s="399"/>
      <c r="CF90" s="399"/>
      <c r="CG90" s="399"/>
      <c r="CH90" s="399"/>
      <c r="CI90" s="399"/>
      <c r="CJ90" s="399"/>
      <c r="CK90" s="399"/>
      <c r="CL90" s="399"/>
      <c r="CM90" s="399"/>
      <c r="CN90" s="399"/>
      <c r="CO90" s="399"/>
      <c r="CP90" s="399"/>
      <c r="CQ90" s="399"/>
      <c r="CR90" s="399"/>
      <c r="CS90" s="399"/>
      <c r="CT90" s="399"/>
      <c r="CU90" s="399"/>
      <c r="CV90" s="399"/>
      <c r="CW90" s="399"/>
      <c r="CX90" s="399"/>
      <c r="CY90" s="399"/>
      <c r="CZ90" s="399"/>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row>
    <row r="91" spans="1:236" ht="14.15" customHeight="1">
      <c r="A91" s="6"/>
      <c r="B91" s="6"/>
      <c r="C91" s="6"/>
      <c r="D91" s="6"/>
      <c r="E91" s="6"/>
      <c r="F91" s="6"/>
      <c r="G91" s="6"/>
      <c r="H91" s="6"/>
      <c r="I91" s="6"/>
      <c r="J91" s="6"/>
      <c r="K91" s="6"/>
      <c r="L91" s="6"/>
      <c r="M91" s="14"/>
      <c r="N91" s="14"/>
      <c r="O91" s="14"/>
      <c r="P91" s="608"/>
      <c r="Q91" s="361"/>
      <c r="R91" s="361"/>
      <c r="S91" s="361"/>
      <c r="T91" s="361"/>
      <c r="U91" s="361"/>
      <c r="V91" s="361"/>
      <c r="W91" s="399"/>
      <c r="X91" s="399"/>
      <c r="Y91" s="399"/>
      <c r="Z91" s="399"/>
      <c r="AA91" s="399"/>
      <c r="AB91" s="399"/>
      <c r="AC91" s="399"/>
      <c r="AD91" s="399"/>
      <c r="AE91" s="399"/>
      <c r="AF91" s="399"/>
      <c r="AG91" s="399"/>
      <c r="AH91" s="399"/>
      <c r="AI91" s="399"/>
      <c r="AJ91" s="399"/>
      <c r="AK91" s="399"/>
      <c r="AL91" s="399"/>
      <c r="AM91" s="399"/>
      <c r="AN91" s="399"/>
      <c r="AO91" s="399"/>
      <c r="AP91" s="399"/>
      <c r="AQ91" s="399"/>
      <c r="AR91" s="399"/>
      <c r="AS91" s="399"/>
      <c r="AT91" s="399"/>
      <c r="AU91" s="399"/>
      <c r="AV91" s="399"/>
      <c r="AW91" s="399"/>
      <c r="AX91" s="399"/>
      <c r="AY91" s="399"/>
      <c r="AZ91" s="399"/>
      <c r="BA91" s="399"/>
      <c r="BB91" s="399"/>
      <c r="BC91" s="399"/>
      <c r="BD91" s="399"/>
      <c r="BE91" s="399"/>
      <c r="BF91" s="399"/>
      <c r="BG91" s="399"/>
      <c r="BH91" s="399"/>
      <c r="BI91" s="399"/>
      <c r="BJ91" s="399"/>
      <c r="BK91" s="399"/>
      <c r="BL91" s="399"/>
      <c r="BM91" s="399"/>
      <c r="BN91" s="399"/>
      <c r="BO91" s="399"/>
      <c r="BP91" s="399"/>
      <c r="BQ91" s="399"/>
      <c r="BR91" s="399"/>
      <c r="BS91" s="399"/>
      <c r="BT91" s="399"/>
      <c r="BU91" s="399"/>
      <c r="BV91" s="399"/>
      <c r="BW91" s="399"/>
      <c r="BX91" s="399"/>
      <c r="BY91" s="399"/>
      <c r="BZ91" s="399"/>
      <c r="CA91" s="399"/>
      <c r="CB91" s="399"/>
      <c r="CC91" s="399"/>
      <c r="CD91" s="399"/>
      <c r="CE91" s="399"/>
      <c r="CF91" s="399"/>
      <c r="CG91" s="399"/>
      <c r="CH91" s="399"/>
      <c r="CI91" s="399"/>
      <c r="CJ91" s="399"/>
      <c r="CK91" s="399"/>
      <c r="CL91" s="399"/>
      <c r="CM91" s="399"/>
      <c r="CN91" s="399"/>
      <c r="CO91" s="399"/>
      <c r="CP91" s="399"/>
      <c r="CQ91" s="399"/>
      <c r="CR91" s="399"/>
      <c r="CS91" s="399"/>
      <c r="CT91" s="399"/>
      <c r="CU91" s="399"/>
      <c r="CV91" s="399"/>
      <c r="CW91" s="399"/>
      <c r="CX91" s="399"/>
      <c r="CY91" s="399"/>
      <c r="CZ91" s="399"/>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row>
    <row r="92" spans="1:236" ht="14.15" customHeight="1">
      <c r="A92" s="6"/>
      <c r="B92" s="6"/>
      <c r="C92" s="6"/>
      <c r="D92" s="6"/>
      <c r="E92" s="6"/>
      <c r="F92" s="6"/>
      <c r="G92" s="6"/>
      <c r="H92" s="6"/>
      <c r="I92" s="6"/>
      <c r="J92" s="6"/>
      <c r="K92" s="6"/>
      <c r="L92" s="6"/>
      <c r="M92" s="14"/>
      <c r="N92" s="14"/>
      <c r="O92" s="14"/>
      <c r="P92" s="608"/>
      <c r="Q92" s="361"/>
      <c r="R92" s="361"/>
      <c r="S92" s="361"/>
      <c r="T92" s="361"/>
      <c r="U92" s="361"/>
      <c r="V92" s="361"/>
      <c r="W92" s="399"/>
      <c r="X92" s="399"/>
      <c r="Y92" s="399"/>
      <c r="Z92" s="399"/>
      <c r="AA92" s="399"/>
      <c r="AB92" s="399"/>
      <c r="AC92" s="399"/>
      <c r="AD92" s="399"/>
      <c r="AE92" s="399"/>
      <c r="AF92" s="399"/>
      <c r="AG92" s="399"/>
      <c r="AH92" s="399"/>
      <c r="AI92" s="399"/>
      <c r="AJ92" s="399"/>
      <c r="AK92" s="399"/>
      <c r="AL92" s="399"/>
      <c r="AM92" s="399"/>
      <c r="AN92" s="399"/>
      <c r="AO92" s="399"/>
      <c r="AP92" s="399"/>
      <c r="AQ92" s="399"/>
      <c r="AR92" s="399"/>
      <c r="AS92" s="399"/>
      <c r="AT92" s="399"/>
      <c r="AU92" s="399"/>
      <c r="AV92" s="399"/>
      <c r="AW92" s="399"/>
      <c r="AX92" s="399"/>
      <c r="AY92" s="399"/>
      <c r="AZ92" s="399"/>
      <c r="BA92" s="399"/>
      <c r="BB92" s="399"/>
      <c r="BC92" s="399"/>
      <c r="BD92" s="399"/>
      <c r="BE92" s="399"/>
      <c r="BF92" s="399"/>
      <c r="BG92" s="399"/>
      <c r="BH92" s="399"/>
      <c r="BI92" s="399"/>
      <c r="BJ92" s="399"/>
      <c r="BK92" s="399"/>
      <c r="BL92" s="399"/>
      <c r="BM92" s="399"/>
      <c r="BN92" s="399"/>
      <c r="BO92" s="399"/>
      <c r="BP92" s="399"/>
      <c r="BQ92" s="399"/>
      <c r="BR92" s="399"/>
      <c r="BS92" s="399"/>
      <c r="BT92" s="399"/>
      <c r="BU92" s="399"/>
      <c r="BV92" s="399"/>
      <c r="BW92" s="399"/>
      <c r="BX92" s="399"/>
      <c r="BY92" s="399"/>
      <c r="BZ92" s="399"/>
      <c r="CA92" s="399"/>
      <c r="CB92" s="399"/>
      <c r="CC92" s="399"/>
      <c r="CD92" s="399"/>
      <c r="CE92" s="399"/>
      <c r="CF92" s="399"/>
      <c r="CG92" s="399"/>
      <c r="CH92" s="399"/>
      <c r="CI92" s="399"/>
      <c r="CJ92" s="399"/>
      <c r="CK92" s="399"/>
      <c r="CL92" s="399"/>
      <c r="CM92" s="399"/>
      <c r="CN92" s="399"/>
      <c r="CO92" s="399"/>
      <c r="CP92" s="399"/>
      <c r="CQ92" s="399"/>
      <c r="CR92" s="399"/>
      <c r="CS92" s="399"/>
      <c r="CT92" s="399"/>
      <c r="CU92" s="399"/>
      <c r="CV92" s="399"/>
      <c r="CW92" s="399"/>
      <c r="CX92" s="399"/>
      <c r="CY92" s="399"/>
      <c r="CZ92" s="399"/>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row>
    <row r="93" spans="1:236" ht="14.15" customHeight="1">
      <c r="A93" s="6"/>
      <c r="B93" s="6"/>
      <c r="C93" s="6"/>
      <c r="D93" s="6"/>
      <c r="E93" s="6"/>
      <c r="F93" s="6"/>
      <c r="G93" s="6"/>
      <c r="H93" s="6"/>
      <c r="I93" s="6"/>
      <c r="J93" s="6"/>
      <c r="K93" s="6"/>
      <c r="L93" s="6"/>
      <c r="M93" s="14"/>
      <c r="N93" s="14"/>
      <c r="O93" s="14"/>
      <c r="P93" s="608"/>
      <c r="Q93" s="361"/>
      <c r="R93" s="361"/>
      <c r="S93" s="361"/>
      <c r="T93" s="361"/>
      <c r="U93" s="361"/>
      <c r="V93" s="361"/>
      <c r="W93" s="399"/>
      <c r="X93" s="399"/>
      <c r="Y93" s="399"/>
      <c r="Z93" s="399"/>
      <c r="AA93" s="399"/>
      <c r="AB93" s="399"/>
      <c r="AC93" s="399"/>
      <c r="AD93" s="399"/>
      <c r="AE93" s="399"/>
      <c r="AF93" s="399"/>
      <c r="AG93" s="399"/>
      <c r="AH93" s="399"/>
      <c r="AI93" s="399"/>
      <c r="AJ93" s="399"/>
      <c r="AK93" s="399"/>
      <c r="AL93" s="399"/>
      <c r="AM93" s="399"/>
      <c r="AN93" s="399"/>
      <c r="AO93" s="399"/>
      <c r="AP93" s="399"/>
      <c r="AQ93" s="399"/>
      <c r="AR93" s="399"/>
      <c r="AS93" s="399"/>
      <c r="AT93" s="399"/>
      <c r="AU93" s="399"/>
      <c r="AV93" s="399"/>
      <c r="AW93" s="399"/>
      <c r="AX93" s="399"/>
      <c r="AY93" s="399"/>
      <c r="AZ93" s="399"/>
      <c r="BA93" s="399"/>
      <c r="BB93" s="399"/>
      <c r="BC93" s="399"/>
      <c r="BD93" s="399"/>
      <c r="BE93" s="399"/>
      <c r="BF93" s="399"/>
      <c r="BG93" s="399"/>
      <c r="BH93" s="399"/>
      <c r="BI93" s="399"/>
      <c r="BJ93" s="399"/>
      <c r="BK93" s="399"/>
      <c r="BL93" s="399"/>
      <c r="BM93" s="399"/>
      <c r="BN93" s="399"/>
      <c r="BO93" s="399"/>
      <c r="BP93" s="399"/>
      <c r="BQ93" s="399"/>
      <c r="BR93" s="399"/>
      <c r="BS93" s="399"/>
      <c r="BT93" s="399"/>
      <c r="BU93" s="399"/>
      <c r="BV93" s="399"/>
      <c r="BW93" s="399"/>
      <c r="BX93" s="399"/>
      <c r="BY93" s="399"/>
      <c r="BZ93" s="399"/>
      <c r="CA93" s="399"/>
      <c r="CB93" s="399"/>
      <c r="CC93" s="399"/>
      <c r="CD93" s="399"/>
      <c r="CE93" s="399"/>
      <c r="CF93" s="399"/>
      <c r="CG93" s="399"/>
      <c r="CH93" s="399"/>
      <c r="CI93" s="399"/>
      <c r="CJ93" s="399"/>
      <c r="CK93" s="399"/>
      <c r="CL93" s="399"/>
      <c r="CM93" s="399"/>
      <c r="CN93" s="399"/>
      <c r="CO93" s="399"/>
      <c r="CP93" s="399"/>
      <c r="CQ93" s="399"/>
      <c r="CR93" s="399"/>
      <c r="CS93" s="399"/>
      <c r="CT93" s="399"/>
      <c r="CU93" s="399"/>
      <c r="CV93" s="399"/>
      <c r="CW93" s="399"/>
      <c r="CX93" s="399"/>
      <c r="CY93" s="399"/>
      <c r="CZ93" s="399"/>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row>
    <row r="94" spans="1:236" ht="14.15" customHeight="1">
      <c r="A94" s="6"/>
      <c r="B94" s="6"/>
      <c r="C94" s="6"/>
      <c r="D94" s="6"/>
      <c r="E94" s="6"/>
      <c r="F94" s="6"/>
      <c r="G94" s="6"/>
      <c r="H94" s="6"/>
      <c r="I94" s="6"/>
      <c r="J94" s="6"/>
      <c r="K94" s="6"/>
      <c r="L94" s="6"/>
      <c r="M94" s="14"/>
      <c r="N94" s="14"/>
      <c r="O94" s="14"/>
      <c r="P94" s="608"/>
      <c r="Q94" s="361"/>
      <c r="R94" s="361"/>
      <c r="S94" s="361"/>
      <c r="T94" s="361"/>
      <c r="U94" s="361"/>
      <c r="V94" s="361"/>
      <c r="W94" s="399"/>
      <c r="X94" s="399"/>
      <c r="Y94" s="399"/>
      <c r="Z94" s="399"/>
      <c r="AA94" s="399"/>
      <c r="AB94" s="399"/>
      <c r="AC94" s="399"/>
      <c r="AD94" s="399"/>
      <c r="AE94" s="399"/>
      <c r="AF94" s="399"/>
      <c r="AG94" s="399"/>
      <c r="AH94" s="399"/>
      <c r="AI94" s="399"/>
      <c r="AJ94" s="399"/>
      <c r="AK94" s="399"/>
      <c r="AL94" s="399"/>
      <c r="AM94" s="399"/>
      <c r="AN94" s="399"/>
      <c r="AO94" s="399"/>
      <c r="AP94" s="399"/>
      <c r="AQ94" s="399"/>
      <c r="AR94" s="399"/>
      <c r="AS94" s="399"/>
      <c r="AT94" s="399"/>
      <c r="AU94" s="399"/>
      <c r="AV94" s="399"/>
      <c r="AW94" s="399"/>
      <c r="AX94" s="399"/>
      <c r="AY94" s="399"/>
      <c r="AZ94" s="399"/>
      <c r="BA94" s="399"/>
      <c r="BB94" s="399"/>
      <c r="BC94" s="399"/>
      <c r="BD94" s="399"/>
      <c r="BE94" s="399"/>
      <c r="BF94" s="399"/>
      <c r="BG94" s="399"/>
      <c r="BH94" s="399"/>
      <c r="BI94" s="399"/>
      <c r="BJ94" s="399"/>
      <c r="BK94" s="399"/>
      <c r="BL94" s="399"/>
      <c r="BM94" s="399"/>
      <c r="BN94" s="399"/>
      <c r="BO94" s="399"/>
      <c r="BP94" s="399"/>
      <c r="BQ94" s="399"/>
      <c r="BR94" s="399"/>
      <c r="BS94" s="399"/>
      <c r="BT94" s="399"/>
      <c r="BU94" s="399"/>
      <c r="BV94" s="399"/>
      <c r="BW94" s="399"/>
      <c r="BX94" s="399"/>
      <c r="BY94" s="399"/>
      <c r="BZ94" s="399"/>
      <c r="CA94" s="399"/>
      <c r="CB94" s="399"/>
      <c r="CC94" s="399"/>
      <c r="CD94" s="399"/>
      <c r="CE94" s="399"/>
      <c r="CF94" s="399"/>
      <c r="CG94" s="399"/>
      <c r="CH94" s="399"/>
      <c r="CI94" s="399"/>
      <c r="CJ94" s="399"/>
      <c r="CK94" s="399"/>
      <c r="CL94" s="399"/>
      <c r="CM94" s="399"/>
      <c r="CN94" s="399"/>
      <c r="CO94" s="399"/>
      <c r="CP94" s="399"/>
      <c r="CQ94" s="399"/>
      <c r="CR94" s="399"/>
      <c r="CS94" s="399"/>
      <c r="CT94" s="399"/>
      <c r="CU94" s="399"/>
      <c r="CV94" s="399"/>
      <c r="CW94" s="399"/>
      <c r="CX94" s="399"/>
      <c r="CY94" s="399"/>
      <c r="CZ94" s="399"/>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row>
    <row r="95" spans="1:236" ht="14.15" customHeight="1">
      <c r="A95" s="6"/>
      <c r="B95" s="6"/>
      <c r="C95" s="6"/>
      <c r="D95" s="6"/>
      <c r="E95" s="6"/>
      <c r="F95" s="6"/>
      <c r="G95" s="6"/>
      <c r="H95" s="6"/>
      <c r="I95" s="6"/>
      <c r="J95" s="6"/>
      <c r="K95" s="6"/>
      <c r="L95" s="6"/>
      <c r="M95" s="14"/>
      <c r="N95" s="14"/>
      <c r="O95" s="14"/>
      <c r="P95" s="608"/>
      <c r="Q95" s="361"/>
      <c r="R95" s="361"/>
      <c r="S95" s="361"/>
      <c r="T95" s="361"/>
      <c r="U95" s="361"/>
      <c r="V95" s="361"/>
      <c r="W95" s="399"/>
      <c r="X95" s="399"/>
      <c r="Y95" s="399"/>
      <c r="Z95" s="399"/>
      <c r="AA95" s="399"/>
      <c r="AB95" s="399"/>
      <c r="AC95" s="399"/>
      <c r="AD95" s="399"/>
      <c r="AE95" s="399"/>
      <c r="AF95" s="399"/>
      <c r="AG95" s="399"/>
      <c r="AH95" s="399"/>
      <c r="AI95" s="399"/>
      <c r="AJ95" s="399"/>
      <c r="AK95" s="399"/>
      <c r="AL95" s="399"/>
      <c r="AM95" s="399"/>
      <c r="AN95" s="399"/>
      <c r="AO95" s="399"/>
      <c r="AP95" s="399"/>
      <c r="AQ95" s="399"/>
      <c r="AR95" s="399"/>
      <c r="AS95" s="399"/>
      <c r="AT95" s="399"/>
      <c r="AU95" s="399"/>
      <c r="AV95" s="399"/>
      <c r="AW95" s="399"/>
      <c r="AX95" s="399"/>
      <c r="AY95" s="399"/>
      <c r="AZ95" s="399"/>
      <c r="BA95" s="399"/>
      <c r="BB95" s="399"/>
      <c r="BC95" s="399"/>
      <c r="BD95" s="399"/>
      <c r="BE95" s="399"/>
      <c r="BF95" s="399"/>
      <c r="BG95" s="399"/>
      <c r="BH95" s="399"/>
      <c r="BI95" s="399"/>
      <c r="BJ95" s="399"/>
      <c r="BK95" s="399"/>
      <c r="BL95" s="399"/>
      <c r="BM95" s="399"/>
      <c r="BN95" s="399"/>
      <c r="BO95" s="399"/>
      <c r="BP95" s="399"/>
      <c r="BQ95" s="399"/>
      <c r="BR95" s="399"/>
      <c r="BS95" s="399"/>
      <c r="BT95" s="399"/>
      <c r="BU95" s="399"/>
      <c r="BV95" s="399"/>
      <c r="BW95" s="399"/>
      <c r="BX95" s="399"/>
      <c r="BY95" s="399"/>
      <c r="BZ95" s="399"/>
      <c r="CA95" s="399"/>
      <c r="CB95" s="399"/>
      <c r="CC95" s="399"/>
      <c r="CD95" s="399"/>
      <c r="CE95" s="399"/>
      <c r="CF95" s="399"/>
      <c r="CG95" s="399"/>
      <c r="CH95" s="399"/>
      <c r="CI95" s="399"/>
      <c r="CJ95" s="399"/>
      <c r="CK95" s="399"/>
      <c r="CL95" s="399"/>
      <c r="CM95" s="399"/>
      <c r="CN95" s="399"/>
      <c r="CO95" s="399"/>
      <c r="CP95" s="399"/>
      <c r="CQ95" s="399"/>
      <c r="CR95" s="399"/>
      <c r="CS95" s="399"/>
      <c r="CT95" s="399"/>
      <c r="CU95" s="399"/>
      <c r="CV95" s="399"/>
      <c r="CW95" s="399"/>
      <c r="CX95" s="399"/>
      <c r="CY95" s="399"/>
      <c r="CZ95" s="399"/>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row>
    <row r="96" spans="1:236" ht="14.15" customHeight="1">
      <c r="A96" s="6"/>
      <c r="B96" s="6"/>
      <c r="C96" s="6"/>
      <c r="D96" s="6"/>
      <c r="E96" s="6"/>
      <c r="F96" s="6"/>
      <c r="G96" s="6"/>
      <c r="H96" s="6"/>
      <c r="I96" s="6"/>
      <c r="J96" s="6"/>
      <c r="K96" s="6"/>
      <c r="L96" s="6"/>
      <c r="M96" s="14"/>
      <c r="N96" s="14"/>
      <c r="O96" s="14"/>
      <c r="P96" s="608"/>
      <c r="Q96" s="361"/>
      <c r="R96" s="361"/>
      <c r="S96" s="361"/>
      <c r="T96" s="361"/>
      <c r="U96" s="361"/>
      <c r="V96" s="361"/>
      <c r="W96" s="399"/>
      <c r="X96" s="399"/>
      <c r="Y96" s="399"/>
      <c r="Z96" s="399"/>
      <c r="AA96" s="399"/>
      <c r="AB96" s="399"/>
      <c r="AC96" s="399"/>
      <c r="AD96" s="399"/>
      <c r="AE96" s="399"/>
      <c r="AF96" s="399"/>
      <c r="AG96" s="399"/>
      <c r="AH96" s="399"/>
      <c r="AI96" s="399"/>
      <c r="AJ96" s="399"/>
      <c r="AK96" s="399"/>
      <c r="AL96" s="399"/>
      <c r="AM96" s="399"/>
      <c r="AN96" s="399"/>
      <c r="AO96" s="399"/>
      <c r="AP96" s="399"/>
      <c r="AQ96" s="399"/>
      <c r="AR96" s="399"/>
      <c r="AS96" s="399"/>
      <c r="AT96" s="399"/>
      <c r="AU96" s="399"/>
      <c r="AV96" s="399"/>
      <c r="AW96" s="399"/>
      <c r="AX96" s="399"/>
      <c r="AY96" s="399"/>
      <c r="AZ96" s="399"/>
      <c r="BA96" s="399"/>
      <c r="BB96" s="399"/>
      <c r="BC96" s="399"/>
      <c r="BD96" s="399"/>
      <c r="BE96" s="399"/>
      <c r="BF96" s="399"/>
      <c r="BG96" s="399"/>
      <c r="BH96" s="399"/>
      <c r="BI96" s="399"/>
      <c r="BJ96" s="399"/>
      <c r="BK96" s="399"/>
      <c r="BL96" s="399"/>
      <c r="BM96" s="399"/>
      <c r="BN96" s="399"/>
      <c r="BO96" s="399"/>
      <c r="BP96" s="399"/>
      <c r="BQ96" s="399"/>
      <c r="BR96" s="399"/>
      <c r="BS96" s="399"/>
      <c r="BT96" s="399"/>
      <c r="BU96" s="399"/>
      <c r="BV96" s="399"/>
      <c r="BW96" s="399"/>
      <c r="BX96" s="399"/>
      <c r="BY96" s="399"/>
      <c r="BZ96" s="399"/>
      <c r="CA96" s="399"/>
      <c r="CB96" s="399"/>
      <c r="CC96" s="399"/>
      <c r="CD96" s="399"/>
      <c r="CE96" s="399"/>
      <c r="CF96" s="399"/>
      <c r="CG96" s="399"/>
      <c r="CH96" s="399"/>
      <c r="CI96" s="399"/>
      <c r="CJ96" s="399"/>
      <c r="CK96" s="399"/>
      <c r="CL96" s="399"/>
      <c r="CM96" s="399"/>
      <c r="CN96" s="399"/>
      <c r="CO96" s="399"/>
      <c r="CP96" s="399"/>
      <c r="CQ96" s="399"/>
      <c r="CR96" s="399"/>
      <c r="CS96" s="399"/>
      <c r="CT96" s="399"/>
      <c r="CU96" s="399"/>
      <c r="CV96" s="399"/>
      <c r="CW96" s="399"/>
      <c r="CX96" s="399"/>
      <c r="CY96" s="399"/>
      <c r="CZ96" s="399"/>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row>
    <row r="97" spans="1:236" ht="14.15" customHeight="1">
      <c r="A97" s="6"/>
      <c r="B97" s="6"/>
      <c r="C97" s="6"/>
      <c r="D97" s="6"/>
      <c r="E97" s="6"/>
      <c r="F97" s="6"/>
      <c r="G97" s="6"/>
      <c r="H97" s="6"/>
      <c r="I97" s="6"/>
      <c r="J97" s="6"/>
      <c r="K97" s="6"/>
      <c r="L97" s="6"/>
      <c r="M97" s="14"/>
      <c r="N97" s="14"/>
      <c r="O97" s="14"/>
      <c r="P97" s="608"/>
      <c r="Q97" s="361"/>
      <c r="R97" s="361"/>
      <c r="S97" s="361"/>
      <c r="T97" s="361"/>
      <c r="U97" s="361"/>
      <c r="V97" s="361"/>
      <c r="W97" s="399"/>
      <c r="X97" s="399"/>
      <c r="Y97" s="399"/>
      <c r="Z97" s="399"/>
      <c r="AA97" s="399"/>
      <c r="AB97" s="399"/>
      <c r="AC97" s="399"/>
      <c r="AD97" s="399"/>
      <c r="AE97" s="399"/>
      <c r="AF97" s="399"/>
      <c r="AG97" s="399"/>
      <c r="AH97" s="399"/>
      <c r="AI97" s="399"/>
      <c r="AJ97" s="399"/>
      <c r="AK97" s="399"/>
      <c r="AL97" s="399"/>
      <c r="AM97" s="399"/>
      <c r="AN97" s="399"/>
      <c r="AO97" s="399"/>
      <c r="AP97" s="399"/>
      <c r="AQ97" s="399"/>
      <c r="AR97" s="399"/>
      <c r="AS97" s="399"/>
      <c r="AT97" s="399"/>
      <c r="AU97" s="399"/>
      <c r="AV97" s="399"/>
      <c r="AW97" s="399"/>
      <c r="AX97" s="399"/>
      <c r="AY97" s="399"/>
      <c r="AZ97" s="399"/>
      <c r="BA97" s="399"/>
      <c r="BB97" s="399"/>
      <c r="BC97" s="399"/>
      <c r="BD97" s="399"/>
      <c r="BE97" s="399"/>
      <c r="BF97" s="399"/>
      <c r="BG97" s="399"/>
      <c r="BH97" s="399"/>
      <c r="BI97" s="399"/>
      <c r="BJ97" s="399"/>
      <c r="BK97" s="399"/>
      <c r="BL97" s="399"/>
      <c r="BM97" s="399"/>
      <c r="BN97" s="399"/>
      <c r="BO97" s="399"/>
      <c r="BP97" s="399"/>
      <c r="BQ97" s="399"/>
      <c r="BR97" s="399"/>
      <c r="BS97" s="399"/>
      <c r="BT97" s="399"/>
      <c r="BU97" s="399"/>
      <c r="BV97" s="399"/>
      <c r="BW97" s="399"/>
      <c r="BX97" s="399"/>
      <c r="BY97" s="399"/>
      <c r="BZ97" s="399"/>
      <c r="CA97" s="399"/>
      <c r="CB97" s="399"/>
      <c r="CC97" s="399"/>
      <c r="CD97" s="399"/>
      <c r="CE97" s="399"/>
      <c r="CF97" s="399"/>
      <c r="CG97" s="399"/>
      <c r="CH97" s="399"/>
      <c r="CI97" s="399"/>
      <c r="CJ97" s="399"/>
      <c r="CK97" s="399"/>
      <c r="CL97" s="399"/>
      <c r="CM97" s="399"/>
      <c r="CN97" s="399"/>
      <c r="CO97" s="399"/>
      <c r="CP97" s="399"/>
      <c r="CQ97" s="399"/>
      <c r="CR97" s="399"/>
      <c r="CS97" s="399"/>
      <c r="CT97" s="399"/>
      <c r="CU97" s="399"/>
      <c r="CV97" s="399"/>
      <c r="CW97" s="399"/>
      <c r="CX97" s="399"/>
      <c r="CY97" s="399"/>
      <c r="CZ97" s="399"/>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row>
    <row r="98" spans="1:236" ht="14.15" customHeight="1">
      <c r="A98" s="6"/>
      <c r="B98" s="6"/>
      <c r="C98" s="6"/>
      <c r="D98" s="6"/>
      <c r="E98" s="6"/>
      <c r="F98" s="6"/>
      <c r="G98" s="6"/>
      <c r="H98" s="6"/>
      <c r="I98" s="6"/>
      <c r="J98" s="6"/>
      <c r="K98" s="6"/>
      <c r="L98" s="6"/>
      <c r="M98" s="14"/>
      <c r="N98" s="14"/>
      <c r="O98" s="14"/>
      <c r="P98" s="608"/>
      <c r="Q98" s="361"/>
      <c r="R98" s="361"/>
      <c r="S98" s="361"/>
      <c r="T98" s="361"/>
      <c r="U98" s="361"/>
      <c r="V98" s="361"/>
      <c r="W98" s="399"/>
      <c r="X98" s="399"/>
      <c r="Y98" s="399"/>
      <c r="Z98" s="399"/>
      <c r="AA98" s="399"/>
      <c r="AB98" s="399"/>
      <c r="AC98" s="399"/>
      <c r="AD98" s="399"/>
      <c r="AE98" s="399"/>
      <c r="AF98" s="399"/>
      <c r="AG98" s="399"/>
      <c r="AH98" s="399"/>
      <c r="AI98" s="399"/>
      <c r="AJ98" s="399"/>
      <c r="AK98" s="399"/>
      <c r="AL98" s="399"/>
      <c r="AM98" s="399"/>
      <c r="AN98" s="399"/>
      <c r="AO98" s="399"/>
      <c r="AP98" s="399"/>
      <c r="AQ98" s="399"/>
      <c r="AR98" s="399"/>
      <c r="AS98" s="399"/>
      <c r="AT98" s="399"/>
      <c r="AU98" s="399"/>
      <c r="AV98" s="399"/>
      <c r="AW98" s="399"/>
      <c r="AX98" s="399"/>
      <c r="AY98" s="399"/>
      <c r="AZ98" s="399"/>
      <c r="BA98" s="399"/>
      <c r="BB98" s="399"/>
      <c r="BC98" s="399"/>
      <c r="BD98" s="399"/>
      <c r="BE98" s="399"/>
      <c r="BF98" s="399"/>
      <c r="BG98" s="399"/>
      <c r="BH98" s="399"/>
      <c r="BI98" s="399"/>
      <c r="BJ98" s="399"/>
      <c r="BK98" s="399"/>
      <c r="BL98" s="399"/>
      <c r="BM98" s="399"/>
      <c r="BN98" s="399"/>
      <c r="BO98" s="399"/>
      <c r="BP98" s="399"/>
      <c r="BQ98" s="399"/>
      <c r="BR98" s="399"/>
      <c r="BS98" s="399"/>
      <c r="BT98" s="399"/>
      <c r="BU98" s="399"/>
      <c r="BV98" s="399"/>
      <c r="BW98" s="399"/>
      <c r="BX98" s="399"/>
      <c r="BY98" s="399"/>
      <c r="BZ98" s="399"/>
      <c r="CA98" s="399"/>
      <c r="CB98" s="399"/>
      <c r="CC98" s="399"/>
      <c r="CD98" s="399"/>
      <c r="CE98" s="399"/>
      <c r="CF98" s="399"/>
      <c r="CG98" s="399"/>
      <c r="CH98" s="399"/>
      <c r="CI98" s="399"/>
      <c r="CJ98" s="399"/>
      <c r="CK98" s="399"/>
      <c r="CL98" s="399"/>
      <c r="CM98" s="399"/>
      <c r="CN98" s="399"/>
      <c r="CO98" s="399"/>
      <c r="CP98" s="399"/>
      <c r="CQ98" s="399"/>
      <c r="CR98" s="399"/>
      <c r="CS98" s="399"/>
      <c r="CT98" s="399"/>
      <c r="CU98" s="399"/>
      <c r="CV98" s="399"/>
      <c r="CW98" s="399"/>
      <c r="CX98" s="399"/>
      <c r="CY98" s="399"/>
      <c r="CZ98" s="399"/>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row>
    <row r="99" spans="1:236" ht="14.15" customHeight="1">
      <c r="A99" s="6"/>
      <c r="B99" s="6"/>
      <c r="C99" s="6"/>
      <c r="D99" s="6"/>
      <c r="E99" s="6"/>
      <c r="F99" s="6"/>
      <c r="G99" s="6"/>
      <c r="H99" s="6"/>
      <c r="I99" s="6"/>
      <c r="J99" s="6"/>
      <c r="K99" s="6"/>
      <c r="L99" s="6"/>
      <c r="M99" s="14"/>
      <c r="N99" s="14"/>
      <c r="O99" s="14"/>
      <c r="P99" s="608"/>
      <c r="Q99" s="361"/>
      <c r="R99" s="361"/>
      <c r="S99" s="361"/>
      <c r="T99" s="361"/>
      <c r="U99" s="361"/>
      <c r="V99" s="361"/>
      <c r="W99" s="399"/>
      <c r="X99" s="399"/>
      <c r="Y99" s="399"/>
      <c r="Z99" s="399"/>
      <c r="AA99" s="399"/>
      <c r="AB99" s="399"/>
      <c r="AC99" s="399"/>
      <c r="AD99" s="399"/>
      <c r="AE99" s="399"/>
      <c r="AF99" s="399"/>
      <c r="AG99" s="399"/>
      <c r="AH99" s="399"/>
      <c r="AI99" s="399"/>
      <c r="AJ99" s="399"/>
      <c r="AK99" s="399"/>
      <c r="AL99" s="399"/>
      <c r="AM99" s="399"/>
      <c r="AN99" s="399"/>
      <c r="AO99" s="399"/>
      <c r="AP99" s="399"/>
      <c r="AQ99" s="399"/>
      <c r="AR99" s="399"/>
      <c r="AS99" s="399"/>
      <c r="AT99" s="399"/>
      <c r="AU99" s="399"/>
      <c r="AV99" s="399"/>
      <c r="AW99" s="399"/>
      <c r="AX99" s="399"/>
      <c r="AY99" s="399"/>
      <c r="AZ99" s="399"/>
      <c r="BA99" s="399"/>
      <c r="BB99" s="399"/>
      <c r="BC99" s="399"/>
      <c r="BD99" s="399"/>
      <c r="BE99" s="399"/>
      <c r="BF99" s="399"/>
      <c r="BG99" s="399"/>
      <c r="BH99" s="399"/>
      <c r="BI99" s="399"/>
      <c r="BJ99" s="399"/>
      <c r="BK99" s="399"/>
      <c r="BL99" s="399"/>
      <c r="BM99" s="399"/>
      <c r="BN99" s="399"/>
      <c r="BO99" s="399"/>
      <c r="BP99" s="399"/>
      <c r="BQ99" s="399"/>
      <c r="BR99" s="399"/>
      <c r="BS99" s="399"/>
      <c r="BT99" s="399"/>
      <c r="BU99" s="399"/>
      <c r="BV99" s="399"/>
      <c r="BW99" s="399"/>
      <c r="BX99" s="399"/>
      <c r="BY99" s="399"/>
      <c r="BZ99" s="399"/>
      <c r="CA99" s="399"/>
      <c r="CB99" s="399"/>
      <c r="CC99" s="399"/>
      <c r="CD99" s="399"/>
      <c r="CE99" s="399"/>
      <c r="CF99" s="399"/>
      <c r="CG99" s="399"/>
      <c r="CH99" s="399"/>
      <c r="CI99" s="399"/>
      <c r="CJ99" s="399"/>
      <c r="CK99" s="399"/>
      <c r="CL99" s="399"/>
      <c r="CM99" s="399"/>
      <c r="CN99" s="399"/>
      <c r="CO99" s="399"/>
      <c r="CP99" s="399"/>
      <c r="CQ99" s="399"/>
      <c r="CR99" s="399"/>
      <c r="CS99" s="399"/>
      <c r="CT99" s="399"/>
      <c r="CU99" s="399"/>
      <c r="CV99" s="399"/>
      <c r="CW99" s="399"/>
      <c r="CX99" s="399"/>
      <c r="CY99" s="399"/>
      <c r="CZ99" s="399"/>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row>
    <row r="100" spans="1:236" ht="14.15" customHeight="1">
      <c r="A100" s="6"/>
      <c r="B100" s="6"/>
      <c r="C100" s="6"/>
      <c r="D100" s="6"/>
      <c r="E100" s="6"/>
      <c r="F100" s="6"/>
      <c r="G100" s="6"/>
      <c r="H100" s="6"/>
      <c r="I100" s="6"/>
      <c r="J100" s="6"/>
      <c r="K100" s="6"/>
      <c r="L100" s="6"/>
      <c r="M100" s="14"/>
      <c r="N100" s="14"/>
      <c r="O100" s="14"/>
      <c r="P100" s="608"/>
      <c r="Q100" s="361"/>
      <c r="R100" s="361"/>
      <c r="S100" s="361"/>
      <c r="T100" s="361"/>
      <c r="U100" s="361"/>
      <c r="V100" s="361"/>
      <c r="W100" s="399"/>
      <c r="X100" s="399"/>
      <c r="Y100" s="399"/>
      <c r="Z100" s="399"/>
      <c r="AA100" s="399"/>
      <c r="AB100" s="399"/>
      <c r="AC100" s="399"/>
      <c r="AD100" s="399"/>
      <c r="AE100" s="399"/>
      <c r="AF100" s="399"/>
      <c r="AG100" s="399"/>
      <c r="AH100" s="399"/>
      <c r="AI100" s="399"/>
      <c r="AJ100" s="399"/>
      <c r="AK100" s="399"/>
      <c r="AL100" s="399"/>
      <c r="AM100" s="399"/>
      <c r="AN100" s="399"/>
      <c r="AO100" s="399"/>
      <c r="AP100" s="399"/>
      <c r="AQ100" s="399"/>
      <c r="AR100" s="399"/>
      <c r="AS100" s="399"/>
      <c r="AT100" s="399"/>
      <c r="AU100" s="399"/>
      <c r="AV100" s="399"/>
      <c r="AW100" s="399"/>
      <c r="AX100" s="399"/>
      <c r="AY100" s="399"/>
      <c r="AZ100" s="399"/>
      <c r="BA100" s="399"/>
      <c r="BB100" s="399"/>
      <c r="BC100" s="399"/>
      <c r="BD100" s="399"/>
      <c r="BE100" s="399"/>
      <c r="BF100" s="399"/>
      <c r="BG100" s="399"/>
      <c r="BH100" s="399"/>
      <c r="BI100" s="399"/>
      <c r="BJ100" s="399"/>
      <c r="BK100" s="399"/>
      <c r="BL100" s="399"/>
      <c r="BM100" s="399"/>
      <c r="BN100" s="399"/>
      <c r="BO100" s="399"/>
      <c r="BP100" s="399"/>
      <c r="BQ100" s="399"/>
      <c r="BR100" s="399"/>
      <c r="BS100" s="399"/>
      <c r="BT100" s="399"/>
      <c r="BU100" s="399"/>
      <c r="BV100" s="399"/>
      <c r="BW100" s="399"/>
      <c r="BX100" s="399"/>
      <c r="BY100" s="399"/>
      <c r="BZ100" s="399"/>
      <c r="CA100" s="399"/>
      <c r="CB100" s="399"/>
      <c r="CC100" s="399"/>
      <c r="CD100" s="399"/>
      <c r="CE100" s="399"/>
      <c r="CF100" s="399"/>
      <c r="CG100" s="399"/>
      <c r="CH100" s="399"/>
      <c r="CI100" s="399"/>
      <c r="CJ100" s="399"/>
      <c r="CK100" s="399"/>
      <c r="CL100" s="399"/>
      <c r="CM100" s="399"/>
      <c r="CN100" s="399"/>
      <c r="CO100" s="399"/>
      <c r="CP100" s="399"/>
      <c r="CQ100" s="399"/>
      <c r="CR100" s="399"/>
      <c r="CS100" s="399"/>
      <c r="CT100" s="399"/>
      <c r="CU100" s="399"/>
      <c r="CV100" s="399"/>
      <c r="CW100" s="399"/>
      <c r="CX100" s="399"/>
      <c r="CY100" s="399"/>
      <c r="CZ100" s="399"/>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row>
    <row r="101" spans="1:236" ht="14.15" customHeight="1">
      <c r="A101" s="6"/>
      <c r="B101" s="6"/>
      <c r="C101" s="6"/>
      <c r="D101" s="6"/>
      <c r="E101" s="6"/>
      <c r="F101" s="6"/>
      <c r="G101" s="6"/>
      <c r="H101" s="6"/>
      <c r="I101" s="6"/>
      <c r="J101" s="6"/>
      <c r="K101" s="6"/>
      <c r="L101" s="6"/>
      <c r="M101" s="14"/>
      <c r="N101" s="14"/>
      <c r="O101" s="14"/>
      <c r="P101" s="608"/>
      <c r="Q101" s="361"/>
      <c r="R101" s="361"/>
      <c r="S101" s="361"/>
      <c r="T101" s="361"/>
      <c r="U101" s="361"/>
      <c r="V101" s="361"/>
      <c r="W101" s="399"/>
      <c r="X101" s="399"/>
      <c r="Y101" s="399"/>
      <c r="Z101" s="399"/>
      <c r="AA101" s="399"/>
      <c r="AB101" s="399"/>
      <c r="AC101" s="399"/>
      <c r="AD101" s="399"/>
      <c r="AE101" s="399"/>
      <c r="AF101" s="399"/>
      <c r="AG101" s="399"/>
      <c r="AH101" s="399"/>
      <c r="AI101" s="399"/>
      <c r="AJ101" s="399"/>
      <c r="AK101" s="399"/>
      <c r="AL101" s="399"/>
      <c r="AM101" s="399"/>
      <c r="AN101" s="399"/>
      <c r="AO101" s="399"/>
      <c r="AP101" s="399"/>
      <c r="AQ101" s="399"/>
      <c r="AR101" s="399"/>
      <c r="AS101" s="399"/>
      <c r="AT101" s="399"/>
      <c r="AU101" s="399"/>
      <c r="AV101" s="399"/>
      <c r="AW101" s="399"/>
      <c r="AX101" s="399"/>
      <c r="AY101" s="399"/>
      <c r="AZ101" s="399"/>
      <c r="BA101" s="399"/>
      <c r="BB101" s="399"/>
      <c r="BC101" s="399"/>
      <c r="BD101" s="399"/>
      <c r="BE101" s="399"/>
      <c r="BF101" s="399"/>
      <c r="BG101" s="399"/>
      <c r="BH101" s="399"/>
      <c r="BI101" s="399"/>
      <c r="BJ101" s="399"/>
      <c r="BK101" s="399"/>
      <c r="BL101" s="399"/>
      <c r="BM101" s="399"/>
      <c r="BN101" s="399"/>
      <c r="BO101" s="399"/>
      <c r="BP101" s="399"/>
      <c r="BQ101" s="399"/>
      <c r="BR101" s="399"/>
      <c r="BS101" s="399"/>
      <c r="BT101" s="399"/>
      <c r="BU101" s="399"/>
      <c r="BV101" s="399"/>
      <c r="BW101" s="399"/>
      <c r="BX101" s="399"/>
      <c r="BY101" s="399"/>
      <c r="BZ101" s="399"/>
      <c r="CA101" s="399"/>
      <c r="CB101" s="399"/>
      <c r="CC101" s="399"/>
      <c r="CD101" s="399"/>
      <c r="CE101" s="399"/>
      <c r="CF101" s="399"/>
      <c r="CG101" s="399"/>
      <c r="CH101" s="399"/>
      <c r="CI101" s="399"/>
      <c r="CJ101" s="399"/>
      <c r="CK101" s="399"/>
      <c r="CL101" s="399"/>
      <c r="CM101" s="399"/>
      <c r="CN101" s="399"/>
      <c r="CO101" s="399"/>
      <c r="CP101" s="399"/>
      <c r="CQ101" s="399"/>
      <c r="CR101" s="399"/>
      <c r="CS101" s="399"/>
      <c r="CT101" s="399"/>
      <c r="CU101" s="399"/>
      <c r="CV101" s="399"/>
      <c r="CW101" s="399"/>
      <c r="CX101" s="399"/>
      <c r="CY101" s="399"/>
      <c r="CZ101" s="399"/>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row>
    <row r="102" spans="1:236" ht="14.15" customHeight="1">
      <c r="A102" s="6"/>
      <c r="B102" s="6"/>
      <c r="C102" s="6"/>
      <c r="D102" s="6"/>
      <c r="E102" s="6"/>
      <c r="F102" s="6"/>
      <c r="G102" s="6"/>
      <c r="H102" s="6"/>
      <c r="I102" s="6"/>
      <c r="J102" s="6"/>
      <c r="K102" s="6"/>
      <c r="L102" s="6"/>
      <c r="M102" s="14"/>
      <c r="N102" s="14"/>
      <c r="O102" s="14"/>
      <c r="P102" s="608"/>
      <c r="Q102" s="361"/>
      <c r="R102" s="361"/>
      <c r="S102" s="361"/>
      <c r="T102" s="361"/>
      <c r="U102" s="361"/>
      <c r="V102" s="361"/>
      <c r="W102" s="399"/>
      <c r="X102" s="399"/>
      <c r="Y102" s="399"/>
      <c r="Z102" s="399"/>
      <c r="AA102" s="399"/>
      <c r="AB102" s="399"/>
      <c r="AC102" s="399"/>
      <c r="AD102" s="399"/>
      <c r="AE102" s="399"/>
      <c r="AF102" s="399"/>
      <c r="AG102" s="399"/>
      <c r="AH102" s="399"/>
      <c r="AI102" s="399"/>
      <c r="AJ102" s="399"/>
      <c r="AK102" s="399"/>
      <c r="AL102" s="399"/>
      <c r="AM102" s="399"/>
      <c r="AN102" s="399"/>
      <c r="AO102" s="399"/>
      <c r="AP102" s="399"/>
      <c r="AQ102" s="399"/>
      <c r="AR102" s="399"/>
      <c r="AS102" s="399"/>
      <c r="AT102" s="399"/>
      <c r="AU102" s="399"/>
      <c r="AV102" s="399"/>
      <c r="AW102" s="399"/>
      <c r="AX102" s="399"/>
      <c r="AY102" s="399"/>
      <c r="AZ102" s="399"/>
      <c r="BA102" s="399"/>
      <c r="BB102" s="399"/>
      <c r="BC102" s="399"/>
      <c r="BD102" s="399"/>
      <c r="BE102" s="399"/>
      <c r="BF102" s="399"/>
      <c r="BG102" s="399"/>
      <c r="BH102" s="399"/>
      <c r="BI102" s="399"/>
      <c r="BJ102" s="399"/>
      <c r="BK102" s="399"/>
      <c r="BL102" s="399"/>
      <c r="BM102" s="399"/>
      <c r="BN102" s="399"/>
      <c r="BO102" s="399"/>
      <c r="BP102" s="399"/>
      <c r="BQ102" s="399"/>
      <c r="BR102" s="399"/>
      <c r="BS102" s="399"/>
      <c r="BT102" s="399"/>
      <c r="BU102" s="399"/>
      <c r="BV102" s="399"/>
      <c r="BW102" s="399"/>
      <c r="BX102" s="399"/>
      <c r="BY102" s="399"/>
      <c r="BZ102" s="399"/>
      <c r="CA102" s="399"/>
      <c r="CB102" s="399"/>
      <c r="CC102" s="399"/>
      <c r="CD102" s="399"/>
      <c r="CE102" s="399"/>
      <c r="CF102" s="399"/>
      <c r="CG102" s="399"/>
      <c r="CH102" s="399"/>
      <c r="CI102" s="399"/>
      <c r="CJ102" s="399"/>
      <c r="CK102" s="399"/>
      <c r="CL102" s="399"/>
      <c r="CM102" s="399"/>
      <c r="CN102" s="399"/>
      <c r="CO102" s="399"/>
      <c r="CP102" s="399"/>
      <c r="CQ102" s="399"/>
      <c r="CR102" s="399"/>
      <c r="CS102" s="399"/>
      <c r="CT102" s="399"/>
      <c r="CU102" s="399"/>
      <c r="CV102" s="399"/>
      <c r="CW102" s="399"/>
      <c r="CX102" s="399"/>
      <c r="CY102" s="399"/>
      <c r="CZ102" s="399"/>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row>
    <row r="103" spans="1:236" ht="14.15" customHeight="1">
      <c r="A103" s="6"/>
      <c r="B103" s="6"/>
      <c r="C103" s="6"/>
      <c r="D103" s="6"/>
      <c r="E103" s="6"/>
      <c r="F103" s="6"/>
      <c r="G103" s="6"/>
      <c r="H103" s="6"/>
      <c r="I103" s="6"/>
      <c r="J103" s="6"/>
      <c r="K103" s="6"/>
      <c r="L103" s="6"/>
      <c r="M103" s="14"/>
      <c r="N103" s="14"/>
      <c r="O103" s="14"/>
      <c r="P103" s="608"/>
      <c r="Q103" s="361"/>
      <c r="R103" s="361"/>
      <c r="S103" s="361"/>
      <c r="T103" s="361"/>
      <c r="U103" s="361"/>
      <c r="V103" s="361"/>
      <c r="W103" s="399"/>
      <c r="X103" s="399"/>
      <c r="Y103" s="399"/>
      <c r="Z103" s="399"/>
      <c r="AA103" s="399"/>
      <c r="AB103" s="399"/>
      <c r="AC103" s="399"/>
      <c r="AD103" s="399"/>
      <c r="AE103" s="399"/>
      <c r="AF103" s="399"/>
      <c r="AG103" s="399"/>
      <c r="AH103" s="399"/>
      <c r="AI103" s="399"/>
      <c r="AJ103" s="399"/>
      <c r="AK103" s="399"/>
      <c r="AL103" s="399"/>
      <c r="AM103" s="399"/>
      <c r="AN103" s="399"/>
      <c r="AO103" s="399"/>
      <c r="AP103" s="399"/>
      <c r="AQ103" s="399"/>
      <c r="AR103" s="399"/>
      <c r="AS103" s="399"/>
      <c r="AT103" s="399"/>
      <c r="AU103" s="399"/>
      <c r="AV103" s="399"/>
      <c r="AW103" s="399"/>
      <c r="AX103" s="399"/>
      <c r="AY103" s="399"/>
      <c r="AZ103" s="399"/>
      <c r="BA103" s="399"/>
      <c r="BB103" s="399"/>
      <c r="BC103" s="399"/>
      <c r="BD103" s="399"/>
      <c r="BE103" s="399"/>
      <c r="BF103" s="399"/>
      <c r="BG103" s="399"/>
      <c r="BH103" s="399"/>
      <c r="BI103" s="399"/>
      <c r="BJ103" s="399"/>
      <c r="BK103" s="399"/>
      <c r="BL103" s="399"/>
      <c r="BM103" s="399"/>
      <c r="BN103" s="399"/>
      <c r="BO103" s="399"/>
      <c r="BP103" s="399"/>
      <c r="BQ103" s="399"/>
      <c r="BR103" s="399"/>
      <c r="BS103" s="399"/>
      <c r="BT103" s="399"/>
      <c r="BU103" s="399"/>
      <c r="BV103" s="399"/>
      <c r="BW103" s="399"/>
      <c r="BX103" s="399"/>
      <c r="BY103" s="399"/>
      <c r="BZ103" s="399"/>
      <c r="CA103" s="399"/>
      <c r="CB103" s="399"/>
      <c r="CC103" s="399"/>
      <c r="CD103" s="399"/>
      <c r="CE103" s="399"/>
      <c r="CF103" s="399"/>
      <c r="CG103" s="399"/>
      <c r="CH103" s="399"/>
      <c r="CI103" s="399"/>
      <c r="CJ103" s="399"/>
      <c r="CK103" s="399"/>
      <c r="CL103" s="399"/>
      <c r="CM103" s="399"/>
      <c r="CN103" s="399"/>
      <c r="CO103" s="399"/>
      <c r="CP103" s="399"/>
      <c r="CQ103" s="399"/>
      <c r="CR103" s="399"/>
      <c r="CS103" s="399"/>
      <c r="CT103" s="399"/>
      <c r="CU103" s="399"/>
      <c r="CV103" s="399"/>
      <c r="CW103" s="399"/>
      <c r="CX103" s="399"/>
      <c r="CY103" s="399"/>
      <c r="CZ103" s="399"/>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row>
    <row r="104" spans="1:236" ht="14.15" customHeight="1">
      <c r="A104" s="6"/>
      <c r="B104" s="6"/>
      <c r="C104" s="6"/>
      <c r="D104" s="6"/>
      <c r="E104" s="6"/>
      <c r="F104" s="6"/>
      <c r="G104" s="6"/>
      <c r="H104" s="6"/>
      <c r="I104" s="6"/>
      <c r="J104" s="6"/>
      <c r="K104" s="6"/>
      <c r="L104" s="6"/>
      <c r="M104" s="14"/>
      <c r="N104" s="14"/>
      <c r="O104" s="14"/>
      <c r="P104" s="608"/>
      <c r="Q104" s="361"/>
      <c r="R104" s="361"/>
      <c r="S104" s="361"/>
      <c r="T104" s="361"/>
      <c r="U104" s="361"/>
      <c r="V104" s="361"/>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c r="AV104" s="399"/>
      <c r="AW104" s="399"/>
      <c r="AX104" s="399"/>
      <c r="AY104" s="399"/>
      <c r="AZ104" s="399"/>
      <c r="BA104" s="399"/>
      <c r="BB104" s="399"/>
      <c r="BC104" s="399"/>
      <c r="BD104" s="399"/>
      <c r="BE104" s="399"/>
      <c r="BF104" s="399"/>
      <c r="BG104" s="399"/>
      <c r="BH104" s="399"/>
      <c r="BI104" s="399"/>
      <c r="BJ104" s="399"/>
      <c r="BK104" s="399"/>
      <c r="BL104" s="399"/>
      <c r="BM104" s="399"/>
      <c r="BN104" s="399"/>
      <c r="BO104" s="399"/>
      <c r="BP104" s="399"/>
      <c r="BQ104" s="399"/>
      <c r="BR104" s="399"/>
      <c r="BS104" s="399"/>
      <c r="BT104" s="399"/>
      <c r="BU104" s="399"/>
      <c r="BV104" s="399"/>
      <c r="BW104" s="399"/>
      <c r="BX104" s="399"/>
      <c r="BY104" s="399"/>
      <c r="BZ104" s="399"/>
      <c r="CA104" s="399"/>
      <c r="CB104" s="399"/>
      <c r="CC104" s="399"/>
      <c r="CD104" s="399"/>
      <c r="CE104" s="399"/>
      <c r="CF104" s="399"/>
      <c r="CG104" s="399"/>
      <c r="CH104" s="399"/>
      <c r="CI104" s="399"/>
      <c r="CJ104" s="399"/>
      <c r="CK104" s="399"/>
      <c r="CL104" s="399"/>
      <c r="CM104" s="399"/>
      <c r="CN104" s="399"/>
      <c r="CO104" s="399"/>
      <c r="CP104" s="399"/>
      <c r="CQ104" s="399"/>
      <c r="CR104" s="399"/>
      <c r="CS104" s="399"/>
      <c r="CT104" s="399"/>
      <c r="CU104" s="399"/>
      <c r="CV104" s="399"/>
      <c r="CW104" s="399"/>
      <c r="CX104" s="399"/>
      <c r="CY104" s="399"/>
      <c r="CZ104" s="399"/>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row>
    <row r="105" spans="1:236" ht="14.15" customHeight="1">
      <c r="A105" s="6"/>
      <c r="B105" s="6"/>
      <c r="C105" s="6"/>
      <c r="D105" s="6"/>
      <c r="E105" s="6"/>
      <c r="F105" s="6"/>
      <c r="G105" s="6"/>
      <c r="H105" s="6"/>
      <c r="I105" s="6"/>
      <c r="J105" s="6"/>
      <c r="K105" s="6"/>
      <c r="L105" s="6"/>
      <c r="M105" s="14"/>
      <c r="N105" s="14"/>
      <c r="O105" s="14"/>
      <c r="P105" s="608"/>
      <c r="Q105" s="361"/>
      <c r="R105" s="361"/>
      <c r="S105" s="361"/>
      <c r="T105" s="361"/>
      <c r="U105" s="361"/>
      <c r="V105" s="361"/>
      <c r="W105" s="399"/>
      <c r="X105" s="399"/>
      <c r="Y105" s="399"/>
      <c r="Z105" s="399"/>
      <c r="AA105" s="399"/>
      <c r="AB105" s="399"/>
      <c r="AC105" s="399"/>
      <c r="AD105" s="399"/>
      <c r="AE105" s="399"/>
      <c r="AF105" s="399"/>
      <c r="AG105" s="399"/>
      <c r="AH105" s="399"/>
      <c r="AI105" s="399"/>
      <c r="AJ105" s="399"/>
      <c r="AK105" s="399"/>
      <c r="AL105" s="399"/>
      <c r="AM105" s="399"/>
      <c r="AN105" s="399"/>
      <c r="AO105" s="399"/>
      <c r="AP105" s="399"/>
      <c r="AQ105" s="399"/>
      <c r="AR105" s="399"/>
      <c r="AS105" s="399"/>
      <c r="AT105" s="399"/>
      <c r="AU105" s="399"/>
      <c r="AV105" s="399"/>
      <c r="AW105" s="399"/>
      <c r="AX105" s="399"/>
      <c r="AY105" s="399"/>
      <c r="AZ105" s="399"/>
      <c r="BA105" s="399"/>
      <c r="BB105" s="399"/>
      <c r="BC105" s="399"/>
      <c r="BD105" s="399"/>
      <c r="BE105" s="399"/>
      <c r="BF105" s="399"/>
      <c r="BG105" s="399"/>
      <c r="BH105" s="399"/>
      <c r="BI105" s="399"/>
      <c r="BJ105" s="399"/>
      <c r="BK105" s="399"/>
      <c r="BL105" s="399"/>
      <c r="BM105" s="399"/>
      <c r="BN105" s="399"/>
      <c r="BO105" s="399"/>
      <c r="BP105" s="399"/>
      <c r="BQ105" s="399"/>
      <c r="BR105" s="399"/>
      <c r="BS105" s="399"/>
      <c r="BT105" s="399"/>
      <c r="BU105" s="399"/>
      <c r="BV105" s="399"/>
      <c r="BW105" s="399"/>
      <c r="BX105" s="399"/>
      <c r="BY105" s="399"/>
      <c r="BZ105" s="399"/>
      <c r="CA105" s="399"/>
      <c r="CB105" s="399"/>
      <c r="CC105" s="399"/>
      <c r="CD105" s="399"/>
      <c r="CE105" s="399"/>
      <c r="CF105" s="399"/>
      <c r="CG105" s="399"/>
      <c r="CH105" s="399"/>
      <c r="CI105" s="399"/>
      <c r="CJ105" s="399"/>
      <c r="CK105" s="399"/>
      <c r="CL105" s="399"/>
      <c r="CM105" s="399"/>
      <c r="CN105" s="399"/>
      <c r="CO105" s="399"/>
      <c r="CP105" s="399"/>
      <c r="CQ105" s="399"/>
      <c r="CR105" s="399"/>
      <c r="CS105" s="399"/>
      <c r="CT105" s="399"/>
      <c r="CU105" s="399"/>
      <c r="CV105" s="399"/>
      <c r="CW105" s="399"/>
      <c r="CX105" s="399"/>
      <c r="CY105" s="399"/>
      <c r="CZ105" s="399"/>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row>
    <row r="106" spans="1:236" ht="14.15" customHeight="1">
      <c r="A106" s="6"/>
      <c r="B106" s="6"/>
      <c r="C106" s="6"/>
      <c r="D106" s="6"/>
      <c r="E106" s="6"/>
      <c r="F106" s="6"/>
      <c r="G106" s="6"/>
      <c r="H106" s="6"/>
      <c r="I106" s="6"/>
      <c r="J106" s="6"/>
      <c r="K106" s="6"/>
      <c r="L106" s="6"/>
      <c r="M106" s="14"/>
      <c r="N106" s="14"/>
      <c r="O106" s="14"/>
      <c r="P106" s="608"/>
      <c r="Q106" s="361"/>
      <c r="R106" s="361"/>
      <c r="S106" s="361"/>
      <c r="T106" s="361"/>
      <c r="U106" s="361"/>
      <c r="V106" s="361"/>
      <c r="W106" s="399"/>
      <c r="X106" s="399"/>
      <c r="Y106" s="399"/>
      <c r="Z106" s="399"/>
      <c r="AA106" s="399"/>
      <c r="AB106" s="399"/>
      <c r="AC106" s="399"/>
      <c r="AD106" s="399"/>
      <c r="AE106" s="399"/>
      <c r="AF106" s="399"/>
      <c r="AG106" s="399"/>
      <c r="AH106" s="399"/>
      <c r="AI106" s="399"/>
      <c r="AJ106" s="399"/>
      <c r="AK106" s="399"/>
      <c r="AL106" s="399"/>
      <c r="AM106" s="399"/>
      <c r="AN106" s="399"/>
      <c r="AO106" s="399"/>
      <c r="AP106" s="399"/>
      <c r="AQ106" s="399"/>
      <c r="AR106" s="399"/>
      <c r="AS106" s="399"/>
      <c r="AT106" s="399"/>
      <c r="AU106" s="399"/>
      <c r="AV106" s="399"/>
      <c r="AW106" s="399"/>
      <c r="AX106" s="399"/>
      <c r="AY106" s="399"/>
      <c r="AZ106" s="399"/>
      <c r="BA106" s="399"/>
      <c r="BB106" s="399"/>
      <c r="BC106" s="399"/>
      <c r="BD106" s="399"/>
      <c r="BE106" s="399"/>
      <c r="BF106" s="399"/>
      <c r="BG106" s="399"/>
      <c r="BH106" s="399"/>
      <c r="BI106" s="399"/>
      <c r="BJ106" s="399"/>
      <c r="BK106" s="399"/>
      <c r="BL106" s="399"/>
      <c r="BM106" s="399"/>
      <c r="BN106" s="399"/>
      <c r="BO106" s="399"/>
      <c r="BP106" s="399"/>
      <c r="BQ106" s="399"/>
      <c r="BR106" s="399"/>
      <c r="BS106" s="399"/>
      <c r="BT106" s="399"/>
      <c r="BU106" s="399"/>
      <c r="BV106" s="399"/>
      <c r="BW106" s="399"/>
      <c r="BX106" s="399"/>
      <c r="BY106" s="399"/>
      <c r="BZ106" s="399"/>
      <c r="CA106" s="399"/>
      <c r="CB106" s="399"/>
      <c r="CC106" s="399"/>
      <c r="CD106" s="399"/>
      <c r="CE106" s="399"/>
      <c r="CF106" s="399"/>
      <c r="CG106" s="399"/>
      <c r="CH106" s="399"/>
      <c r="CI106" s="399"/>
      <c r="CJ106" s="399"/>
      <c r="CK106" s="399"/>
      <c r="CL106" s="399"/>
      <c r="CM106" s="399"/>
      <c r="CN106" s="399"/>
      <c r="CO106" s="399"/>
      <c r="CP106" s="399"/>
      <c r="CQ106" s="399"/>
      <c r="CR106" s="399"/>
      <c r="CS106" s="399"/>
      <c r="CT106" s="399"/>
      <c r="CU106" s="399"/>
      <c r="CV106" s="399"/>
      <c r="CW106" s="399"/>
      <c r="CX106" s="399"/>
      <c r="CY106" s="399"/>
      <c r="CZ106" s="399"/>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row>
    <row r="107" spans="1:236" ht="14.15" customHeight="1">
      <c r="A107" s="6"/>
      <c r="B107" s="6"/>
      <c r="C107" s="6"/>
      <c r="D107" s="6"/>
      <c r="E107" s="6"/>
      <c r="F107" s="6"/>
      <c r="G107" s="6"/>
      <c r="H107" s="6"/>
      <c r="I107" s="6"/>
      <c r="J107" s="6"/>
      <c r="K107" s="6"/>
      <c r="L107" s="6"/>
      <c r="M107" s="14"/>
      <c r="N107" s="14"/>
      <c r="O107" s="14"/>
      <c r="P107" s="608"/>
      <c r="Q107" s="361"/>
      <c r="R107" s="361"/>
      <c r="S107" s="361"/>
      <c r="T107" s="361"/>
      <c r="U107" s="361"/>
      <c r="V107" s="361"/>
      <c r="W107" s="399"/>
      <c r="X107" s="399"/>
      <c r="Y107" s="399"/>
      <c r="Z107" s="399"/>
      <c r="AA107" s="399"/>
      <c r="AB107" s="399"/>
      <c r="AC107" s="399"/>
      <c r="AD107" s="399"/>
      <c r="AE107" s="399"/>
      <c r="AF107" s="399"/>
      <c r="AG107" s="399"/>
      <c r="AH107" s="399"/>
      <c r="AI107" s="399"/>
      <c r="AJ107" s="399"/>
      <c r="AK107" s="399"/>
      <c r="AL107" s="399"/>
      <c r="AM107" s="399"/>
      <c r="AN107" s="399"/>
      <c r="AO107" s="399"/>
      <c r="AP107" s="399"/>
      <c r="AQ107" s="399"/>
      <c r="AR107" s="399"/>
      <c r="AS107" s="399"/>
      <c r="AT107" s="399"/>
      <c r="AU107" s="399"/>
      <c r="AV107" s="399"/>
      <c r="AW107" s="399"/>
      <c r="AX107" s="399"/>
      <c r="AY107" s="399"/>
      <c r="AZ107" s="399"/>
      <c r="BA107" s="399"/>
      <c r="BB107" s="399"/>
      <c r="BC107" s="399"/>
      <c r="BD107" s="399"/>
      <c r="BE107" s="399"/>
      <c r="BF107" s="399"/>
      <c r="BG107" s="399"/>
      <c r="BH107" s="399"/>
      <c r="BI107" s="399"/>
      <c r="BJ107" s="399"/>
      <c r="BK107" s="399"/>
      <c r="BL107" s="399"/>
      <c r="BM107" s="399"/>
      <c r="BN107" s="399"/>
      <c r="BO107" s="399"/>
      <c r="BP107" s="399"/>
      <c r="BQ107" s="399"/>
      <c r="BR107" s="399"/>
      <c r="BS107" s="399"/>
      <c r="BT107" s="399"/>
      <c r="BU107" s="399"/>
      <c r="BV107" s="399"/>
      <c r="BW107" s="399"/>
      <c r="BX107" s="399"/>
      <c r="BY107" s="399"/>
      <c r="BZ107" s="399"/>
      <c r="CA107" s="399"/>
      <c r="CB107" s="399"/>
      <c r="CC107" s="399"/>
      <c r="CD107" s="399"/>
      <c r="CE107" s="399"/>
      <c r="CF107" s="399"/>
      <c r="CG107" s="399"/>
      <c r="CH107" s="399"/>
      <c r="CI107" s="399"/>
      <c r="CJ107" s="399"/>
      <c r="CK107" s="399"/>
      <c r="CL107" s="399"/>
      <c r="CM107" s="399"/>
      <c r="CN107" s="399"/>
      <c r="CO107" s="399"/>
      <c r="CP107" s="399"/>
      <c r="CQ107" s="399"/>
      <c r="CR107" s="399"/>
      <c r="CS107" s="399"/>
      <c r="CT107" s="399"/>
      <c r="CU107" s="399"/>
      <c r="CV107" s="399"/>
      <c r="CW107" s="399"/>
      <c r="CX107" s="399"/>
      <c r="CY107" s="399"/>
      <c r="CZ107" s="399"/>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row>
    <row r="108" spans="1:236" ht="14.15" customHeight="1">
      <c r="A108" s="6"/>
      <c r="B108" s="6"/>
      <c r="C108" s="6"/>
      <c r="D108" s="6"/>
      <c r="E108" s="6"/>
      <c r="F108" s="6"/>
      <c r="G108" s="6"/>
      <c r="H108" s="6"/>
      <c r="I108" s="6"/>
      <c r="J108" s="6"/>
      <c r="K108" s="6"/>
      <c r="L108" s="6"/>
      <c r="M108" s="14"/>
      <c r="N108" s="14"/>
      <c r="O108" s="14"/>
      <c r="P108" s="608"/>
      <c r="Q108" s="361"/>
      <c r="R108" s="361"/>
      <c r="S108" s="361"/>
      <c r="T108" s="361"/>
      <c r="U108" s="361"/>
      <c r="V108" s="361"/>
      <c r="W108" s="399"/>
      <c r="AA108" s="399"/>
      <c r="AB108" s="399"/>
      <c r="AC108" s="399"/>
      <c r="AD108" s="399"/>
      <c r="AE108" s="399"/>
      <c r="AF108" s="399"/>
      <c r="AG108" s="399"/>
      <c r="AH108" s="399"/>
      <c r="AI108" s="399"/>
      <c r="AJ108" s="399"/>
      <c r="AK108" s="399"/>
      <c r="AL108" s="399"/>
      <c r="AM108" s="399"/>
      <c r="AN108" s="399"/>
      <c r="AO108" s="399"/>
      <c r="AP108" s="399"/>
      <c r="AQ108" s="399"/>
      <c r="AR108" s="399"/>
      <c r="AS108" s="399"/>
      <c r="AT108" s="399"/>
      <c r="AU108" s="399"/>
      <c r="AV108" s="399"/>
      <c r="AW108" s="399"/>
      <c r="AX108" s="399"/>
      <c r="AY108" s="399"/>
      <c r="AZ108" s="399"/>
      <c r="BA108" s="399"/>
      <c r="BB108" s="399"/>
      <c r="BC108" s="399"/>
      <c r="BD108" s="399"/>
      <c r="BE108" s="399"/>
      <c r="BF108" s="399"/>
      <c r="BG108" s="399"/>
      <c r="BH108" s="399"/>
      <c r="BI108" s="399"/>
      <c r="BJ108" s="399"/>
      <c r="BK108" s="399"/>
      <c r="BL108" s="399"/>
      <c r="BM108" s="399"/>
      <c r="BN108" s="399"/>
      <c r="BO108" s="399"/>
      <c r="BP108" s="399"/>
      <c r="BQ108" s="399"/>
      <c r="BR108" s="399"/>
      <c r="BS108" s="399"/>
      <c r="BT108" s="399"/>
      <c r="BU108" s="399"/>
      <c r="BV108" s="399"/>
      <c r="BW108" s="399"/>
      <c r="BX108" s="399"/>
      <c r="BY108" s="399"/>
      <c r="BZ108" s="399"/>
      <c r="CA108" s="399"/>
      <c r="CB108" s="399"/>
      <c r="CC108" s="399"/>
      <c r="CD108" s="399"/>
      <c r="CE108" s="399"/>
      <c r="CF108" s="399"/>
      <c r="CG108" s="399"/>
      <c r="CH108" s="399"/>
      <c r="CI108" s="399"/>
      <c r="CJ108" s="399"/>
      <c r="CK108" s="399"/>
      <c r="CL108" s="399"/>
      <c r="CM108" s="399"/>
      <c r="CN108" s="399"/>
      <c r="CO108" s="399"/>
      <c r="CP108" s="399"/>
      <c r="CQ108" s="399"/>
      <c r="CR108" s="399"/>
      <c r="CS108" s="399"/>
      <c r="CT108" s="399"/>
      <c r="CU108" s="399"/>
      <c r="CV108" s="399"/>
      <c r="CW108" s="399"/>
      <c r="CX108" s="399"/>
      <c r="CY108" s="399"/>
      <c r="CZ108" s="399"/>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row>
    <row r="109" spans="1:236" ht="14.15" customHeight="1">
      <c r="A109" s="6"/>
      <c r="B109" s="6"/>
      <c r="C109" s="6"/>
      <c r="D109" s="6"/>
      <c r="E109" s="6"/>
      <c r="F109" s="6"/>
      <c r="G109" s="6"/>
      <c r="H109" s="6"/>
      <c r="I109" s="6"/>
      <c r="J109" s="6"/>
      <c r="K109" s="6"/>
      <c r="L109" s="6"/>
      <c r="M109" s="14"/>
      <c r="N109" s="14"/>
      <c r="O109" s="14"/>
      <c r="P109" s="608"/>
      <c r="Q109" s="361"/>
      <c r="R109" s="361"/>
      <c r="S109" s="361"/>
      <c r="T109" s="361"/>
      <c r="U109" s="361"/>
      <c r="V109" s="361"/>
      <c r="W109" s="399"/>
      <c r="AA109" s="399"/>
      <c r="AB109" s="399"/>
      <c r="AC109" s="399"/>
      <c r="AD109" s="399"/>
      <c r="AE109" s="399"/>
      <c r="AF109" s="399"/>
      <c r="AG109" s="399"/>
      <c r="AH109" s="399"/>
      <c r="AI109" s="399"/>
      <c r="AJ109" s="399"/>
      <c r="AK109" s="399"/>
      <c r="AL109" s="399"/>
      <c r="AM109" s="399"/>
      <c r="AN109" s="399"/>
      <c r="AO109" s="399"/>
      <c r="AP109" s="399"/>
      <c r="AQ109" s="399"/>
      <c r="AR109" s="399"/>
      <c r="AS109" s="399"/>
      <c r="AT109" s="399"/>
      <c r="AU109" s="399"/>
      <c r="AV109" s="399"/>
      <c r="AW109" s="399"/>
      <c r="AX109" s="399"/>
      <c r="AY109" s="399"/>
      <c r="AZ109" s="399"/>
      <c r="BA109" s="399"/>
      <c r="BB109" s="399"/>
      <c r="BC109" s="399"/>
      <c r="BD109" s="399"/>
      <c r="BE109" s="399"/>
      <c r="BF109" s="399"/>
      <c r="BG109" s="399"/>
      <c r="BH109" s="399"/>
      <c r="BI109" s="399"/>
      <c r="BJ109" s="399"/>
      <c r="BK109" s="399"/>
      <c r="BL109" s="399"/>
      <c r="BM109" s="399"/>
      <c r="BN109" s="399"/>
      <c r="BO109" s="399"/>
      <c r="BP109" s="399"/>
      <c r="BQ109" s="399"/>
      <c r="BR109" s="399"/>
      <c r="BS109" s="399"/>
      <c r="BT109" s="399"/>
      <c r="BU109" s="399"/>
      <c r="BV109" s="399"/>
      <c r="BW109" s="399"/>
      <c r="BX109" s="399"/>
      <c r="BY109" s="399"/>
      <c r="BZ109" s="399"/>
      <c r="CA109" s="399"/>
      <c r="CB109" s="399"/>
      <c r="CC109" s="399"/>
      <c r="CD109" s="399"/>
      <c r="CE109" s="399"/>
      <c r="CF109" s="399"/>
      <c r="CG109" s="399"/>
      <c r="CH109" s="399"/>
      <c r="CI109" s="399"/>
      <c r="CJ109" s="399"/>
      <c r="CK109" s="399"/>
      <c r="CL109" s="399"/>
      <c r="CM109" s="399"/>
      <c r="CN109" s="399"/>
      <c r="CO109" s="399"/>
      <c r="CP109" s="399"/>
      <c r="CQ109" s="399"/>
      <c r="CR109" s="399"/>
      <c r="CS109" s="399"/>
      <c r="CT109" s="399"/>
      <c r="CU109" s="399"/>
      <c r="CV109" s="399"/>
      <c r="CW109" s="399"/>
      <c r="CX109" s="399"/>
      <c r="CY109" s="399"/>
      <c r="CZ109" s="399"/>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row>
    <row r="110" spans="1:236">
      <c r="A110" s="6"/>
      <c r="B110" s="6"/>
      <c r="C110" s="6"/>
      <c r="D110" s="6"/>
      <c r="E110" s="6"/>
      <c r="F110" s="6"/>
      <c r="G110" s="6"/>
      <c r="H110" s="6"/>
      <c r="I110" s="6"/>
      <c r="J110" s="6"/>
      <c r="K110" s="6"/>
      <c r="L110" s="6"/>
      <c r="M110" s="14"/>
      <c r="N110" s="14"/>
      <c r="O110" s="14"/>
      <c r="P110" s="608"/>
      <c r="Q110" s="361"/>
      <c r="R110" s="361"/>
      <c r="S110" s="361"/>
      <c r="T110" s="361"/>
      <c r="U110" s="361"/>
      <c r="V110" s="361"/>
      <c r="W110" s="399"/>
    </row>
    <row r="111" spans="1:236">
      <c r="A111" s="6"/>
      <c r="B111" s="6"/>
      <c r="C111" s="6"/>
      <c r="D111" s="6"/>
      <c r="E111" s="6"/>
      <c r="F111" s="6"/>
      <c r="G111" s="6"/>
      <c r="H111" s="6"/>
      <c r="I111" s="6"/>
      <c r="J111" s="6"/>
      <c r="K111" s="6"/>
      <c r="L111" s="6"/>
      <c r="M111" s="14"/>
      <c r="N111" s="14"/>
      <c r="O111" s="14"/>
      <c r="P111" s="608"/>
      <c r="Q111" s="361"/>
      <c r="R111" s="361"/>
      <c r="S111" s="361"/>
      <c r="T111" s="361"/>
      <c r="U111" s="361"/>
      <c r="V111" s="361"/>
      <c r="W111" s="399"/>
    </row>
  </sheetData>
  <customSheetViews>
    <customSheetView guid="{E6BBE5A7-0B25-4EE8-BA45-5EA5DBAF3AD4}" showPageBreaks="1" fitToPage="1" printArea="1">
      <selection activeCell="C17" sqref="C17"/>
      <pageMargins left="0.75" right="0.75" top="1" bottom="1" header="0.5" footer="0.5"/>
      <pageSetup scale="66" orientation="landscape" r:id="rId1"/>
      <headerFooter alignWithMargins="0"/>
    </customSheetView>
  </customSheetViews>
  <phoneticPr fontId="15" type="noConversion"/>
  <hyperlinks>
    <hyperlink ref="W1" location="TOC!A1" display="Back" xr:uid="{00000000-0004-0000-0200-000000000000}"/>
  </hyperlinks>
  <pageMargins left="0.4" right="0.25" top="0.5" bottom="0.5" header="0.25" footer="0.25"/>
  <pageSetup scale="72" orientation="landscape" r:id="rId2"/>
  <headerFooter scaleWithDoc="0">
    <oddHeader>&amp;R&amp;P</oddHeader>
  </headerFooter>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7030A0"/>
  </sheetPr>
  <dimension ref="B1:O40"/>
  <sheetViews>
    <sheetView workbookViewId="0">
      <selection activeCell="N59" sqref="N59"/>
    </sheetView>
  </sheetViews>
  <sheetFormatPr defaultColWidth="8.7265625" defaultRowHeight="12.5"/>
  <cols>
    <col min="1" max="1" width="1.453125" style="454" customWidth="1"/>
    <col min="2" max="2" width="9.81640625" style="454" customWidth="1"/>
    <col min="3" max="5" width="17.26953125" style="454" customWidth="1"/>
    <col min="6" max="6" width="17.54296875" style="454" customWidth="1"/>
    <col min="7" max="8" width="17.26953125" style="454" customWidth="1"/>
    <col min="9" max="16384" width="8.7265625" style="454"/>
  </cols>
  <sheetData>
    <row r="1" spans="2:15" ht="13">
      <c r="B1" s="453" t="s">
        <v>668</v>
      </c>
    </row>
    <row r="2" spans="2:15" ht="13.5" thickBot="1">
      <c r="B2" s="1641" t="s">
        <v>852</v>
      </c>
      <c r="C2" s="1641"/>
      <c r="D2" s="1641"/>
      <c r="E2" s="1641"/>
      <c r="F2" s="1641"/>
      <c r="G2" s="1641"/>
      <c r="H2" s="1641"/>
    </row>
    <row r="3" spans="2:15" s="456" customFormat="1" ht="14.25" customHeight="1">
      <c r="B3" s="455" t="s">
        <v>20</v>
      </c>
      <c r="C3" s="455" t="s">
        <v>31</v>
      </c>
      <c r="D3" s="455" t="s">
        <v>853</v>
      </c>
      <c r="E3" s="455" t="s">
        <v>854</v>
      </c>
      <c r="F3" s="455" t="s">
        <v>855</v>
      </c>
      <c r="G3" s="455" t="s">
        <v>856</v>
      </c>
      <c r="H3" s="455" t="s">
        <v>16</v>
      </c>
    </row>
    <row r="4" spans="2:15" s="456" customFormat="1" ht="13">
      <c r="B4" s="457" t="s">
        <v>857</v>
      </c>
      <c r="C4" s="457" t="s">
        <v>829</v>
      </c>
      <c r="D4" s="457" t="s">
        <v>858</v>
      </c>
      <c r="E4" s="457" t="s">
        <v>859</v>
      </c>
      <c r="F4" s="457" t="s">
        <v>860</v>
      </c>
      <c r="G4" s="457" t="s">
        <v>861</v>
      </c>
      <c r="H4" s="457" t="s">
        <v>862</v>
      </c>
    </row>
    <row r="5" spans="2:15" ht="13">
      <c r="C5" s="458"/>
    </row>
    <row r="6" spans="2:15">
      <c r="C6" s="459"/>
      <c r="D6" s="459"/>
      <c r="E6" s="459"/>
      <c r="F6" s="459"/>
      <c r="G6" s="459"/>
      <c r="H6" s="459"/>
    </row>
    <row r="7" spans="2:15" ht="13">
      <c r="B7" s="460" t="s">
        <v>863</v>
      </c>
    </row>
    <row r="8" spans="2:15">
      <c r="B8" s="461">
        <v>2015</v>
      </c>
      <c r="C8" s="462">
        <v>1031975708795</v>
      </c>
      <c r="D8" s="462">
        <v>84093951055.669998</v>
      </c>
      <c r="E8" s="462">
        <v>10873635297.74</v>
      </c>
      <c r="F8" s="462">
        <v>1266956460</v>
      </c>
      <c r="G8" s="462">
        <v>44154961529</v>
      </c>
      <c r="H8" s="462">
        <v>1172365213137.4099</v>
      </c>
      <c r="I8" s="463"/>
      <c r="J8" s="463"/>
      <c r="K8" s="463"/>
      <c r="L8" s="463"/>
      <c r="M8" s="463"/>
      <c r="N8" s="463"/>
      <c r="O8" s="463"/>
    </row>
    <row r="9" spans="2:15">
      <c r="B9" s="461">
        <v>2016</v>
      </c>
      <c r="C9" s="464">
        <v>1060436113127</v>
      </c>
      <c r="D9" s="464">
        <v>88866533959.080002</v>
      </c>
      <c r="E9" s="464">
        <v>10916098009.690001</v>
      </c>
      <c r="F9" s="464">
        <v>1349538948</v>
      </c>
      <c r="G9" s="464">
        <v>46266995318</v>
      </c>
      <c r="H9" s="465">
        <v>1207835279361.77</v>
      </c>
      <c r="I9" s="463"/>
      <c r="J9" s="463"/>
      <c r="K9" s="463"/>
      <c r="L9" s="463"/>
      <c r="M9" s="463"/>
      <c r="N9" s="463"/>
      <c r="O9" s="463"/>
    </row>
    <row r="10" spans="2:15">
      <c r="B10" s="461">
        <v>2017</v>
      </c>
      <c r="C10" s="465">
        <v>1091729146412</v>
      </c>
      <c r="D10" s="465">
        <v>92876379259.282059</v>
      </c>
      <c r="E10" s="465">
        <v>10937094637.461905</v>
      </c>
      <c r="F10" s="465">
        <v>1412648166</v>
      </c>
      <c r="G10" s="465">
        <v>48006343392</v>
      </c>
      <c r="H10" s="465">
        <v>1244961611866.7439</v>
      </c>
      <c r="I10" s="463"/>
      <c r="J10" s="463"/>
      <c r="K10" s="463"/>
      <c r="L10" s="463"/>
      <c r="M10" s="463"/>
      <c r="N10" s="463"/>
      <c r="O10" s="463"/>
    </row>
    <row r="11" spans="2:15">
      <c r="B11" s="461">
        <v>2018</v>
      </c>
      <c r="C11" s="465">
        <v>1130944150751.6799</v>
      </c>
      <c r="D11" s="465">
        <v>97202215738.300018</v>
      </c>
      <c r="E11" s="465">
        <v>11207635106.190001</v>
      </c>
      <c r="F11" s="465">
        <v>1360441391</v>
      </c>
      <c r="G11" s="465">
        <v>50028306681.440002</v>
      </c>
      <c r="H11" s="465">
        <v>1290742749668.6099</v>
      </c>
      <c r="I11" s="463"/>
      <c r="J11" s="463"/>
      <c r="K11" s="463"/>
      <c r="L11" s="463"/>
      <c r="M11" s="463"/>
      <c r="N11" s="463"/>
      <c r="O11" s="463"/>
    </row>
    <row r="12" spans="2:15">
      <c r="B12" s="466">
        <f>B11+1</f>
        <v>2019</v>
      </c>
      <c r="C12" s="643">
        <v>1172449791555</v>
      </c>
      <c r="D12" s="643">
        <v>98726651736.200012</v>
      </c>
      <c r="E12" s="643">
        <v>11567370427.889999</v>
      </c>
      <c r="F12" s="643">
        <v>1344289010.71</v>
      </c>
      <c r="G12" s="643">
        <v>49209543842.540001</v>
      </c>
      <c r="H12" s="642">
        <f>SUM(C12:G12)</f>
        <v>1333297646572.3398</v>
      </c>
      <c r="I12" s="463"/>
    </row>
    <row r="13" spans="2:15" ht="13">
      <c r="C13" s="467"/>
      <c r="D13" s="467"/>
      <c r="E13" s="467"/>
      <c r="F13" s="467"/>
      <c r="G13" s="467"/>
      <c r="H13" s="467"/>
    </row>
    <row r="14" spans="2:15" ht="13">
      <c r="B14" s="460" t="s">
        <v>864</v>
      </c>
      <c r="C14" s="468"/>
      <c r="D14" s="468"/>
      <c r="E14" s="468"/>
      <c r="F14" s="468"/>
      <c r="G14" s="468"/>
      <c r="H14" s="468"/>
    </row>
    <row r="15" spans="2:15">
      <c r="B15" s="461">
        <f>B8</f>
        <v>2015</v>
      </c>
      <c r="C15" s="462">
        <v>10007871602.596775</v>
      </c>
      <c r="D15" s="462">
        <v>3012973186.0262656</v>
      </c>
      <c r="E15" s="462">
        <v>215708233.76555002</v>
      </c>
      <c r="F15" s="462">
        <v>13274973.785999998</v>
      </c>
      <c r="G15" s="462">
        <v>364855303.00326002</v>
      </c>
      <c r="H15" s="462">
        <v>13614683299.177851</v>
      </c>
      <c r="I15" s="463"/>
      <c r="J15" s="463"/>
      <c r="K15" s="463"/>
      <c r="L15" s="463"/>
      <c r="M15" s="463"/>
      <c r="N15" s="463"/>
    </row>
    <row r="16" spans="2:15">
      <c r="B16" s="461">
        <f>B9</f>
        <v>2016</v>
      </c>
      <c r="C16" s="465">
        <v>10446834664.72967</v>
      </c>
      <c r="D16" s="465">
        <v>3108724600.9577131</v>
      </c>
      <c r="E16" s="465">
        <v>220024079.66569999</v>
      </c>
      <c r="F16" s="465">
        <v>14028692.103300003</v>
      </c>
      <c r="G16" s="465">
        <v>408732706.07139993</v>
      </c>
      <c r="H16" s="465">
        <v>14198344743.527782</v>
      </c>
      <c r="I16" s="463"/>
      <c r="J16" s="463"/>
      <c r="K16" s="463"/>
      <c r="L16" s="463"/>
      <c r="M16" s="463"/>
      <c r="N16" s="463"/>
    </row>
    <row r="17" spans="2:14">
      <c r="B17" s="461">
        <f>B10</f>
        <v>2017</v>
      </c>
      <c r="C17" s="465">
        <v>10820224510.957804</v>
      </c>
      <c r="D17" s="465">
        <v>3279499565.8478804</v>
      </c>
      <c r="E17" s="465">
        <v>232207933.77725005</v>
      </c>
      <c r="F17" s="465">
        <v>14034594.904299999</v>
      </c>
      <c r="G17" s="465">
        <v>404358032.39963996</v>
      </c>
      <c r="H17" s="465">
        <v>14750324637.886873</v>
      </c>
      <c r="I17" s="463"/>
      <c r="J17" s="463"/>
      <c r="K17" s="463"/>
      <c r="L17" s="463"/>
      <c r="M17" s="463"/>
      <c r="N17" s="463"/>
    </row>
    <row r="18" spans="2:14">
      <c r="B18" s="461">
        <f>B11</f>
        <v>2018</v>
      </c>
      <c r="C18" s="465">
        <v>11239557027.180504</v>
      </c>
      <c r="D18" s="465">
        <v>3464493881.5964141</v>
      </c>
      <c r="E18" s="465">
        <v>281779148.09530008</v>
      </c>
      <c r="F18" s="465">
        <v>13905355.629000001</v>
      </c>
      <c r="G18" s="465">
        <v>427590254.37099987</v>
      </c>
      <c r="H18" s="465">
        <v>15427325666.872219</v>
      </c>
      <c r="I18" s="463"/>
      <c r="J18" s="463"/>
      <c r="K18" s="463"/>
      <c r="L18" s="463"/>
      <c r="M18" s="463"/>
      <c r="N18" s="463"/>
    </row>
    <row r="19" spans="2:14">
      <c r="B19" s="466">
        <f>B12</f>
        <v>2019</v>
      </c>
      <c r="C19" s="643">
        <v>11654584398.700165</v>
      </c>
      <c r="D19" s="643">
        <v>3600959729.1374731</v>
      </c>
      <c r="E19" s="643">
        <v>227752597.23180002</v>
      </c>
      <c r="F19" s="643">
        <v>14010085.905490002</v>
      </c>
      <c r="G19" s="643">
        <v>409329416.85523003</v>
      </c>
      <c r="H19" s="642">
        <f>SUM(C19:G19)</f>
        <v>15906636227.83016</v>
      </c>
    </row>
    <row r="20" spans="2:14" ht="13">
      <c r="C20" s="467"/>
      <c r="D20" s="467"/>
      <c r="E20" s="467"/>
      <c r="F20" s="467"/>
      <c r="G20" s="467"/>
      <c r="H20" s="467"/>
    </row>
    <row r="21" spans="2:14" ht="13">
      <c r="B21" s="460" t="s">
        <v>865</v>
      </c>
    </row>
    <row r="22" spans="2:14">
      <c r="B22" s="461">
        <f>B15</f>
        <v>2015</v>
      </c>
      <c r="C22" s="644">
        <f>C15/C8*100</f>
        <v>0.9697778268717776</v>
      </c>
      <c r="D22" s="644">
        <f t="shared" ref="C22:H26" si="0">D15/D8*100</f>
        <v>3.5828655309960218</v>
      </c>
      <c r="E22" s="644">
        <f t="shared" si="0"/>
        <v>1.9837729320421782</v>
      </c>
      <c r="F22" s="644">
        <f t="shared" si="0"/>
        <v>1.0477845297067272</v>
      </c>
      <c r="G22" s="644">
        <f t="shared" si="0"/>
        <v>0.82630646787820472</v>
      </c>
      <c r="H22" s="644">
        <f t="shared" si="0"/>
        <v>1.1613005185255449</v>
      </c>
      <c r="I22" s="463"/>
      <c r="J22" s="463"/>
      <c r="K22" s="463"/>
      <c r="L22" s="463"/>
      <c r="M22" s="463"/>
      <c r="N22" s="463"/>
    </row>
    <row r="23" spans="2:14">
      <c r="B23" s="461">
        <f>B16</f>
        <v>2016</v>
      </c>
      <c r="C23" s="645">
        <f t="shared" si="0"/>
        <v>0.98514512429458689</v>
      </c>
      <c r="D23" s="645">
        <f t="shared" si="0"/>
        <v>3.4981949474806506</v>
      </c>
      <c r="E23" s="645">
        <f t="shared" si="0"/>
        <v>2.0155927463310519</v>
      </c>
      <c r="F23" s="645">
        <f t="shared" si="0"/>
        <v>1.0395173940026223</v>
      </c>
      <c r="G23" s="645">
        <f t="shared" si="0"/>
        <v>0.88342176374782644</v>
      </c>
      <c r="H23" s="645">
        <f t="shared" si="0"/>
        <v>1.1755199559190144</v>
      </c>
      <c r="I23" s="463"/>
      <c r="J23" s="463"/>
      <c r="K23" s="463"/>
      <c r="L23" s="463"/>
      <c r="M23" s="463"/>
      <c r="N23" s="463"/>
    </row>
    <row r="24" spans="2:14">
      <c r="B24" s="461">
        <f>B17</f>
        <v>2017</v>
      </c>
      <c r="C24" s="645">
        <f t="shared" si="0"/>
        <v>0.99110887957134697</v>
      </c>
      <c r="D24" s="645">
        <f t="shared" si="0"/>
        <v>3.5310372691128862</v>
      </c>
      <c r="E24" s="645">
        <f t="shared" si="0"/>
        <v>2.1231226525359657</v>
      </c>
      <c r="F24" s="645">
        <f t="shared" si="0"/>
        <v>0.99349542526500534</v>
      </c>
      <c r="G24" s="645">
        <f t="shared" si="0"/>
        <v>0.84230125401932621</v>
      </c>
      <c r="H24" s="645">
        <f t="shared" si="0"/>
        <v>1.1848015631397391</v>
      </c>
      <c r="I24" s="463"/>
      <c r="J24" s="463"/>
      <c r="K24" s="463"/>
      <c r="L24" s="463"/>
      <c r="M24" s="463"/>
      <c r="N24" s="463"/>
    </row>
    <row r="25" spans="2:14">
      <c r="B25" s="461">
        <f>B18</f>
        <v>2018</v>
      </c>
      <c r="C25" s="645">
        <f t="shared" si="0"/>
        <v>0.99382069571783482</v>
      </c>
      <c r="D25" s="645">
        <f t="shared" si="0"/>
        <v>3.5642128682785983</v>
      </c>
      <c r="E25" s="645">
        <f t="shared" si="0"/>
        <v>2.5141713254000648</v>
      </c>
      <c r="F25" s="645">
        <f t="shared" si="0"/>
        <v>1.0221208881904711</v>
      </c>
      <c r="G25" s="645">
        <f t="shared" si="0"/>
        <v>0.85469663623380554</v>
      </c>
      <c r="H25" s="645">
        <f t="shared" si="0"/>
        <v>1.1952285357274397</v>
      </c>
      <c r="I25" s="463"/>
      <c r="J25" s="463"/>
      <c r="K25" s="463"/>
      <c r="L25" s="463"/>
      <c r="M25" s="463"/>
      <c r="N25" s="463"/>
    </row>
    <row r="26" spans="2:14">
      <c r="B26" s="466">
        <f>B19</f>
        <v>2019</v>
      </c>
      <c r="C26" s="646">
        <f>C19/C12*100</f>
        <v>0.99403697136087077</v>
      </c>
      <c r="D26" s="646">
        <f>D19/D12*100</f>
        <v>3.6474038831574318</v>
      </c>
      <c r="E26" s="646">
        <f t="shared" si="0"/>
        <v>1.9689228304011728</v>
      </c>
      <c r="F26" s="646">
        <f t="shared" si="0"/>
        <v>1.042192995246642</v>
      </c>
      <c r="G26" s="646">
        <f t="shared" si="0"/>
        <v>0.83180900470241403</v>
      </c>
      <c r="H26" s="646">
        <f t="shared" si="0"/>
        <v>1.1930296486102081</v>
      </c>
    </row>
    <row r="27" spans="2:14">
      <c r="C27" s="468"/>
      <c r="D27" s="468"/>
      <c r="E27" s="468"/>
      <c r="F27" s="468"/>
      <c r="G27" s="468"/>
      <c r="H27" s="468"/>
    </row>
    <row r="28" spans="2:14">
      <c r="B28" s="459" t="s">
        <v>18</v>
      </c>
      <c r="C28" s="469"/>
      <c r="D28" s="469"/>
      <c r="E28" s="469"/>
      <c r="F28" s="469"/>
      <c r="G28" s="469"/>
      <c r="H28" s="469"/>
    </row>
    <row r="29" spans="2:14">
      <c r="B29" s="1642" t="s">
        <v>866</v>
      </c>
      <c r="C29" s="1642"/>
      <c r="D29" s="1642"/>
      <c r="E29" s="1642"/>
      <c r="F29" s="1642"/>
      <c r="G29" s="1642"/>
      <c r="H29" s="1642"/>
    </row>
    <row r="30" spans="2:14">
      <c r="B30" s="470" t="s">
        <v>867</v>
      </c>
      <c r="C30" s="473">
        <f>C12/C11-1</f>
        <v>3.6699991574060897E-2</v>
      </c>
      <c r="D30" s="473">
        <f t="shared" ref="D30:H30" si="1">D12/D11-1</f>
        <v>1.5683140413221386E-2</v>
      </c>
      <c r="E30" s="473">
        <f t="shared" si="1"/>
        <v>3.2097344202553169E-2</v>
      </c>
      <c r="F30" s="473">
        <f t="shared" si="1"/>
        <v>-1.1872896838376112E-2</v>
      </c>
      <c r="G30" s="473">
        <f t="shared" si="1"/>
        <v>-1.636599143987727E-2</v>
      </c>
      <c r="H30" s="473">
        <f t="shared" si="1"/>
        <v>3.2969309271468461E-2</v>
      </c>
    </row>
    <row r="31" spans="2:14" s="470" customFormat="1">
      <c r="C31" s="512"/>
      <c r="D31" s="512"/>
      <c r="E31" s="512"/>
      <c r="F31" s="512"/>
      <c r="G31" s="512"/>
      <c r="H31" s="512"/>
    </row>
    <row r="32" spans="2:14" s="470" customFormat="1">
      <c r="C32" s="512"/>
      <c r="D32" s="512"/>
      <c r="E32" s="512"/>
      <c r="F32" s="512"/>
      <c r="G32" s="512"/>
      <c r="H32" s="512"/>
    </row>
    <row r="33" spans="3:8" s="470" customFormat="1">
      <c r="C33" s="513"/>
      <c r="D33" s="513"/>
      <c r="E33" s="513"/>
      <c r="F33" s="513"/>
      <c r="G33" s="513"/>
      <c r="H33" s="513"/>
    </row>
    <row r="34" spans="3:8" s="470" customFormat="1">
      <c r="C34" s="512"/>
      <c r="D34" s="512"/>
      <c r="E34" s="512"/>
      <c r="F34" s="512"/>
      <c r="G34" s="512"/>
      <c r="H34" s="512"/>
    </row>
    <row r="35" spans="3:8" s="470" customFormat="1">
      <c r="C35" s="514"/>
      <c r="D35" s="514"/>
      <c r="E35" s="514"/>
      <c r="F35" s="514"/>
      <c r="G35" s="514"/>
      <c r="H35" s="514"/>
    </row>
    <row r="36" spans="3:8" s="470" customFormat="1">
      <c r="C36" s="514"/>
      <c r="D36" s="514"/>
      <c r="E36" s="514"/>
      <c r="F36" s="514"/>
      <c r="G36" s="514"/>
      <c r="H36" s="514"/>
    </row>
    <row r="37" spans="3:8" s="470" customFormat="1">
      <c r="C37" s="515"/>
      <c r="D37" s="515"/>
      <c r="E37" s="515"/>
      <c r="F37" s="515"/>
      <c r="G37" s="515"/>
      <c r="H37" s="515"/>
    </row>
    <row r="38" spans="3:8" s="470" customFormat="1">
      <c r="C38" s="516"/>
      <c r="D38" s="516"/>
      <c r="E38" s="516"/>
      <c r="F38" s="516"/>
      <c r="G38" s="516"/>
      <c r="H38" s="516"/>
    </row>
    <row r="39" spans="3:8" s="470" customFormat="1">
      <c r="C39" s="516"/>
      <c r="D39" s="516"/>
      <c r="E39" s="516"/>
      <c r="F39" s="516"/>
      <c r="G39" s="516"/>
      <c r="H39" s="516"/>
    </row>
    <row r="40" spans="3:8" s="470" customFormat="1">
      <c r="C40" s="517"/>
      <c r="D40" s="517"/>
      <c r="E40" s="517"/>
      <c r="F40" s="517"/>
      <c r="G40" s="517"/>
      <c r="H40" s="517"/>
    </row>
  </sheetData>
  <mergeCells count="2">
    <mergeCell ref="B2:H2"/>
    <mergeCell ref="B29:H29"/>
  </mergeCells>
  <pageMargins left="0.7" right="0.7" top="0.75" bottom="0.7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76"/>
  <sheetViews>
    <sheetView zoomScaleNormal="100" workbookViewId="0"/>
  </sheetViews>
  <sheetFormatPr defaultColWidth="13.7265625" defaultRowHeight="11.5"/>
  <cols>
    <col min="1" max="1" width="14.453125" style="655" customWidth="1"/>
    <col min="2" max="2" width="17" style="655" bestFit="1" customWidth="1"/>
    <col min="3" max="3" width="16.7265625" style="655" customWidth="1"/>
    <col min="4" max="4" width="17" style="655" bestFit="1" customWidth="1"/>
    <col min="5" max="5" width="17.81640625" style="655" bestFit="1" customWidth="1"/>
    <col min="6" max="6" width="17.7265625" style="655" customWidth="1"/>
    <col min="7" max="7" width="15.54296875" style="655" bestFit="1" customWidth="1"/>
    <col min="8" max="8" width="11.7265625" style="656" customWidth="1"/>
    <col min="9" max="9" width="7" style="712" bestFit="1" customWidth="1"/>
    <col min="10" max="69" width="13.7265625" style="655" customWidth="1"/>
    <col min="70" max="16384" width="13.7265625" style="655"/>
  </cols>
  <sheetData>
    <row r="1" spans="1:9" ht="15.5">
      <c r="A1" s="825" t="s">
        <v>801</v>
      </c>
      <c r="I1" s="855" t="s">
        <v>984</v>
      </c>
    </row>
    <row r="2" spans="1:9" ht="13">
      <c r="A2" s="854" t="s">
        <v>1304</v>
      </c>
      <c r="B2" s="854"/>
      <c r="C2" s="854"/>
      <c r="D2" s="854"/>
      <c r="E2" s="854"/>
      <c r="F2" s="854"/>
      <c r="G2" s="854"/>
      <c r="H2" s="854"/>
    </row>
    <row r="3" spans="1:9" ht="4" customHeight="1">
      <c r="A3" s="682"/>
      <c r="B3" s="682"/>
      <c r="C3" s="682"/>
      <c r="D3" s="682"/>
      <c r="E3" s="682"/>
      <c r="F3" s="682"/>
      <c r="G3" s="682"/>
      <c r="H3" s="682"/>
    </row>
    <row r="4" spans="1:9" ht="4" customHeight="1" thickBot="1">
      <c r="A4" s="682"/>
      <c r="B4" s="682"/>
      <c r="C4" s="682"/>
      <c r="D4" s="682"/>
      <c r="E4" s="682"/>
      <c r="F4" s="682"/>
      <c r="G4" s="682"/>
      <c r="H4" s="682"/>
    </row>
    <row r="5" spans="1:9" s="659" customFormat="1" ht="23">
      <c r="A5" s="1319" t="s">
        <v>21</v>
      </c>
      <c r="B5" s="1321" t="s">
        <v>802</v>
      </c>
      <c r="C5" s="1320" t="s">
        <v>803</v>
      </c>
      <c r="D5" s="1320" t="s">
        <v>804</v>
      </c>
      <c r="E5" s="1321" t="s">
        <v>805</v>
      </c>
      <c r="F5" s="1320" t="s">
        <v>806</v>
      </c>
      <c r="G5" s="1321" t="s">
        <v>807</v>
      </c>
      <c r="H5" s="925" t="s">
        <v>808</v>
      </c>
      <c r="I5" s="718"/>
    </row>
    <row r="6" spans="1:9" ht="21" customHeight="1">
      <c r="A6" s="655" t="s">
        <v>50</v>
      </c>
      <c r="B6" s="660">
        <v>1723791900</v>
      </c>
      <c r="C6" s="660">
        <v>1622330000</v>
      </c>
      <c r="D6" s="660">
        <v>2569130200</v>
      </c>
      <c r="E6" s="1471">
        <f>IF(SUM(B6,D6)=0,"",SUM(B6,D6))</f>
        <v>4292922100</v>
      </c>
      <c r="F6" s="1471">
        <f>IF(SUM(C6:D6)=0,"",SUM(C6:D6))</f>
        <v>4191460200</v>
      </c>
      <c r="G6" s="660">
        <v>23521023.199999999</v>
      </c>
      <c r="H6" s="656" t="s">
        <v>1305</v>
      </c>
      <c r="I6" s="755"/>
    </row>
    <row r="7" spans="1:9" ht="12" customHeight="1">
      <c r="A7" s="655" t="s">
        <v>52</v>
      </c>
      <c r="B7" s="661">
        <v>8724098980</v>
      </c>
      <c r="C7" s="661">
        <v>7163343080</v>
      </c>
      <c r="D7" s="661">
        <v>15701824027</v>
      </c>
      <c r="E7" s="1472">
        <f t="shared" ref="E7:E35" si="0">IF(SUM(B7,D7)=0,"",SUM(B7,D7))</f>
        <v>24425923007</v>
      </c>
      <c r="F7" s="1472">
        <f t="shared" ref="F7:F35" si="1">IF(SUM(C7:D7)=0,"",SUM(C7:D7))</f>
        <v>22865167107</v>
      </c>
      <c r="G7" s="661">
        <v>195268527.09380001</v>
      </c>
      <c r="H7" s="656" t="s">
        <v>1305</v>
      </c>
      <c r="I7" s="755"/>
    </row>
    <row r="8" spans="1:9" ht="12" customHeight="1">
      <c r="A8" s="655" t="s">
        <v>54</v>
      </c>
      <c r="B8" s="661">
        <v>331217800</v>
      </c>
      <c r="C8" s="661">
        <v>248735400</v>
      </c>
      <c r="D8" s="661">
        <v>803670900</v>
      </c>
      <c r="E8" s="1472">
        <f t="shared" si="0"/>
        <v>1134888700</v>
      </c>
      <c r="F8" s="1472">
        <f t="shared" si="1"/>
        <v>1052406300</v>
      </c>
      <c r="G8" s="661">
        <v>7682565.9900000002</v>
      </c>
      <c r="H8" s="656" t="s">
        <v>1305</v>
      </c>
      <c r="I8" s="755"/>
    </row>
    <row r="9" spans="1:9" ht="12" customHeight="1">
      <c r="A9" s="655" t="s">
        <v>56</v>
      </c>
      <c r="B9" s="661">
        <v>521699422</v>
      </c>
      <c r="C9" s="661">
        <v>462480522</v>
      </c>
      <c r="D9" s="661">
        <v>806504400</v>
      </c>
      <c r="E9" s="1472">
        <f t="shared" si="0"/>
        <v>1328203822</v>
      </c>
      <c r="F9" s="1472">
        <f t="shared" si="1"/>
        <v>1268984922</v>
      </c>
      <c r="G9" s="661">
        <v>6471823.1021999996</v>
      </c>
      <c r="H9" s="656" t="s">
        <v>1305</v>
      </c>
      <c r="I9" s="755"/>
    </row>
    <row r="10" spans="1:9" ht="12" customHeight="1">
      <c r="A10" s="655" t="s">
        <v>58</v>
      </c>
      <c r="B10" s="661">
        <v>1038974800</v>
      </c>
      <c r="C10" s="661">
        <v>731181400</v>
      </c>
      <c r="D10" s="661">
        <v>1758892600</v>
      </c>
      <c r="E10" s="1472">
        <f t="shared" si="0"/>
        <v>2797867400</v>
      </c>
      <c r="F10" s="1472">
        <f t="shared" si="1"/>
        <v>2490074000</v>
      </c>
      <c r="G10" s="661">
        <v>15189451.4</v>
      </c>
      <c r="H10" s="656" t="s">
        <v>1305</v>
      </c>
      <c r="I10" s="755"/>
    </row>
    <row r="11" spans="1:9" ht="21" customHeight="1">
      <c r="A11" s="655" t="s">
        <v>60</v>
      </c>
      <c r="B11" s="661">
        <v>614978000</v>
      </c>
      <c r="C11" s="661">
        <v>567053062</v>
      </c>
      <c r="D11" s="661">
        <v>870417900</v>
      </c>
      <c r="E11" s="1472">
        <f t="shared" si="0"/>
        <v>1485395900</v>
      </c>
      <c r="F11" s="1472">
        <f t="shared" si="1"/>
        <v>1437470962</v>
      </c>
      <c r="G11" s="661">
        <v>9056067.0605999995</v>
      </c>
      <c r="H11" s="656" t="s">
        <v>1305</v>
      </c>
      <c r="I11" s="755"/>
    </row>
    <row r="12" spans="1:9" ht="12" customHeight="1">
      <c r="A12" s="655" t="s">
        <v>62</v>
      </c>
      <c r="B12" s="661">
        <v>37675876700</v>
      </c>
      <c r="C12" s="661">
        <v>35816130300</v>
      </c>
      <c r="D12" s="661">
        <v>51522064400</v>
      </c>
      <c r="E12" s="1472">
        <f t="shared" si="0"/>
        <v>89197941100</v>
      </c>
      <c r="F12" s="1472">
        <f t="shared" si="1"/>
        <v>87338194700</v>
      </c>
      <c r="G12" s="661">
        <v>954757803.47000003</v>
      </c>
      <c r="H12" s="656" t="s">
        <v>1305</v>
      </c>
      <c r="I12" s="755"/>
    </row>
    <row r="13" spans="1:9" ht="12" customHeight="1">
      <c r="A13" s="655" t="s">
        <v>64</v>
      </c>
      <c r="B13" s="661">
        <v>3711531200</v>
      </c>
      <c r="C13" s="661">
        <v>2470196700</v>
      </c>
      <c r="D13" s="661">
        <v>5290947400</v>
      </c>
      <c r="E13" s="1472">
        <f t="shared" si="0"/>
        <v>9002478600</v>
      </c>
      <c r="F13" s="1472">
        <f t="shared" si="1"/>
        <v>7761144100</v>
      </c>
      <c r="G13" s="661">
        <v>48895209.719999999</v>
      </c>
      <c r="H13" s="656" t="s">
        <v>1305</v>
      </c>
      <c r="I13" s="755"/>
    </row>
    <row r="14" spans="1:9" ht="12" customHeight="1">
      <c r="A14" s="655" t="s">
        <v>349</v>
      </c>
      <c r="B14" s="661">
        <v>382927600</v>
      </c>
      <c r="C14" s="661">
        <v>356384100</v>
      </c>
      <c r="D14" s="661">
        <v>507135400</v>
      </c>
      <c r="E14" s="1472">
        <f t="shared" si="0"/>
        <v>890063000</v>
      </c>
      <c r="F14" s="1472">
        <f t="shared" si="1"/>
        <v>863519500</v>
      </c>
      <c r="G14" s="661">
        <v>4749357.25</v>
      </c>
      <c r="H14" s="656" t="s">
        <v>1305</v>
      </c>
      <c r="I14" s="755"/>
    </row>
    <row r="15" spans="1:9" ht="12" customHeight="1">
      <c r="A15" s="655" t="s">
        <v>809</v>
      </c>
      <c r="B15" s="661">
        <v>4202338000</v>
      </c>
      <c r="C15" s="661">
        <v>3042695800</v>
      </c>
      <c r="D15" s="661">
        <v>6377809500</v>
      </c>
      <c r="E15" s="1472">
        <f t="shared" si="0"/>
        <v>10580147500</v>
      </c>
      <c r="F15" s="1472">
        <f t="shared" si="1"/>
        <v>9420505300</v>
      </c>
      <c r="G15" s="661">
        <v>47102526.5</v>
      </c>
      <c r="H15" s="656" t="s">
        <v>1305</v>
      </c>
      <c r="I15" s="755"/>
    </row>
    <row r="16" spans="1:9" ht="21" customHeight="1">
      <c r="A16" s="655" t="s">
        <v>69</v>
      </c>
      <c r="B16" s="661">
        <v>350004500</v>
      </c>
      <c r="C16" s="661">
        <v>200378400</v>
      </c>
      <c r="D16" s="661">
        <v>273265400</v>
      </c>
      <c r="E16" s="1472">
        <f t="shared" si="0"/>
        <v>623269900</v>
      </c>
      <c r="F16" s="1472">
        <f t="shared" si="1"/>
        <v>473643800</v>
      </c>
      <c r="G16" s="661">
        <v>2841862.8</v>
      </c>
      <c r="H16" s="656" t="s">
        <v>1305</v>
      </c>
      <c r="I16" s="755"/>
    </row>
    <row r="17" spans="1:9" ht="12" customHeight="1">
      <c r="A17" s="655" t="s">
        <v>71</v>
      </c>
      <c r="B17" s="661">
        <v>1332035320</v>
      </c>
      <c r="C17" s="661">
        <v>1019770640</v>
      </c>
      <c r="D17" s="661">
        <v>2909751100</v>
      </c>
      <c r="E17" s="1472">
        <f t="shared" si="0"/>
        <v>4241786420</v>
      </c>
      <c r="F17" s="1472">
        <f t="shared" si="1"/>
        <v>3929521740</v>
      </c>
      <c r="G17" s="661">
        <v>31043221.745999999</v>
      </c>
      <c r="H17" s="656" t="s">
        <v>1305</v>
      </c>
      <c r="I17" s="755"/>
    </row>
    <row r="18" spans="1:9" ht="12" customHeight="1">
      <c r="A18" s="655" t="s">
        <v>73</v>
      </c>
      <c r="B18" s="661">
        <v>697842100</v>
      </c>
      <c r="C18" s="661">
        <v>697842100</v>
      </c>
      <c r="D18" s="661">
        <v>633722233</v>
      </c>
      <c r="E18" s="1472">
        <f t="shared" si="0"/>
        <v>1331564333</v>
      </c>
      <c r="F18" s="1472">
        <f t="shared" si="1"/>
        <v>1331564333</v>
      </c>
      <c r="G18" s="661">
        <v>8655168.1645</v>
      </c>
      <c r="H18" s="656" t="s">
        <v>1305</v>
      </c>
      <c r="I18" s="755"/>
    </row>
    <row r="19" spans="1:9" ht="12" customHeight="1">
      <c r="A19" s="655" t="s">
        <v>75</v>
      </c>
      <c r="B19" s="661">
        <v>616918022</v>
      </c>
      <c r="C19" s="661">
        <v>616918022</v>
      </c>
      <c r="D19" s="661">
        <v>1522871569</v>
      </c>
      <c r="E19" s="1472">
        <f t="shared" si="0"/>
        <v>2139789591</v>
      </c>
      <c r="F19" s="1472">
        <f t="shared" si="1"/>
        <v>2139789591</v>
      </c>
      <c r="G19" s="661">
        <v>8345180.2599999998</v>
      </c>
      <c r="H19" s="656" t="s">
        <v>1305</v>
      </c>
      <c r="I19" s="755"/>
    </row>
    <row r="20" spans="1:9" ht="12" customHeight="1">
      <c r="A20" s="655" t="s">
        <v>77</v>
      </c>
      <c r="B20" s="661">
        <v>784837100</v>
      </c>
      <c r="C20" s="661">
        <v>784837100</v>
      </c>
      <c r="D20" s="661">
        <v>824320999</v>
      </c>
      <c r="E20" s="1472">
        <f t="shared" si="0"/>
        <v>1609158099</v>
      </c>
      <c r="F20" s="1472">
        <f t="shared" si="1"/>
        <v>1609158099</v>
      </c>
      <c r="G20" s="661">
        <v>8367622.1147999996</v>
      </c>
      <c r="H20" s="656" t="s">
        <v>1305</v>
      </c>
      <c r="I20" s="755"/>
    </row>
    <row r="21" spans="1:9" ht="21" customHeight="1">
      <c r="A21" s="655" t="s">
        <v>79</v>
      </c>
      <c r="B21" s="661">
        <v>1388714548</v>
      </c>
      <c r="C21" s="661">
        <v>1117162902</v>
      </c>
      <c r="D21" s="661">
        <v>3197566900</v>
      </c>
      <c r="E21" s="1472">
        <f t="shared" si="0"/>
        <v>4586281448</v>
      </c>
      <c r="F21" s="1472">
        <f t="shared" si="1"/>
        <v>4314729802</v>
      </c>
      <c r="G21" s="661">
        <v>22436594.970400002</v>
      </c>
      <c r="H21" s="656" t="s">
        <v>1305</v>
      </c>
      <c r="I21" s="755"/>
    </row>
    <row r="22" spans="1:9" ht="12" customHeight="1">
      <c r="A22" s="655" t="s">
        <v>81</v>
      </c>
      <c r="B22" s="661">
        <v>1485822736</v>
      </c>
      <c r="C22" s="661">
        <v>1268174706</v>
      </c>
      <c r="D22" s="661">
        <v>2062147700</v>
      </c>
      <c r="E22" s="1472">
        <f t="shared" si="0"/>
        <v>3547970436</v>
      </c>
      <c r="F22" s="1472">
        <f t="shared" si="1"/>
        <v>3330322406</v>
      </c>
      <c r="G22" s="661">
        <v>25643482.5262</v>
      </c>
      <c r="H22" s="656" t="s">
        <v>1305</v>
      </c>
      <c r="I22" s="755"/>
    </row>
    <row r="23" spans="1:9" ht="12" customHeight="1">
      <c r="A23" s="655" t="s">
        <v>83</v>
      </c>
      <c r="B23" s="661">
        <v>1067017100</v>
      </c>
      <c r="C23" s="661">
        <v>871956779</v>
      </c>
      <c r="D23" s="661">
        <v>1531860200</v>
      </c>
      <c r="E23" s="1472">
        <f t="shared" si="0"/>
        <v>2598877300</v>
      </c>
      <c r="F23" s="1472">
        <f t="shared" si="1"/>
        <v>2403816979</v>
      </c>
      <c r="G23" s="661">
        <v>15384428.6656</v>
      </c>
      <c r="H23" s="656" t="s">
        <v>1305</v>
      </c>
      <c r="I23" s="755"/>
    </row>
    <row r="24" spans="1:9" ht="12" customHeight="1">
      <c r="A24" s="655" t="s">
        <v>385</v>
      </c>
      <c r="B24" s="661">
        <v>433829220</v>
      </c>
      <c r="C24" s="661">
        <v>433829220</v>
      </c>
      <c r="D24" s="661">
        <v>448123759</v>
      </c>
      <c r="E24" s="1472">
        <f t="shared" si="0"/>
        <v>881952979</v>
      </c>
      <c r="F24" s="1472">
        <f t="shared" si="1"/>
        <v>881952979</v>
      </c>
      <c r="G24" s="661">
        <v>6702842.6403999999</v>
      </c>
      <c r="H24" s="656" t="s">
        <v>1305</v>
      </c>
      <c r="I24" s="755"/>
    </row>
    <row r="25" spans="1:9" ht="12" customHeight="1">
      <c r="A25" s="655" t="s">
        <v>87</v>
      </c>
      <c r="B25" s="661">
        <v>520237502</v>
      </c>
      <c r="C25" s="661">
        <v>520237502</v>
      </c>
      <c r="D25" s="661">
        <v>495120564</v>
      </c>
      <c r="E25" s="1472">
        <f t="shared" si="0"/>
        <v>1015358066</v>
      </c>
      <c r="F25" s="1472">
        <f t="shared" si="1"/>
        <v>1015358066</v>
      </c>
      <c r="G25" s="661">
        <v>6295220.0092000002</v>
      </c>
      <c r="H25" s="656" t="s">
        <v>1305</v>
      </c>
      <c r="I25" s="755"/>
    </row>
    <row r="26" spans="1:9" ht="21" customHeight="1">
      <c r="A26" s="655" t="s">
        <v>89</v>
      </c>
      <c r="B26" s="661">
        <v>11235799100</v>
      </c>
      <c r="C26" s="661">
        <v>11067436740</v>
      </c>
      <c r="D26" s="661">
        <v>39347699800</v>
      </c>
      <c r="E26" s="1472">
        <f t="shared" si="0"/>
        <v>50583498900</v>
      </c>
      <c r="F26" s="1472">
        <f t="shared" si="1"/>
        <v>50415136540</v>
      </c>
      <c r="G26" s="661">
        <v>463819256.16799998</v>
      </c>
      <c r="H26" s="656" t="s">
        <v>1305</v>
      </c>
      <c r="I26" s="755"/>
    </row>
    <row r="27" spans="1:9" ht="12" customHeight="1">
      <c r="A27" s="655" t="s">
        <v>91</v>
      </c>
      <c r="B27" s="661">
        <v>919182700</v>
      </c>
      <c r="C27" s="661">
        <v>919182700</v>
      </c>
      <c r="D27" s="661">
        <v>1594780300</v>
      </c>
      <c r="E27" s="1472">
        <f t="shared" si="0"/>
        <v>2513963000</v>
      </c>
      <c r="F27" s="1472">
        <f t="shared" si="1"/>
        <v>2513963000</v>
      </c>
      <c r="G27" s="661">
        <v>15335174.300000001</v>
      </c>
      <c r="H27" s="656" t="s">
        <v>1305</v>
      </c>
      <c r="I27" s="755"/>
    </row>
    <row r="28" spans="1:9" ht="12" customHeight="1">
      <c r="A28" s="655" t="s">
        <v>93</v>
      </c>
      <c r="B28" s="661">
        <v>230682586</v>
      </c>
      <c r="C28" s="661">
        <v>230682586</v>
      </c>
      <c r="D28" s="661">
        <v>298532114</v>
      </c>
      <c r="E28" s="1472">
        <f t="shared" si="0"/>
        <v>529214700</v>
      </c>
      <c r="F28" s="1472">
        <f t="shared" si="1"/>
        <v>529214700</v>
      </c>
      <c r="G28" s="661">
        <v>3334052.61</v>
      </c>
      <c r="H28" s="656" t="s">
        <v>1305</v>
      </c>
      <c r="I28" s="755"/>
    </row>
    <row r="29" spans="1:9" ht="12" customHeight="1">
      <c r="A29" s="655" t="s">
        <v>95</v>
      </c>
      <c r="B29" s="661">
        <v>2636672428</v>
      </c>
      <c r="C29" s="661">
        <v>2133784328</v>
      </c>
      <c r="D29" s="661">
        <v>4431626300</v>
      </c>
      <c r="E29" s="1472">
        <f t="shared" si="0"/>
        <v>7068298728</v>
      </c>
      <c r="F29" s="1472">
        <f t="shared" si="1"/>
        <v>6565410628</v>
      </c>
      <c r="G29" s="661">
        <v>36109758.454000004</v>
      </c>
      <c r="H29" s="656" t="s">
        <v>1305</v>
      </c>
      <c r="I29" s="755"/>
    </row>
    <row r="30" spans="1:9" ht="12" customHeight="1">
      <c r="A30" s="655" t="s">
        <v>97</v>
      </c>
      <c r="B30" s="661">
        <v>446016820</v>
      </c>
      <c r="C30" s="661">
        <v>404325546</v>
      </c>
      <c r="D30" s="661">
        <v>533512690</v>
      </c>
      <c r="E30" s="1472">
        <f t="shared" si="0"/>
        <v>979529510</v>
      </c>
      <c r="F30" s="1472">
        <f t="shared" si="1"/>
        <v>937838236</v>
      </c>
      <c r="G30" s="661">
        <v>7033786.7699999996</v>
      </c>
      <c r="H30" s="656" t="s">
        <v>1305</v>
      </c>
      <c r="I30" s="755"/>
    </row>
    <row r="31" spans="1:9" ht="21" customHeight="1">
      <c r="A31" s="655" t="s">
        <v>99</v>
      </c>
      <c r="B31" s="661">
        <v>415572089</v>
      </c>
      <c r="C31" s="661">
        <v>415556989</v>
      </c>
      <c r="D31" s="661">
        <v>814180088</v>
      </c>
      <c r="E31" s="1472">
        <f t="shared" si="0"/>
        <v>1229752177</v>
      </c>
      <c r="F31" s="1472">
        <f t="shared" si="1"/>
        <v>1229737077</v>
      </c>
      <c r="G31" s="661">
        <v>7378422.4620000003</v>
      </c>
      <c r="H31" s="656" t="s">
        <v>1305</v>
      </c>
      <c r="I31" s="755"/>
    </row>
    <row r="32" spans="1:9" ht="12" customHeight="1">
      <c r="A32" s="655" t="s">
        <v>101</v>
      </c>
      <c r="B32" s="661">
        <v>1038621329</v>
      </c>
      <c r="C32" s="661">
        <v>729820058</v>
      </c>
      <c r="D32" s="661">
        <v>1804716585</v>
      </c>
      <c r="E32" s="1472">
        <f t="shared" si="0"/>
        <v>2843337914</v>
      </c>
      <c r="F32" s="1472">
        <f t="shared" si="1"/>
        <v>2534536643</v>
      </c>
      <c r="G32" s="661">
        <v>20022839.479699999</v>
      </c>
      <c r="H32" s="656" t="s">
        <v>1305</v>
      </c>
      <c r="I32" s="755"/>
    </row>
    <row r="33" spans="1:9" ht="12" customHeight="1">
      <c r="A33" s="655" t="s">
        <v>103</v>
      </c>
      <c r="B33" s="661">
        <v>692705503</v>
      </c>
      <c r="C33" s="661">
        <v>594873121</v>
      </c>
      <c r="D33" s="661">
        <v>928066372</v>
      </c>
      <c r="E33" s="1472">
        <f t="shared" si="0"/>
        <v>1620771875</v>
      </c>
      <c r="F33" s="1472">
        <f t="shared" si="1"/>
        <v>1522939493</v>
      </c>
      <c r="G33" s="661">
        <v>11117458.298900001</v>
      </c>
      <c r="H33" s="656" t="s">
        <v>1305</v>
      </c>
      <c r="I33" s="755"/>
    </row>
    <row r="34" spans="1:9" ht="12" customHeight="1">
      <c r="A34" s="655" t="s">
        <v>1238</v>
      </c>
      <c r="B34" s="661">
        <v>103314484790</v>
      </c>
      <c r="C34" s="661">
        <v>103124903695</v>
      </c>
      <c r="D34" s="661">
        <v>192455964510</v>
      </c>
      <c r="E34" s="1472">
        <f t="shared" si="0"/>
        <v>295770449300</v>
      </c>
      <c r="F34" s="1472">
        <f t="shared" si="1"/>
        <v>295580868205</v>
      </c>
      <c r="G34" s="661">
        <v>3280947637.0755</v>
      </c>
      <c r="H34" s="656" t="s">
        <v>1305</v>
      </c>
      <c r="I34" s="755"/>
    </row>
    <row r="35" spans="1:9" ht="12" customHeight="1">
      <c r="A35" s="655" t="s">
        <v>107</v>
      </c>
      <c r="B35" s="661">
        <v>6647559500</v>
      </c>
      <c r="C35" s="661">
        <v>5216242600</v>
      </c>
      <c r="D35" s="661">
        <v>10236945100</v>
      </c>
      <c r="E35" s="1472">
        <f t="shared" si="0"/>
        <v>16884504600</v>
      </c>
      <c r="F35" s="1472">
        <f t="shared" si="1"/>
        <v>15453187700</v>
      </c>
      <c r="G35" s="661">
        <v>139542284.93099999</v>
      </c>
      <c r="H35" s="656" t="s">
        <v>1305</v>
      </c>
      <c r="I35" s="755"/>
    </row>
    <row r="36" spans="1:9" ht="15.5">
      <c r="A36" s="825" t="s">
        <v>810</v>
      </c>
    </row>
    <row r="37" spans="1:9" ht="13">
      <c r="A37" s="854" t="str">
        <f>A2</f>
        <v>Real Estate Fair Market Value (FMV), Fair Market Value (Taxable), and Local Levy by Locality - Tax Year 2022</v>
      </c>
      <c r="B37" s="854"/>
      <c r="C37" s="854"/>
      <c r="D37" s="854"/>
      <c r="E37" s="854"/>
      <c r="F37" s="854"/>
      <c r="G37" s="854"/>
      <c r="H37" s="854"/>
    </row>
    <row r="38" spans="1:9" ht="4" customHeight="1">
      <c r="A38" s="682"/>
      <c r="B38" s="682"/>
      <c r="C38" s="682"/>
      <c r="D38" s="682"/>
      <c r="E38" s="682"/>
      <c r="F38" s="682"/>
      <c r="G38" s="682"/>
      <c r="H38" s="682"/>
    </row>
    <row r="39" spans="1:9" ht="4" customHeight="1" thickBot="1">
      <c r="A39" s="657"/>
      <c r="B39" s="657"/>
      <c r="C39" s="657"/>
      <c r="D39" s="657"/>
      <c r="E39" s="657"/>
      <c r="F39" s="657"/>
      <c r="G39" s="657"/>
      <c r="H39" s="657"/>
    </row>
    <row r="40" spans="1:9" ht="23">
      <c r="A40" s="1319" t="s">
        <v>21</v>
      </c>
      <c r="B40" s="1321" t="s">
        <v>802</v>
      </c>
      <c r="C40" s="1320" t="s">
        <v>803</v>
      </c>
      <c r="D40" s="1320" t="s">
        <v>804</v>
      </c>
      <c r="E40" s="1321" t="s">
        <v>805</v>
      </c>
      <c r="F40" s="1320" t="s">
        <v>806</v>
      </c>
      <c r="G40" s="1321" t="s">
        <v>807</v>
      </c>
      <c r="H40" s="925" t="s">
        <v>808</v>
      </c>
    </row>
    <row r="41" spans="1:9" ht="21" customHeight="1">
      <c r="A41" s="655" t="s">
        <v>109</v>
      </c>
      <c r="B41" s="660">
        <v>931902600</v>
      </c>
      <c r="C41" s="660">
        <v>732662600</v>
      </c>
      <c r="D41" s="660">
        <v>991925500</v>
      </c>
      <c r="E41" s="1471">
        <f t="shared" ref="E41:E70" si="2">IF(SUM(B41,D41)=0,"",SUM(B41,D41))</f>
        <v>1923828100</v>
      </c>
      <c r="F41" s="1471">
        <f t="shared" ref="F41:F70" si="3">IF(SUM(C41:D41)=0,"",SUM(C41:D41))</f>
        <v>1724588100</v>
      </c>
      <c r="G41" s="660">
        <v>11209822.65</v>
      </c>
      <c r="H41" s="656" t="s">
        <v>1305</v>
      </c>
      <c r="I41" s="755"/>
    </row>
    <row r="42" spans="1:9" ht="12" customHeight="1">
      <c r="A42" s="655" t="s">
        <v>111</v>
      </c>
      <c r="B42" s="661">
        <v>1047638202</v>
      </c>
      <c r="C42" s="661">
        <v>747337702</v>
      </c>
      <c r="D42" s="661">
        <v>2209847625</v>
      </c>
      <c r="E42" s="1472">
        <f t="shared" si="2"/>
        <v>3257485827</v>
      </c>
      <c r="F42" s="1472">
        <f t="shared" si="3"/>
        <v>2957185327</v>
      </c>
      <c r="G42" s="661">
        <v>25727512.344900001</v>
      </c>
      <c r="H42" s="656" t="s">
        <v>1305</v>
      </c>
      <c r="I42" s="755"/>
    </row>
    <row r="43" spans="1:9" ht="12" customHeight="1">
      <c r="A43" s="655" t="s">
        <v>24</v>
      </c>
      <c r="B43" s="661">
        <v>3033498700</v>
      </c>
      <c r="C43" s="661">
        <v>2597763470</v>
      </c>
      <c r="D43" s="661">
        <v>4624587400</v>
      </c>
      <c r="E43" s="1472">
        <f t="shared" si="2"/>
        <v>7658086100</v>
      </c>
      <c r="F43" s="1472">
        <f t="shared" si="3"/>
        <v>7222350870</v>
      </c>
      <c r="G43" s="661">
        <v>44157328</v>
      </c>
      <c r="H43" s="656" t="s">
        <v>1305</v>
      </c>
      <c r="I43" s="755"/>
    </row>
    <row r="44" spans="1:9" ht="12" customHeight="1">
      <c r="A44" s="655" t="s">
        <v>114</v>
      </c>
      <c r="B44" s="661">
        <v>4512036400</v>
      </c>
      <c r="C44" s="661">
        <v>3960750500</v>
      </c>
      <c r="D44" s="661">
        <v>10973813900</v>
      </c>
      <c r="E44" s="1472">
        <f t="shared" si="2"/>
        <v>15485850300</v>
      </c>
      <c r="F44" s="1472">
        <f t="shared" si="3"/>
        <v>14934564400</v>
      </c>
      <c r="G44" s="661">
        <v>76166278.439999998</v>
      </c>
      <c r="H44" s="656" t="s">
        <v>1305</v>
      </c>
      <c r="I44" s="755"/>
    </row>
    <row r="45" spans="1:9" ht="12" customHeight="1">
      <c r="A45" s="655" t="s">
        <v>116</v>
      </c>
      <c r="B45" s="661">
        <v>454490100</v>
      </c>
      <c r="C45" s="661">
        <v>334684500</v>
      </c>
      <c r="D45" s="661">
        <v>838553700</v>
      </c>
      <c r="E45" s="1472">
        <f t="shared" si="2"/>
        <v>1293043800</v>
      </c>
      <c r="F45" s="1472">
        <f t="shared" si="3"/>
        <v>1173238200</v>
      </c>
      <c r="G45" s="661">
        <v>7978019.7599999998</v>
      </c>
      <c r="H45" s="656" t="s">
        <v>1305</v>
      </c>
      <c r="I45" s="755"/>
    </row>
    <row r="46" spans="1:9" ht="21" customHeight="1">
      <c r="A46" s="655" t="s">
        <v>51</v>
      </c>
      <c r="B46" s="661">
        <v>1763429562</v>
      </c>
      <c r="C46" s="661">
        <v>1672024158</v>
      </c>
      <c r="D46" s="661">
        <v>3103847253</v>
      </c>
      <c r="E46" s="1472">
        <f t="shared" si="2"/>
        <v>4867276815</v>
      </c>
      <c r="F46" s="1472">
        <f t="shared" si="3"/>
        <v>4775871411</v>
      </c>
      <c r="G46" s="661">
        <v>34625067.729800001</v>
      </c>
      <c r="H46" s="656" t="s">
        <v>1305</v>
      </c>
      <c r="I46" s="755"/>
    </row>
    <row r="47" spans="1:9" ht="12" customHeight="1">
      <c r="A47" s="655" t="s">
        <v>53</v>
      </c>
      <c r="B47" s="661">
        <v>3299150900</v>
      </c>
      <c r="C47" s="661">
        <v>2584064600</v>
      </c>
      <c r="D47" s="661">
        <v>4367674200</v>
      </c>
      <c r="E47" s="1472">
        <f t="shared" si="2"/>
        <v>7666825100</v>
      </c>
      <c r="F47" s="1472">
        <f t="shared" si="3"/>
        <v>6951738800</v>
      </c>
      <c r="G47" s="661">
        <v>36844215.640000001</v>
      </c>
      <c r="H47" s="656" t="s">
        <v>1305</v>
      </c>
      <c r="I47" s="755"/>
    </row>
    <row r="48" spans="1:9" ht="12" customHeight="1">
      <c r="A48" s="655" t="s">
        <v>55</v>
      </c>
      <c r="B48" s="661">
        <v>1060173000</v>
      </c>
      <c r="C48" s="661">
        <v>1060173000</v>
      </c>
      <c r="D48" s="661">
        <v>823083400</v>
      </c>
      <c r="E48" s="1472">
        <f t="shared" si="2"/>
        <v>1883256400</v>
      </c>
      <c r="F48" s="1472">
        <f t="shared" si="3"/>
        <v>1883256400</v>
      </c>
      <c r="G48" s="661">
        <v>10169584.560000001</v>
      </c>
      <c r="H48" s="656" t="s">
        <v>1305</v>
      </c>
      <c r="I48" s="755"/>
    </row>
    <row r="49" spans="1:9" ht="12" customHeight="1">
      <c r="A49" s="655" t="s">
        <v>57</v>
      </c>
      <c r="B49" s="661">
        <v>953163202</v>
      </c>
      <c r="C49" s="661">
        <v>677519602</v>
      </c>
      <c r="D49" s="661">
        <v>1593688947</v>
      </c>
      <c r="E49" s="1472">
        <f t="shared" si="2"/>
        <v>2546852149</v>
      </c>
      <c r="F49" s="1472">
        <f t="shared" si="3"/>
        <v>2271208549</v>
      </c>
      <c r="G49" s="661">
        <v>18623910.101799998</v>
      </c>
      <c r="H49" s="656" t="s">
        <v>1305</v>
      </c>
      <c r="I49" s="755"/>
    </row>
    <row r="50" spans="1:9" ht="12" customHeight="1">
      <c r="A50" s="655" t="s">
        <v>59</v>
      </c>
      <c r="B50" s="661">
        <v>339740140</v>
      </c>
      <c r="C50" s="661">
        <v>325167940</v>
      </c>
      <c r="D50" s="661">
        <v>319995900</v>
      </c>
      <c r="E50" s="1472">
        <f t="shared" si="2"/>
        <v>659736040</v>
      </c>
      <c r="F50" s="1472">
        <f t="shared" si="3"/>
        <v>645163840</v>
      </c>
      <c r="G50" s="661">
        <v>4322597.7280000001</v>
      </c>
      <c r="H50" s="656" t="s">
        <v>1305</v>
      </c>
      <c r="I50" s="755"/>
    </row>
    <row r="51" spans="1:9" ht="21" customHeight="1">
      <c r="A51" s="655" t="s">
        <v>318</v>
      </c>
      <c r="B51" s="661">
        <v>1174378086</v>
      </c>
      <c r="C51" s="661">
        <v>1166998522</v>
      </c>
      <c r="D51" s="661">
        <v>1746002938</v>
      </c>
      <c r="E51" s="1472">
        <f t="shared" si="2"/>
        <v>2920381024</v>
      </c>
      <c r="F51" s="1472">
        <f t="shared" si="3"/>
        <v>2913001460</v>
      </c>
      <c r="G51" s="661">
        <v>14565007.300000001</v>
      </c>
      <c r="H51" s="656" t="s">
        <v>1305</v>
      </c>
      <c r="I51" s="755"/>
    </row>
    <row r="52" spans="1:9" ht="12" customHeight="1">
      <c r="A52" s="655" t="s">
        <v>63</v>
      </c>
      <c r="B52" s="661">
        <v>6382399784</v>
      </c>
      <c r="C52" s="661">
        <v>5615163070.4099998</v>
      </c>
      <c r="D52" s="661">
        <v>14601445750</v>
      </c>
      <c r="E52" s="1472">
        <f t="shared" si="2"/>
        <v>20983845534</v>
      </c>
      <c r="F52" s="1472">
        <f t="shared" si="3"/>
        <v>20216608820.41</v>
      </c>
      <c r="G52" s="661">
        <v>163754531.44530001</v>
      </c>
      <c r="H52" s="656" t="s">
        <v>1305</v>
      </c>
      <c r="I52" s="755"/>
    </row>
    <row r="53" spans="1:9" ht="12" customHeight="1">
      <c r="A53" s="655" t="s">
        <v>65</v>
      </c>
      <c r="B53" s="661">
        <v>11639486900</v>
      </c>
      <c r="C53" s="661">
        <v>11457463800</v>
      </c>
      <c r="D53" s="661">
        <v>38391914200</v>
      </c>
      <c r="E53" s="1472">
        <f t="shared" si="2"/>
        <v>50031401100</v>
      </c>
      <c r="F53" s="1472">
        <f t="shared" si="3"/>
        <v>49849378000</v>
      </c>
      <c r="G53" s="661">
        <v>423719713</v>
      </c>
      <c r="H53" s="656" t="s">
        <v>1305</v>
      </c>
      <c r="I53" s="755"/>
    </row>
    <row r="54" spans="1:9" ht="12" customHeight="1">
      <c r="A54" s="655" t="s">
        <v>67</v>
      </c>
      <c r="B54" s="661">
        <v>801613052</v>
      </c>
      <c r="C54" s="661">
        <v>766643652</v>
      </c>
      <c r="D54" s="661">
        <v>2233152060</v>
      </c>
      <c r="E54" s="1472">
        <f t="shared" si="2"/>
        <v>3034765112</v>
      </c>
      <c r="F54" s="1472">
        <f t="shared" si="3"/>
        <v>2999795712</v>
      </c>
      <c r="G54" s="661">
        <v>16648866.2016</v>
      </c>
      <c r="H54" s="656" t="s">
        <v>1305</v>
      </c>
      <c r="I54" s="755"/>
    </row>
    <row r="55" spans="1:9" ht="12" customHeight="1">
      <c r="A55" s="655" t="s">
        <v>68</v>
      </c>
      <c r="B55" s="661">
        <v>435087100</v>
      </c>
      <c r="C55" s="661">
        <v>435087100</v>
      </c>
      <c r="D55" s="661">
        <v>242437100</v>
      </c>
      <c r="E55" s="1472">
        <f t="shared" si="2"/>
        <v>677524200</v>
      </c>
      <c r="F55" s="1472">
        <f t="shared" si="3"/>
        <v>677524200</v>
      </c>
      <c r="G55" s="661">
        <v>3252116.16</v>
      </c>
      <c r="H55" s="656" t="s">
        <v>1305</v>
      </c>
      <c r="I55" s="755"/>
    </row>
    <row r="56" spans="1:9" ht="21" customHeight="1">
      <c r="A56" s="655" t="s">
        <v>70</v>
      </c>
      <c r="B56" s="661">
        <v>1756349202</v>
      </c>
      <c r="C56" s="661">
        <v>1450304402</v>
      </c>
      <c r="D56" s="661">
        <v>3452186184</v>
      </c>
      <c r="E56" s="1472">
        <f t="shared" si="2"/>
        <v>5208535386</v>
      </c>
      <c r="F56" s="1472">
        <f t="shared" si="3"/>
        <v>4902490586</v>
      </c>
      <c r="G56" s="661">
        <v>41671169.980999999</v>
      </c>
      <c r="H56" s="656" t="s">
        <v>1305</v>
      </c>
      <c r="I56" s="755"/>
    </row>
    <row r="57" spans="1:9" ht="12" customHeight="1">
      <c r="A57" s="655" t="s">
        <v>342</v>
      </c>
      <c r="B57" s="661">
        <v>3495907400</v>
      </c>
      <c r="C57" s="661">
        <v>3378336442</v>
      </c>
      <c r="D57" s="661">
        <v>10553133100</v>
      </c>
      <c r="E57" s="1472">
        <f t="shared" si="2"/>
        <v>14049040500</v>
      </c>
      <c r="F57" s="1472">
        <f t="shared" si="3"/>
        <v>13931469542</v>
      </c>
      <c r="G57" s="661">
        <v>117024344.15279999</v>
      </c>
      <c r="H57" s="656" t="s">
        <v>1305</v>
      </c>
      <c r="I57" s="755"/>
    </row>
    <row r="58" spans="1:9" ht="12" customHeight="1">
      <c r="A58" s="655" t="s">
        <v>74</v>
      </c>
      <c r="B58" s="661">
        <v>495312900</v>
      </c>
      <c r="C58" s="661">
        <v>495312900</v>
      </c>
      <c r="D58" s="661">
        <v>423908300</v>
      </c>
      <c r="E58" s="1472">
        <f t="shared" si="2"/>
        <v>919221200</v>
      </c>
      <c r="F58" s="1472">
        <f t="shared" si="3"/>
        <v>919221200</v>
      </c>
      <c r="G58" s="661">
        <v>5055716.5999999996</v>
      </c>
      <c r="H58" s="656" t="s">
        <v>1305</v>
      </c>
      <c r="I58" s="755"/>
    </row>
    <row r="59" spans="1:9" ht="12" customHeight="1">
      <c r="A59" s="655" t="s">
        <v>76</v>
      </c>
      <c r="B59" s="661">
        <v>1416430720</v>
      </c>
      <c r="C59" s="661">
        <v>1186335765</v>
      </c>
      <c r="D59" s="661">
        <v>2764947011</v>
      </c>
      <c r="E59" s="1472">
        <f t="shared" si="2"/>
        <v>4181377731</v>
      </c>
      <c r="F59" s="1472">
        <f t="shared" si="3"/>
        <v>3951282776</v>
      </c>
      <c r="G59" s="661">
        <v>25288209.766399998</v>
      </c>
      <c r="H59" s="656" t="s">
        <v>1305</v>
      </c>
      <c r="I59" s="755"/>
    </row>
    <row r="60" spans="1:9" ht="12" customHeight="1">
      <c r="A60" s="655" t="s">
        <v>354</v>
      </c>
      <c r="B60" s="661">
        <v>650588599</v>
      </c>
      <c r="C60" s="661">
        <v>524426295</v>
      </c>
      <c r="D60" s="661">
        <v>847990108</v>
      </c>
      <c r="E60" s="1472">
        <f t="shared" si="2"/>
        <v>1498578707</v>
      </c>
      <c r="F60" s="1472">
        <f t="shared" si="3"/>
        <v>1372416403</v>
      </c>
      <c r="G60" s="661">
        <v>11459697.140000001</v>
      </c>
      <c r="H60" s="656" t="s">
        <v>1305</v>
      </c>
      <c r="I60" s="755"/>
    </row>
    <row r="61" spans="1:9" ht="21" customHeight="1">
      <c r="A61" s="655" t="s">
        <v>358</v>
      </c>
      <c r="B61" s="661">
        <v>1181051900</v>
      </c>
      <c r="C61" s="661">
        <v>1147195500</v>
      </c>
      <c r="D61" s="661">
        <v>1540588900</v>
      </c>
      <c r="E61" s="1472">
        <f t="shared" si="2"/>
        <v>2721640800</v>
      </c>
      <c r="F61" s="1472">
        <f t="shared" si="3"/>
        <v>2687784400</v>
      </c>
      <c r="G61" s="661">
        <v>16933041.719999999</v>
      </c>
      <c r="H61" s="656" t="s">
        <v>1305</v>
      </c>
      <c r="I61" s="755"/>
    </row>
    <row r="62" spans="1:9" ht="12" customHeight="1">
      <c r="A62" s="655" t="s">
        <v>82</v>
      </c>
      <c r="B62" s="661">
        <v>325113900</v>
      </c>
      <c r="C62" s="661">
        <v>325113900</v>
      </c>
      <c r="D62" s="661">
        <v>648640482</v>
      </c>
      <c r="E62" s="1472">
        <f t="shared" si="2"/>
        <v>973754382</v>
      </c>
      <c r="F62" s="1472">
        <f t="shared" si="3"/>
        <v>973754382</v>
      </c>
      <c r="G62" s="661">
        <v>6024618.3613999998</v>
      </c>
      <c r="H62" s="656" t="s">
        <v>1305</v>
      </c>
      <c r="I62" s="755"/>
    </row>
    <row r="63" spans="1:9" ht="12" customHeight="1">
      <c r="A63" s="655" t="s">
        <v>84</v>
      </c>
      <c r="B63" s="661">
        <v>36638024090</v>
      </c>
      <c r="C63" s="661">
        <v>34816704550</v>
      </c>
      <c r="D63" s="661">
        <v>78244726370</v>
      </c>
      <c r="E63" s="1472">
        <f t="shared" si="2"/>
        <v>114882750460</v>
      </c>
      <c r="F63" s="1472">
        <f t="shared" si="3"/>
        <v>113061430920</v>
      </c>
      <c r="G63" s="661">
        <v>1006246735.188</v>
      </c>
      <c r="H63" s="656" t="s">
        <v>1305</v>
      </c>
      <c r="I63" s="755"/>
    </row>
    <row r="64" spans="1:9" ht="12" customHeight="1">
      <c r="A64" s="655" t="s">
        <v>86</v>
      </c>
      <c r="B64" s="661">
        <v>2405530800</v>
      </c>
      <c r="C64" s="661">
        <v>1880977300</v>
      </c>
      <c r="D64" s="661">
        <v>4653313600</v>
      </c>
      <c r="E64" s="1472">
        <f t="shared" si="2"/>
        <v>7058844400</v>
      </c>
      <c r="F64" s="1472">
        <f t="shared" si="3"/>
        <v>6534290900</v>
      </c>
      <c r="G64" s="661">
        <v>47046894.479999997</v>
      </c>
      <c r="H64" s="656" t="s">
        <v>1305</v>
      </c>
      <c r="I64" s="755"/>
    </row>
    <row r="65" spans="1:9" ht="12" customHeight="1">
      <c r="A65" s="655" t="s">
        <v>88</v>
      </c>
      <c r="B65" s="661">
        <v>471249400</v>
      </c>
      <c r="C65" s="661">
        <v>471249400</v>
      </c>
      <c r="D65" s="661">
        <v>475669300</v>
      </c>
      <c r="E65" s="1472">
        <f t="shared" si="2"/>
        <v>946918700</v>
      </c>
      <c r="F65" s="1472">
        <f t="shared" si="3"/>
        <v>946918700</v>
      </c>
      <c r="G65" s="661">
        <v>3598291.06</v>
      </c>
      <c r="H65" s="656" t="s">
        <v>1305</v>
      </c>
      <c r="I65" s="755"/>
    </row>
    <row r="66" spans="1:9" ht="21" customHeight="1">
      <c r="A66" s="655" t="s">
        <v>90</v>
      </c>
      <c r="B66" s="661">
        <v>1204966000</v>
      </c>
      <c r="C66" s="661">
        <v>682208900</v>
      </c>
      <c r="D66" s="661">
        <v>1152519300</v>
      </c>
      <c r="E66" s="1472">
        <f t="shared" si="2"/>
        <v>2357485300</v>
      </c>
      <c r="F66" s="1472">
        <f t="shared" si="3"/>
        <v>1834728200</v>
      </c>
      <c r="G66" s="661">
        <v>13576988.68</v>
      </c>
      <c r="H66" s="656" t="s">
        <v>1305</v>
      </c>
      <c r="I66" s="755"/>
    </row>
    <row r="67" spans="1:9" ht="12" customHeight="1">
      <c r="A67" s="655" t="s">
        <v>92</v>
      </c>
      <c r="B67" s="661">
        <v>718164700</v>
      </c>
      <c r="C67" s="661">
        <v>718164700</v>
      </c>
      <c r="D67" s="661">
        <v>927322800</v>
      </c>
      <c r="E67" s="1472">
        <f t="shared" si="2"/>
        <v>1645487500</v>
      </c>
      <c r="F67" s="1472">
        <f t="shared" si="3"/>
        <v>1645487500</v>
      </c>
      <c r="G67" s="661">
        <v>10531120</v>
      </c>
      <c r="H67" s="656" t="s">
        <v>1305</v>
      </c>
      <c r="I67" s="755"/>
    </row>
    <row r="68" spans="1:9" ht="12" customHeight="1">
      <c r="A68" s="655" t="s">
        <v>94</v>
      </c>
      <c r="B68" s="661">
        <v>1577316300</v>
      </c>
      <c r="C68" s="661">
        <v>1577316300</v>
      </c>
      <c r="D68" s="661">
        <v>3395797300</v>
      </c>
      <c r="E68" s="1472">
        <f t="shared" si="2"/>
        <v>4973113600</v>
      </c>
      <c r="F68" s="1472">
        <f t="shared" si="3"/>
        <v>4973113600</v>
      </c>
      <c r="G68" s="661">
        <v>20887077.120000001</v>
      </c>
      <c r="H68" s="656" t="s">
        <v>1305</v>
      </c>
      <c r="I68" s="755"/>
    </row>
    <row r="69" spans="1:9" ht="12" customHeight="1">
      <c r="A69" s="655" t="s">
        <v>96</v>
      </c>
      <c r="B69" s="661">
        <v>1149617400</v>
      </c>
      <c r="C69" s="661">
        <v>1081122300</v>
      </c>
      <c r="D69" s="661">
        <v>1433572000</v>
      </c>
      <c r="E69" s="1472">
        <f t="shared" si="2"/>
        <v>2583189400</v>
      </c>
      <c r="F69" s="1472">
        <f t="shared" si="3"/>
        <v>2514694300</v>
      </c>
      <c r="G69" s="661">
        <v>15339635.23</v>
      </c>
      <c r="H69" s="656" t="s">
        <v>1305</v>
      </c>
      <c r="I69" s="755"/>
    </row>
    <row r="70" spans="1:9" ht="12" customHeight="1">
      <c r="A70" s="655" t="s">
        <v>98</v>
      </c>
      <c r="B70" s="661">
        <v>2316099000</v>
      </c>
      <c r="C70" s="661">
        <v>2121171600</v>
      </c>
      <c r="D70" s="661">
        <v>6814376400</v>
      </c>
      <c r="E70" s="1472">
        <f t="shared" si="2"/>
        <v>9130475400</v>
      </c>
      <c r="F70" s="1472">
        <f t="shared" si="3"/>
        <v>8935548000</v>
      </c>
      <c r="G70" s="661">
        <v>79526377.200000003</v>
      </c>
      <c r="H70" s="656" t="s">
        <v>1305</v>
      </c>
      <c r="I70" s="755"/>
    </row>
    <row r="71" spans="1:9" ht="15.5">
      <c r="A71" s="825" t="s">
        <v>810</v>
      </c>
    </row>
    <row r="72" spans="1:9" ht="13">
      <c r="A72" s="854" t="str">
        <f>A37</f>
        <v>Real Estate Fair Market Value (FMV), Fair Market Value (Taxable), and Local Levy by Locality - Tax Year 2022</v>
      </c>
      <c r="B72" s="854"/>
      <c r="C72" s="854"/>
      <c r="D72" s="854"/>
      <c r="E72" s="854"/>
      <c r="F72" s="854"/>
      <c r="G72" s="854"/>
      <c r="H72" s="854"/>
    </row>
    <row r="73" spans="1:9" ht="4" customHeight="1">
      <c r="A73" s="682"/>
      <c r="B73" s="682"/>
      <c r="C73" s="682"/>
      <c r="D73" s="682"/>
      <c r="E73" s="682"/>
      <c r="F73" s="682"/>
      <c r="G73" s="682"/>
      <c r="H73" s="682"/>
    </row>
    <row r="74" spans="1:9" ht="4" customHeight="1" thickBot="1">
      <c r="A74" s="657"/>
      <c r="B74" s="657"/>
      <c r="C74" s="657"/>
      <c r="D74" s="657"/>
      <c r="E74" s="657"/>
      <c r="F74" s="657"/>
      <c r="G74" s="657"/>
      <c r="H74" s="657"/>
    </row>
    <row r="75" spans="1:9" ht="23">
      <c r="A75" s="1319" t="s">
        <v>21</v>
      </c>
      <c r="B75" s="1321" t="s">
        <v>802</v>
      </c>
      <c r="C75" s="1320" t="s">
        <v>803</v>
      </c>
      <c r="D75" s="1320" t="s">
        <v>804</v>
      </c>
      <c r="E75" s="1321" t="s">
        <v>805</v>
      </c>
      <c r="F75" s="1320" t="s">
        <v>806</v>
      </c>
      <c r="G75" s="1321" t="s">
        <v>807</v>
      </c>
      <c r="H75" s="925" t="s">
        <v>808</v>
      </c>
    </row>
    <row r="76" spans="1:9" ht="21" customHeight="1">
      <c r="A76" s="655" t="s">
        <v>100</v>
      </c>
      <c r="B76" s="660">
        <v>1338619900</v>
      </c>
      <c r="C76" s="660">
        <v>844374700</v>
      </c>
      <c r="D76" s="660">
        <v>2294688300</v>
      </c>
      <c r="E76" s="1473">
        <f t="shared" ref="E76:E105" si="4">IF(SUM(B76,D76)=0,"",SUM(B76,D76))</f>
        <v>3633308200</v>
      </c>
      <c r="F76" s="1473">
        <f t="shared" ref="F76:F105" si="5">IF(SUM(C76:D76)=0,"",SUM(C76:D76))</f>
        <v>3139063000</v>
      </c>
      <c r="G76" s="660">
        <v>20403909.5</v>
      </c>
      <c r="H76" s="656" t="s">
        <v>1305</v>
      </c>
      <c r="I76" s="755"/>
    </row>
    <row r="77" spans="1:9" ht="12" customHeight="1">
      <c r="A77" s="655" t="s">
        <v>102</v>
      </c>
      <c r="B77" s="661">
        <v>1634253223</v>
      </c>
      <c r="C77" s="661">
        <v>1499033363</v>
      </c>
      <c r="D77" s="661">
        <v>2764516862</v>
      </c>
      <c r="E77" s="1474">
        <f t="shared" si="4"/>
        <v>4398770085</v>
      </c>
      <c r="F77" s="1474">
        <f t="shared" si="5"/>
        <v>4263550225</v>
      </c>
      <c r="G77" s="661">
        <v>28565786.5075</v>
      </c>
      <c r="H77" s="656" t="s">
        <v>1305</v>
      </c>
      <c r="I77" s="755"/>
    </row>
    <row r="78" spans="1:9" ht="12" customHeight="1">
      <c r="A78" s="655" t="s">
        <v>104</v>
      </c>
      <c r="B78" s="661">
        <v>1188089900</v>
      </c>
      <c r="C78" s="661">
        <v>1078438600</v>
      </c>
      <c r="D78" s="661">
        <v>1278413100</v>
      </c>
      <c r="E78" s="1474">
        <f t="shared" si="4"/>
        <v>2466503000</v>
      </c>
      <c r="F78" s="1474">
        <f t="shared" si="5"/>
        <v>2356851700</v>
      </c>
      <c r="G78" s="661">
        <v>17912072.920000002</v>
      </c>
      <c r="H78" s="656" t="s">
        <v>1305</v>
      </c>
      <c r="I78" s="755"/>
    </row>
    <row r="79" spans="1:9" ht="12" customHeight="1">
      <c r="A79" s="655" t="s">
        <v>399</v>
      </c>
      <c r="B79" s="661">
        <v>1252691100</v>
      </c>
      <c r="C79" s="661">
        <v>1087265791</v>
      </c>
      <c r="D79" s="661">
        <v>1720843900</v>
      </c>
      <c r="E79" s="1474">
        <f t="shared" si="4"/>
        <v>2973535000</v>
      </c>
      <c r="F79" s="1474">
        <f t="shared" si="5"/>
        <v>2808109691</v>
      </c>
      <c r="G79" s="661">
        <v>17129469.1151</v>
      </c>
      <c r="H79" s="656" t="s">
        <v>1305</v>
      </c>
      <c r="I79" s="755"/>
    </row>
    <row r="80" spans="1:9" ht="12" customHeight="1">
      <c r="A80" s="655" t="s">
        <v>108</v>
      </c>
      <c r="B80" s="661">
        <v>369988000</v>
      </c>
      <c r="C80" s="661">
        <v>336523630</v>
      </c>
      <c r="D80" s="661">
        <v>633020266</v>
      </c>
      <c r="E80" s="1474">
        <f t="shared" si="4"/>
        <v>1003008266</v>
      </c>
      <c r="F80" s="1474">
        <f t="shared" si="5"/>
        <v>969543896</v>
      </c>
      <c r="G80" s="661">
        <v>4653810.7007999998</v>
      </c>
      <c r="H80" s="656" t="s">
        <v>1305</v>
      </c>
      <c r="I80" s="755"/>
    </row>
    <row r="81" spans="1:9" ht="21" customHeight="1">
      <c r="A81" s="655" t="s">
        <v>110</v>
      </c>
      <c r="B81" s="661">
        <v>1803531800</v>
      </c>
      <c r="C81" s="661">
        <v>1327583400</v>
      </c>
      <c r="D81" s="661">
        <v>3294444600</v>
      </c>
      <c r="E81" s="1474">
        <f t="shared" si="4"/>
        <v>5097976400</v>
      </c>
      <c r="F81" s="1474">
        <f t="shared" si="5"/>
        <v>4622028000</v>
      </c>
      <c r="G81" s="661">
        <v>34665210</v>
      </c>
      <c r="H81" s="656" t="s">
        <v>1305</v>
      </c>
      <c r="I81" s="755"/>
    </row>
    <row r="82" spans="1:9" ht="12" customHeight="1">
      <c r="A82" s="655" t="s">
        <v>112</v>
      </c>
      <c r="B82" s="661">
        <v>1110231700</v>
      </c>
      <c r="C82" s="661">
        <v>634110900</v>
      </c>
      <c r="D82" s="661">
        <v>1710961500</v>
      </c>
      <c r="E82" s="1474">
        <f t="shared" si="4"/>
        <v>2821193200</v>
      </c>
      <c r="F82" s="1474">
        <f t="shared" si="5"/>
        <v>2345072400</v>
      </c>
      <c r="G82" s="661">
        <v>17119028.52</v>
      </c>
      <c r="H82" s="656" t="s">
        <v>1305</v>
      </c>
      <c r="I82" s="755"/>
    </row>
    <row r="83" spans="1:9" ht="12" customHeight="1">
      <c r="A83" s="655" t="s">
        <v>113</v>
      </c>
      <c r="B83" s="661">
        <v>748544500</v>
      </c>
      <c r="C83" s="661">
        <v>748544500</v>
      </c>
      <c r="D83" s="661">
        <v>864121000</v>
      </c>
      <c r="E83" s="1474">
        <f t="shared" si="4"/>
        <v>1612665500</v>
      </c>
      <c r="F83" s="1474">
        <f t="shared" si="5"/>
        <v>1612665500</v>
      </c>
      <c r="G83" s="661">
        <v>11772458.15</v>
      </c>
      <c r="H83" s="656" t="s">
        <v>1305</v>
      </c>
      <c r="I83" s="755"/>
    </row>
    <row r="84" spans="1:9" ht="12" customHeight="1">
      <c r="A84" s="655" t="s">
        <v>115</v>
      </c>
      <c r="B84" s="661">
        <v>1924750260</v>
      </c>
      <c r="C84" s="661">
        <v>1361991660</v>
      </c>
      <c r="D84" s="661">
        <v>2967273200</v>
      </c>
      <c r="E84" s="1474">
        <f t="shared" si="4"/>
        <v>4892023460</v>
      </c>
      <c r="F84" s="1474">
        <f t="shared" si="5"/>
        <v>4329264860</v>
      </c>
      <c r="G84" s="661">
        <v>26841442.140000001</v>
      </c>
      <c r="H84" s="656" t="s">
        <v>1305</v>
      </c>
      <c r="I84" s="755"/>
    </row>
    <row r="85" spans="1:9" ht="12" customHeight="1">
      <c r="A85" s="655" t="s">
        <v>417</v>
      </c>
      <c r="B85" s="661">
        <v>1806670700</v>
      </c>
      <c r="C85" s="661">
        <v>1477515900</v>
      </c>
      <c r="D85" s="661">
        <v>3057636700</v>
      </c>
      <c r="E85" s="1474">
        <f t="shared" si="4"/>
        <v>4864307400</v>
      </c>
      <c r="F85" s="1474">
        <f t="shared" si="5"/>
        <v>4535152600</v>
      </c>
      <c r="G85" s="661">
        <v>34920675.020000003</v>
      </c>
      <c r="H85" s="656" t="s">
        <v>1305</v>
      </c>
      <c r="I85" s="755"/>
    </row>
    <row r="86" spans="1:9" ht="21" customHeight="1">
      <c r="A86" s="655" t="s">
        <v>118</v>
      </c>
      <c r="B86" s="661">
        <v>614081764</v>
      </c>
      <c r="C86" s="661">
        <v>599175364</v>
      </c>
      <c r="D86" s="661">
        <v>1237185400</v>
      </c>
      <c r="E86" s="1474">
        <f t="shared" si="4"/>
        <v>1851267164</v>
      </c>
      <c r="F86" s="1474">
        <f t="shared" si="5"/>
        <v>1836360764</v>
      </c>
      <c r="G86" s="661">
        <v>8630895.5908000004</v>
      </c>
      <c r="H86" s="656" t="s">
        <v>1305</v>
      </c>
      <c r="I86" s="755"/>
    </row>
    <row r="87" spans="1:9" ht="12" customHeight="1">
      <c r="A87" s="655" t="s">
        <v>422</v>
      </c>
      <c r="B87" s="661">
        <v>1132204100</v>
      </c>
      <c r="C87" s="661">
        <v>959808600</v>
      </c>
      <c r="D87" s="661">
        <v>2761083900</v>
      </c>
      <c r="E87" s="1474">
        <f t="shared" si="4"/>
        <v>3893288000</v>
      </c>
      <c r="F87" s="1474">
        <f t="shared" si="5"/>
        <v>3720892500</v>
      </c>
      <c r="G87" s="661">
        <v>30511318.5</v>
      </c>
      <c r="H87" s="656" t="s">
        <v>1305</v>
      </c>
      <c r="I87" s="755"/>
    </row>
    <row r="88" spans="1:9" ht="12" customHeight="1">
      <c r="A88" s="655" t="s">
        <v>122</v>
      </c>
      <c r="B88" s="661">
        <v>26346480300</v>
      </c>
      <c r="C88" s="661">
        <v>25932120900</v>
      </c>
      <c r="D88" s="661">
        <v>54960026000</v>
      </c>
      <c r="E88" s="1474">
        <f t="shared" si="4"/>
        <v>81306506300</v>
      </c>
      <c r="F88" s="1474">
        <f t="shared" si="5"/>
        <v>80892146900</v>
      </c>
      <c r="G88" s="661">
        <v>833189113.07000005</v>
      </c>
      <c r="H88" s="656" t="s">
        <v>1305</v>
      </c>
      <c r="I88" s="755"/>
    </row>
    <row r="89" spans="1:9" ht="12" customHeight="1">
      <c r="A89" s="655" t="s">
        <v>124</v>
      </c>
      <c r="B89" s="661">
        <v>983916200</v>
      </c>
      <c r="C89" s="661">
        <v>820877300</v>
      </c>
      <c r="D89" s="661">
        <v>2259431300</v>
      </c>
      <c r="E89" s="1474">
        <f t="shared" si="4"/>
        <v>3243347500</v>
      </c>
      <c r="F89" s="1474">
        <f t="shared" si="5"/>
        <v>3080308600</v>
      </c>
      <c r="G89" s="661">
        <v>22794283.640000001</v>
      </c>
      <c r="H89" s="656" t="s">
        <v>1305</v>
      </c>
      <c r="I89" s="755"/>
    </row>
    <row r="90" spans="1:9" ht="12" customHeight="1">
      <c r="A90" s="655" t="s">
        <v>126</v>
      </c>
      <c r="B90" s="661">
        <v>1262333000</v>
      </c>
      <c r="C90" s="661">
        <v>687299100</v>
      </c>
      <c r="D90" s="661">
        <v>1252905700</v>
      </c>
      <c r="E90" s="1474">
        <f t="shared" si="4"/>
        <v>2515238700</v>
      </c>
      <c r="F90" s="1474">
        <f t="shared" si="5"/>
        <v>1940204800</v>
      </c>
      <c r="G90" s="661">
        <v>11641228.800000001</v>
      </c>
      <c r="H90" s="656" t="s">
        <v>1305</v>
      </c>
      <c r="I90" s="755"/>
    </row>
    <row r="91" spans="1:9" ht="21" customHeight="1">
      <c r="A91" s="655" t="s">
        <v>737</v>
      </c>
      <c r="B91" s="661">
        <v>423171313</v>
      </c>
      <c r="C91" s="661">
        <v>356938479</v>
      </c>
      <c r="D91" s="661">
        <v>500360257</v>
      </c>
      <c r="E91" s="1474">
        <f t="shared" si="4"/>
        <v>923531570</v>
      </c>
      <c r="F91" s="1474">
        <f t="shared" si="5"/>
        <v>857298736</v>
      </c>
      <c r="G91" s="661">
        <v>6001091.1519999998</v>
      </c>
      <c r="H91" s="656" t="s">
        <v>1305</v>
      </c>
      <c r="I91" s="755"/>
    </row>
    <row r="92" spans="1:9" ht="12" customHeight="1">
      <c r="A92" s="655" t="s">
        <v>364</v>
      </c>
      <c r="B92" s="661">
        <v>2404527500</v>
      </c>
      <c r="C92" s="661">
        <v>2240736400</v>
      </c>
      <c r="D92" s="661">
        <v>7728929300</v>
      </c>
      <c r="E92" s="1474">
        <f t="shared" si="4"/>
        <v>10133456800</v>
      </c>
      <c r="F92" s="1474">
        <f t="shared" si="5"/>
        <v>9969665700</v>
      </c>
      <c r="G92" s="661">
        <v>108669356.13</v>
      </c>
      <c r="H92" s="656" t="s">
        <v>1305</v>
      </c>
      <c r="I92" s="755"/>
    </row>
    <row r="93" spans="1:9" ht="12" customHeight="1">
      <c r="A93" s="655" t="s">
        <v>130</v>
      </c>
      <c r="B93" s="661">
        <v>1357395816</v>
      </c>
      <c r="C93" s="661">
        <v>926683700</v>
      </c>
      <c r="D93" s="661">
        <v>1805995800</v>
      </c>
      <c r="E93" s="1474">
        <f t="shared" si="4"/>
        <v>3163391616</v>
      </c>
      <c r="F93" s="1474">
        <f t="shared" si="5"/>
        <v>2732679500</v>
      </c>
      <c r="G93" s="661">
        <v>20221828.300000001</v>
      </c>
      <c r="H93" s="656" t="s">
        <v>1305</v>
      </c>
      <c r="I93" s="755"/>
    </row>
    <row r="94" spans="1:9" ht="12" customHeight="1">
      <c r="A94" s="655" t="s">
        <v>131</v>
      </c>
      <c r="B94" s="661">
        <v>3382347500</v>
      </c>
      <c r="C94" s="661">
        <v>2362761620</v>
      </c>
      <c r="D94" s="661">
        <v>8910515500</v>
      </c>
      <c r="E94" s="1474">
        <f t="shared" si="4"/>
        <v>12292863000</v>
      </c>
      <c r="F94" s="1474">
        <f t="shared" si="5"/>
        <v>11273277120</v>
      </c>
      <c r="G94" s="661">
        <v>76658284.415999994</v>
      </c>
      <c r="H94" s="656" t="s">
        <v>1305</v>
      </c>
      <c r="I94" s="755"/>
    </row>
    <row r="95" spans="1:9" ht="12" customHeight="1">
      <c r="A95" s="655" t="s">
        <v>133</v>
      </c>
      <c r="B95" s="661">
        <v>595335933</v>
      </c>
      <c r="C95" s="661">
        <v>430104039</v>
      </c>
      <c r="D95" s="661">
        <v>1009890185</v>
      </c>
      <c r="E95" s="1475">
        <f t="shared" si="4"/>
        <v>1605226118</v>
      </c>
      <c r="F95" s="1475">
        <f t="shared" si="5"/>
        <v>1439994224</v>
      </c>
      <c r="G95" s="661">
        <v>9071963.6111999992</v>
      </c>
      <c r="H95" s="656" t="s">
        <v>1305</v>
      </c>
      <c r="I95" s="755"/>
    </row>
    <row r="96" spans="1:9" ht="21" customHeight="1">
      <c r="A96" s="655" t="s">
        <v>135</v>
      </c>
      <c r="B96" s="661">
        <v>628264800</v>
      </c>
      <c r="C96" s="661">
        <v>628264800</v>
      </c>
      <c r="D96" s="661">
        <v>962015100</v>
      </c>
      <c r="E96" s="1474">
        <f t="shared" si="4"/>
        <v>1590279900</v>
      </c>
      <c r="F96" s="1474">
        <f t="shared" si="5"/>
        <v>1590279900</v>
      </c>
      <c r="G96" s="661">
        <v>12245155.23</v>
      </c>
      <c r="H96" s="656" t="s">
        <v>1305</v>
      </c>
      <c r="I96" s="755"/>
    </row>
    <row r="97" spans="1:9" ht="12" customHeight="1">
      <c r="A97" s="655" t="s">
        <v>137</v>
      </c>
      <c r="B97" s="661">
        <v>2294319334</v>
      </c>
      <c r="C97" s="661">
        <v>1710891034</v>
      </c>
      <c r="D97" s="661">
        <v>4284463000</v>
      </c>
      <c r="E97" s="1474">
        <f t="shared" si="4"/>
        <v>6578782334</v>
      </c>
      <c r="F97" s="1474">
        <f t="shared" si="5"/>
        <v>5995354034</v>
      </c>
      <c r="G97" s="661">
        <v>34773053.397200003</v>
      </c>
      <c r="H97" s="656" t="s">
        <v>1305</v>
      </c>
      <c r="I97" s="755"/>
    </row>
    <row r="98" spans="1:9" ht="12" customHeight="1">
      <c r="A98" s="655" t="s">
        <v>139</v>
      </c>
      <c r="B98" s="661">
        <v>583512225</v>
      </c>
      <c r="C98" s="661">
        <v>405649850</v>
      </c>
      <c r="D98" s="661">
        <v>1140780800</v>
      </c>
      <c r="E98" s="1474">
        <f t="shared" si="4"/>
        <v>1724293025</v>
      </c>
      <c r="F98" s="1474">
        <f t="shared" si="5"/>
        <v>1546430650</v>
      </c>
      <c r="G98" s="661">
        <v>11443586.810000001</v>
      </c>
      <c r="H98" s="656" t="s">
        <v>1305</v>
      </c>
      <c r="I98" s="755"/>
    </row>
    <row r="99" spans="1:9" ht="12" customHeight="1">
      <c r="A99" s="655" t="s">
        <v>141</v>
      </c>
      <c r="B99" s="661">
        <v>899177900</v>
      </c>
      <c r="C99" s="661">
        <v>523728400</v>
      </c>
      <c r="D99" s="661">
        <v>952328200</v>
      </c>
      <c r="E99" s="1474">
        <f t="shared" si="4"/>
        <v>1851506100</v>
      </c>
      <c r="F99" s="1474">
        <f t="shared" si="5"/>
        <v>1476056600</v>
      </c>
      <c r="G99" s="661">
        <v>13136903.74</v>
      </c>
      <c r="H99" s="656" t="s">
        <v>1305</v>
      </c>
      <c r="I99" s="755"/>
    </row>
    <row r="100" spans="1:9" ht="12" customHeight="1">
      <c r="A100" s="655" t="s">
        <v>143</v>
      </c>
      <c r="B100" s="661">
        <v>7184619100</v>
      </c>
      <c r="C100" s="661">
        <v>6790455161</v>
      </c>
      <c r="D100" s="661">
        <v>12852031800</v>
      </c>
      <c r="E100" s="1474">
        <f t="shared" si="4"/>
        <v>20036650900</v>
      </c>
      <c r="F100" s="1474">
        <f t="shared" si="5"/>
        <v>19642486961</v>
      </c>
      <c r="G100" s="661">
        <v>144902626.31130001</v>
      </c>
      <c r="H100" s="656" t="s">
        <v>1305</v>
      </c>
      <c r="I100" s="755"/>
    </row>
    <row r="101" spans="1:9" ht="21" customHeight="1">
      <c r="A101" s="655" t="s">
        <v>145</v>
      </c>
      <c r="B101" s="661">
        <v>8105279900</v>
      </c>
      <c r="C101" s="661">
        <v>7826659525</v>
      </c>
      <c r="D101" s="661">
        <v>15984496600</v>
      </c>
      <c r="E101" s="1474">
        <f t="shared" si="4"/>
        <v>24089776500</v>
      </c>
      <c r="F101" s="1474">
        <f t="shared" si="5"/>
        <v>23811156125</v>
      </c>
      <c r="G101" s="661">
        <v>185686810</v>
      </c>
      <c r="H101" s="656" t="s">
        <v>1305</v>
      </c>
      <c r="I101" s="755"/>
    </row>
    <row r="102" spans="1:9" ht="12" customHeight="1">
      <c r="A102" s="655" t="s">
        <v>147</v>
      </c>
      <c r="B102" s="661">
        <v>520065100</v>
      </c>
      <c r="C102" s="661">
        <v>520065100</v>
      </c>
      <c r="D102" s="661">
        <v>592662800</v>
      </c>
      <c r="E102" s="1474">
        <f t="shared" si="4"/>
        <v>1112727900</v>
      </c>
      <c r="F102" s="1474">
        <f t="shared" si="5"/>
        <v>1112727900</v>
      </c>
      <c r="G102" s="661">
        <v>8011640.8799999999</v>
      </c>
      <c r="H102" s="656" t="s">
        <v>1305</v>
      </c>
      <c r="I102" s="755"/>
    </row>
    <row r="103" spans="1:9" ht="12" customHeight="1">
      <c r="A103" s="655" t="s">
        <v>149</v>
      </c>
      <c r="B103" s="661">
        <v>686439700</v>
      </c>
      <c r="C103" s="661">
        <v>686439700</v>
      </c>
      <c r="D103" s="661">
        <v>498435822</v>
      </c>
      <c r="E103" s="1474">
        <f t="shared" si="4"/>
        <v>1184875522</v>
      </c>
      <c r="F103" s="1474">
        <f t="shared" si="5"/>
        <v>1184875522</v>
      </c>
      <c r="G103" s="661">
        <v>5687402.5055999998</v>
      </c>
      <c r="H103" s="656" t="s">
        <v>1305</v>
      </c>
      <c r="I103" s="755"/>
    </row>
    <row r="104" spans="1:9" ht="12" customHeight="1">
      <c r="A104" s="655" t="s">
        <v>151</v>
      </c>
      <c r="B104" s="661">
        <v>743799300</v>
      </c>
      <c r="C104" s="661">
        <v>616783600</v>
      </c>
      <c r="D104" s="661">
        <v>1978702700</v>
      </c>
      <c r="E104" s="1474">
        <f t="shared" si="4"/>
        <v>2722502000</v>
      </c>
      <c r="F104" s="1474">
        <f t="shared" si="5"/>
        <v>2595486300</v>
      </c>
      <c r="G104" s="661">
        <v>15053820.539999999</v>
      </c>
      <c r="H104" s="656" t="s">
        <v>1305</v>
      </c>
      <c r="I104" s="755"/>
    </row>
    <row r="105" spans="1:9" ht="12" customHeight="1">
      <c r="A105" s="655" t="s">
        <v>153</v>
      </c>
      <c r="B105" s="661">
        <v>1715476700</v>
      </c>
      <c r="C105" s="661">
        <v>1398571500</v>
      </c>
      <c r="D105" s="661">
        <v>3520962200</v>
      </c>
      <c r="E105" s="1474">
        <f t="shared" si="4"/>
        <v>5236438900</v>
      </c>
      <c r="F105" s="1474">
        <f t="shared" si="5"/>
        <v>4919533700</v>
      </c>
      <c r="G105" s="661">
        <v>32222945.734999999</v>
      </c>
      <c r="H105" s="656" t="s">
        <v>1305</v>
      </c>
      <c r="I105" s="755"/>
    </row>
    <row r="106" spans="1:9" ht="21" customHeight="1">
      <c r="A106" s="655" t="s">
        <v>155</v>
      </c>
      <c r="B106" s="660">
        <v>1983199381</v>
      </c>
      <c r="C106" s="660">
        <v>1266899681</v>
      </c>
      <c r="D106" s="660">
        <v>3281905600</v>
      </c>
      <c r="E106" s="1473">
        <f t="shared" ref="E106:E110" si="6">IF(SUM(B106,D106)=0,"",SUM(B106,D106))</f>
        <v>5265104981</v>
      </c>
      <c r="F106" s="1473">
        <f t="shared" ref="F106:F110" si="7">IF(SUM(C106:D106)=0,"",SUM(C106:D106))</f>
        <v>4548805281</v>
      </c>
      <c r="G106" s="660">
        <v>27292831.686000001</v>
      </c>
      <c r="H106" s="656" t="s">
        <v>1305</v>
      </c>
      <c r="I106" s="755"/>
    </row>
    <row r="107" spans="1:9">
      <c r="A107" s="655" t="s">
        <v>157</v>
      </c>
      <c r="B107" s="661">
        <v>1241269200</v>
      </c>
      <c r="C107" s="661">
        <v>1087695060</v>
      </c>
      <c r="D107" s="661">
        <v>1972350900</v>
      </c>
      <c r="E107" s="1474">
        <f t="shared" si="6"/>
        <v>3213620100</v>
      </c>
      <c r="F107" s="1474">
        <f t="shared" si="7"/>
        <v>3060045960</v>
      </c>
      <c r="G107" s="661">
        <v>18972284.952</v>
      </c>
      <c r="H107" s="656" t="s">
        <v>1305</v>
      </c>
      <c r="I107" s="755"/>
    </row>
    <row r="108" spans="1:9">
      <c r="A108" s="655" t="s">
        <v>159</v>
      </c>
      <c r="B108" s="661">
        <v>486554222</v>
      </c>
      <c r="C108" s="661">
        <v>483091526</v>
      </c>
      <c r="D108" s="661">
        <v>1418174900</v>
      </c>
      <c r="E108" s="1474">
        <f t="shared" si="6"/>
        <v>1904729122</v>
      </c>
      <c r="F108" s="1474">
        <f t="shared" si="7"/>
        <v>1901266426</v>
      </c>
      <c r="G108" s="661">
        <v>13118738.339400001</v>
      </c>
      <c r="H108" s="656" t="s">
        <v>1305</v>
      </c>
      <c r="I108" s="755"/>
    </row>
    <row r="109" spans="1:9">
      <c r="A109" s="655" t="s">
        <v>161</v>
      </c>
      <c r="B109" s="661">
        <v>984597851</v>
      </c>
      <c r="C109" s="661">
        <v>805205110</v>
      </c>
      <c r="D109" s="661">
        <v>2066179503</v>
      </c>
      <c r="E109" s="1474">
        <f t="shared" si="6"/>
        <v>3050777354</v>
      </c>
      <c r="F109" s="1474">
        <f t="shared" si="7"/>
        <v>2871384613</v>
      </c>
      <c r="G109" s="661">
        <v>14644061.5263</v>
      </c>
      <c r="H109" s="656" t="s">
        <v>1305</v>
      </c>
      <c r="I109" s="755"/>
    </row>
    <row r="110" spans="1:9">
      <c r="A110" s="655" t="s">
        <v>163</v>
      </c>
      <c r="B110" s="661">
        <v>3639916494</v>
      </c>
      <c r="C110" s="661">
        <v>3635535694</v>
      </c>
      <c r="D110" s="661">
        <v>6855313000</v>
      </c>
      <c r="E110" s="1474">
        <f t="shared" si="6"/>
        <v>10495229494</v>
      </c>
      <c r="F110" s="1474">
        <f t="shared" si="7"/>
        <v>10490848694</v>
      </c>
      <c r="G110" s="661">
        <v>81828619.813199997</v>
      </c>
      <c r="H110" s="656" t="s">
        <v>1305</v>
      </c>
      <c r="I110" s="755"/>
    </row>
    <row r="111" spans="1:9" ht="6" customHeight="1">
      <c r="C111" s="666"/>
      <c r="D111" s="666"/>
    </row>
    <row r="112" spans="1:9" s="668" customFormat="1" ht="12.75" customHeight="1">
      <c r="A112" s="830" t="s">
        <v>22</v>
      </c>
      <c r="B112" s="828">
        <f t="shared" ref="B112:G112" si="8">SUM(B6:B110)</f>
        <v>372187555150</v>
      </c>
      <c r="C112" s="828">
        <f t="shared" si="8"/>
        <v>344935714255.41003</v>
      </c>
      <c r="D112" s="828">
        <f t="shared" si="8"/>
        <v>718316877733</v>
      </c>
      <c r="E112" s="828">
        <f t="shared" si="8"/>
        <v>1090504432883</v>
      </c>
      <c r="F112" s="828">
        <f t="shared" si="8"/>
        <v>1063252591988.41</v>
      </c>
      <c r="G112" s="828">
        <f t="shared" si="8"/>
        <v>9705418844.2231979</v>
      </c>
      <c r="H112" s="667"/>
      <c r="I112" s="756"/>
    </row>
    <row r="113" spans="1:9" ht="15" customHeight="1">
      <c r="A113" s="825" t="s">
        <v>810</v>
      </c>
    </row>
    <row r="114" spans="1:9" ht="12.65" customHeight="1">
      <c r="A114" s="854" t="str">
        <f>A2</f>
        <v>Real Estate Fair Market Value (FMV), Fair Market Value (Taxable), and Local Levy by Locality - Tax Year 2022</v>
      </c>
    </row>
    <row r="115" spans="1:9" ht="4" customHeight="1">
      <c r="B115" s="660"/>
      <c r="C115" s="660"/>
      <c r="D115" s="660"/>
      <c r="E115" s="660"/>
      <c r="F115" s="660"/>
      <c r="G115" s="660"/>
    </row>
    <row r="116" spans="1:9" ht="4" customHeight="1" thickBot="1">
      <c r="B116" s="660"/>
      <c r="C116" s="660"/>
      <c r="D116" s="660"/>
      <c r="E116" s="660"/>
      <c r="F116" s="660"/>
      <c r="G116" s="660"/>
    </row>
    <row r="117" spans="1:9" s="669" customFormat="1" ht="23.15" customHeight="1">
      <c r="A117" s="1319" t="s">
        <v>23</v>
      </c>
      <c r="B117" s="1321" t="s">
        <v>802</v>
      </c>
      <c r="C117" s="1320" t="s">
        <v>803</v>
      </c>
      <c r="D117" s="1320" t="s">
        <v>804</v>
      </c>
      <c r="E117" s="1321" t="s">
        <v>805</v>
      </c>
      <c r="F117" s="1320" t="s">
        <v>806</v>
      </c>
      <c r="G117" s="1321" t="s">
        <v>807</v>
      </c>
      <c r="H117" s="925" t="s">
        <v>808</v>
      </c>
      <c r="I117" s="723"/>
    </row>
    <row r="118" spans="1:9" ht="18" customHeight="1">
      <c r="A118" s="655" t="s">
        <v>168</v>
      </c>
      <c r="B118" s="660">
        <v>19063073888</v>
      </c>
      <c r="C118" s="660">
        <v>19063073888</v>
      </c>
      <c r="D118" s="660">
        <v>26407436037</v>
      </c>
      <c r="E118" s="1473">
        <f t="shared" ref="E118:E137" si="9">IF(SUM(B118,D118)=0,"",SUM(B118,D118))</f>
        <v>45470509925</v>
      </c>
      <c r="F118" s="1473">
        <f t="shared" ref="F118:F137" si="10">IF(SUM(C118:D118)=0,"",SUM(C118:D118))</f>
        <v>45470509925</v>
      </c>
      <c r="G118" s="660">
        <v>504722660.16750002</v>
      </c>
      <c r="H118" s="656" t="s">
        <v>1305</v>
      </c>
      <c r="I118" s="755"/>
    </row>
    <row r="119" spans="1:9" ht="11.9" customHeight="1">
      <c r="A119" s="655" t="s">
        <v>170</v>
      </c>
      <c r="B119" s="661">
        <v>305373900</v>
      </c>
      <c r="C119" s="661">
        <v>305373900</v>
      </c>
      <c r="D119" s="661">
        <v>1009343288</v>
      </c>
      <c r="E119" s="1474">
        <f t="shared" si="9"/>
        <v>1314717188</v>
      </c>
      <c r="F119" s="1474">
        <f t="shared" si="10"/>
        <v>1314717188</v>
      </c>
      <c r="G119" s="661">
        <v>14724832.5</v>
      </c>
      <c r="H119" s="656" t="s">
        <v>1305</v>
      </c>
      <c r="I119" s="755"/>
    </row>
    <row r="120" spans="1:9" ht="11.9" customHeight="1">
      <c r="A120" s="655" t="s">
        <v>172</v>
      </c>
      <c r="B120" s="661">
        <v>70954650</v>
      </c>
      <c r="C120" s="661">
        <v>70775750</v>
      </c>
      <c r="D120" s="661">
        <v>270358500</v>
      </c>
      <c r="E120" s="1474">
        <f t="shared" si="9"/>
        <v>341313150</v>
      </c>
      <c r="F120" s="1474">
        <f t="shared" si="10"/>
        <v>341134250</v>
      </c>
      <c r="G120" s="661">
        <v>4332404.9749999996</v>
      </c>
      <c r="H120" s="656" t="s">
        <v>1305</v>
      </c>
      <c r="I120" s="755"/>
    </row>
    <row r="121" spans="1:9" ht="11.9" customHeight="1">
      <c r="A121" s="655" t="s">
        <v>174</v>
      </c>
      <c r="B121" s="661">
        <v>2828207400</v>
      </c>
      <c r="C121" s="661">
        <v>2828207400</v>
      </c>
      <c r="D121" s="661">
        <v>6484439600</v>
      </c>
      <c r="E121" s="1474">
        <f t="shared" si="9"/>
        <v>9312647000</v>
      </c>
      <c r="F121" s="1474">
        <f t="shared" si="10"/>
        <v>9312647000</v>
      </c>
      <c r="G121" s="661">
        <v>89401411.200000003</v>
      </c>
      <c r="H121" s="656" t="s">
        <v>1305</v>
      </c>
      <c r="I121" s="755"/>
    </row>
    <row r="122" spans="1:9" ht="11.9" customHeight="1">
      <c r="A122" s="655" t="s">
        <v>406</v>
      </c>
      <c r="B122" s="661">
        <v>10407147700</v>
      </c>
      <c r="C122" s="661">
        <v>10164808500</v>
      </c>
      <c r="D122" s="661">
        <v>20019075600</v>
      </c>
      <c r="E122" s="1474">
        <f t="shared" si="9"/>
        <v>30426223300</v>
      </c>
      <c r="F122" s="1474">
        <f t="shared" si="10"/>
        <v>30183884100</v>
      </c>
      <c r="G122" s="661">
        <v>316930783.05000001</v>
      </c>
      <c r="H122" s="656" t="s">
        <v>1305</v>
      </c>
      <c r="I122" s="755"/>
    </row>
    <row r="123" spans="1:9" ht="18" customHeight="1">
      <c r="A123" s="655" t="s">
        <v>121</v>
      </c>
      <c r="B123" s="661">
        <v>620968900</v>
      </c>
      <c r="C123" s="661">
        <v>620968900</v>
      </c>
      <c r="D123" s="661">
        <v>1320074520</v>
      </c>
      <c r="E123" s="1474">
        <f t="shared" si="9"/>
        <v>1941043420</v>
      </c>
      <c r="F123" s="1474">
        <f t="shared" si="10"/>
        <v>1941043420</v>
      </c>
      <c r="G123" s="661">
        <v>23292521.039999999</v>
      </c>
      <c r="H123" s="656" t="s">
        <v>1305</v>
      </c>
      <c r="I123" s="755"/>
    </row>
    <row r="124" spans="1:9" ht="11.9" customHeight="1">
      <c r="A124" s="655" t="s">
        <v>123</v>
      </c>
      <c r="B124" s="661">
        <v>57178900</v>
      </c>
      <c r="C124" s="661">
        <v>57178900</v>
      </c>
      <c r="D124" s="661">
        <v>243212500</v>
      </c>
      <c r="E124" s="1474">
        <f t="shared" si="9"/>
        <v>300391400</v>
      </c>
      <c r="F124" s="1474">
        <f t="shared" si="10"/>
        <v>300391400</v>
      </c>
      <c r="G124" s="661">
        <v>2553326.9</v>
      </c>
      <c r="H124" s="656" t="s">
        <v>1305</v>
      </c>
      <c r="I124" s="755"/>
    </row>
    <row r="125" spans="1:9" ht="11.9" customHeight="1">
      <c r="A125" s="655" t="s">
        <v>125</v>
      </c>
      <c r="B125" s="661">
        <v>314778900</v>
      </c>
      <c r="C125" s="661">
        <v>313568300</v>
      </c>
      <c r="D125" s="661">
        <v>2106973600</v>
      </c>
      <c r="E125" s="1474">
        <f t="shared" si="9"/>
        <v>2421752500</v>
      </c>
      <c r="F125" s="1474">
        <f t="shared" si="10"/>
        <v>2420541900</v>
      </c>
      <c r="G125" s="661">
        <v>20332551.960000001</v>
      </c>
      <c r="H125" s="656" t="s">
        <v>1305</v>
      </c>
      <c r="I125" s="755"/>
    </row>
    <row r="126" spans="1:9" ht="11.9" customHeight="1">
      <c r="A126" s="655" t="s">
        <v>127</v>
      </c>
      <c r="B126" s="661">
        <v>65101600</v>
      </c>
      <c r="C126" s="661">
        <v>65101600</v>
      </c>
      <c r="D126" s="661">
        <v>309208900</v>
      </c>
      <c r="E126" s="1474">
        <f t="shared" si="9"/>
        <v>374310500</v>
      </c>
      <c r="F126" s="1474">
        <f t="shared" si="10"/>
        <v>374310500</v>
      </c>
      <c r="G126" s="661">
        <v>3443656.6</v>
      </c>
      <c r="H126" s="656" t="s">
        <v>1305</v>
      </c>
      <c r="I126" s="755"/>
    </row>
    <row r="127" spans="1:9" ht="11.9" customHeight="1">
      <c r="A127" s="655" t="s">
        <v>884</v>
      </c>
      <c r="B127" s="661">
        <v>2702869300</v>
      </c>
      <c r="C127" s="661">
        <v>2702869300</v>
      </c>
      <c r="D127" s="661">
        <v>4507775700</v>
      </c>
      <c r="E127" s="1474">
        <f t="shared" si="9"/>
        <v>7210645000</v>
      </c>
      <c r="F127" s="1474">
        <f t="shared" si="10"/>
        <v>7210645000</v>
      </c>
      <c r="G127" s="661">
        <v>72827514.5</v>
      </c>
      <c r="H127" s="656" t="s">
        <v>1305</v>
      </c>
      <c r="I127" s="755"/>
    </row>
    <row r="128" spans="1:9" ht="18" customHeight="1">
      <c r="A128" s="655" t="s">
        <v>423</v>
      </c>
      <c r="B128" s="661">
        <v>2269280800</v>
      </c>
      <c r="C128" s="661">
        <v>2269280800</v>
      </c>
      <c r="D128" s="661">
        <v>2833997600</v>
      </c>
      <c r="E128" s="1474">
        <f t="shared" si="9"/>
        <v>5103278400</v>
      </c>
      <c r="F128" s="1474">
        <f t="shared" si="10"/>
        <v>5103278400</v>
      </c>
      <c r="G128" s="661">
        <v>62770324.32</v>
      </c>
      <c r="H128" s="656" t="s">
        <v>1305</v>
      </c>
      <c r="I128" s="755"/>
    </row>
    <row r="129" spans="1:9" ht="11.9" customHeight="1">
      <c r="A129" s="655" t="s">
        <v>24</v>
      </c>
      <c r="B129" s="661">
        <v>154562605</v>
      </c>
      <c r="C129" s="661">
        <v>154562605</v>
      </c>
      <c r="D129" s="661">
        <v>457175400</v>
      </c>
      <c r="E129" s="1474">
        <f t="shared" si="9"/>
        <v>611738005</v>
      </c>
      <c r="F129" s="1474">
        <f t="shared" si="10"/>
        <v>611738005</v>
      </c>
      <c r="G129" s="661">
        <v>6300901.4515000004</v>
      </c>
      <c r="H129" s="656" t="s">
        <v>1305</v>
      </c>
      <c r="I129" s="755"/>
    </row>
    <row r="130" spans="1:9" ht="11.9" customHeight="1">
      <c r="A130" s="655" t="s">
        <v>132</v>
      </c>
      <c r="B130" s="661">
        <v>1571333600</v>
      </c>
      <c r="C130" s="661">
        <v>1540052700</v>
      </c>
      <c r="D130" s="661">
        <v>3026530100</v>
      </c>
      <c r="E130" s="1474">
        <f t="shared" si="9"/>
        <v>4597863700</v>
      </c>
      <c r="F130" s="1474">
        <f t="shared" si="10"/>
        <v>4566582800</v>
      </c>
      <c r="G130" s="661">
        <v>37902637.240000002</v>
      </c>
      <c r="H130" s="656" t="s">
        <v>1305</v>
      </c>
      <c r="I130" s="755"/>
    </row>
    <row r="131" spans="1:9" ht="11.9" customHeight="1">
      <c r="A131" s="655" t="s">
        <v>134</v>
      </c>
      <c r="B131" s="661">
        <v>91661900</v>
      </c>
      <c r="C131" s="661">
        <v>91661900</v>
      </c>
      <c r="D131" s="661">
        <v>384219550</v>
      </c>
      <c r="E131" s="1474">
        <f t="shared" si="9"/>
        <v>475881450</v>
      </c>
      <c r="F131" s="1474">
        <f t="shared" si="10"/>
        <v>475881450</v>
      </c>
      <c r="G131" s="661">
        <v>4758814.5</v>
      </c>
      <c r="H131" s="656" t="s">
        <v>1305</v>
      </c>
      <c r="I131" s="755"/>
    </row>
    <row r="132" spans="1:9" ht="11.9" customHeight="1">
      <c r="A132" s="655" t="s">
        <v>433</v>
      </c>
      <c r="B132" s="661">
        <v>3472741700</v>
      </c>
      <c r="C132" s="661">
        <v>3457593000</v>
      </c>
      <c r="D132" s="661">
        <v>8858825400</v>
      </c>
      <c r="E132" s="1474">
        <f t="shared" si="9"/>
        <v>12331567100</v>
      </c>
      <c r="F132" s="1474">
        <f t="shared" si="10"/>
        <v>12316418400</v>
      </c>
      <c r="G132" s="661">
        <v>152723588.16</v>
      </c>
      <c r="H132" s="656" t="s">
        <v>1305</v>
      </c>
      <c r="I132" s="755"/>
    </row>
    <row r="133" spans="1:9" ht="18" customHeight="1">
      <c r="A133" s="655" t="s">
        <v>435</v>
      </c>
      <c r="B133" s="661">
        <v>1405438900</v>
      </c>
      <c r="C133" s="661">
        <v>1351891800</v>
      </c>
      <c r="D133" s="661">
        <v>3552323050</v>
      </c>
      <c r="E133" s="1474">
        <f t="shared" si="9"/>
        <v>4957761950</v>
      </c>
      <c r="F133" s="1474">
        <f t="shared" si="10"/>
        <v>4904214850</v>
      </c>
      <c r="G133" s="661">
        <v>45609198.104999997</v>
      </c>
      <c r="H133" s="656" t="s">
        <v>1305</v>
      </c>
      <c r="I133" s="755"/>
    </row>
    <row r="134" spans="1:9" ht="11.9" customHeight="1">
      <c r="A134" s="655" t="s">
        <v>140</v>
      </c>
      <c r="B134" s="661">
        <v>335807400</v>
      </c>
      <c r="C134" s="661">
        <v>335807400</v>
      </c>
      <c r="D134" s="661">
        <v>1129605700</v>
      </c>
      <c r="E134" s="1474">
        <f t="shared" si="9"/>
        <v>1465413100</v>
      </c>
      <c r="F134" s="1474">
        <f t="shared" si="10"/>
        <v>1465413100</v>
      </c>
      <c r="G134" s="661">
        <v>16559168.029999999</v>
      </c>
      <c r="H134" s="656" t="s">
        <v>1305</v>
      </c>
      <c r="I134" s="755"/>
    </row>
    <row r="135" spans="1:9" ht="11.9" customHeight="1">
      <c r="A135" s="655" t="s">
        <v>812</v>
      </c>
      <c r="B135" s="661">
        <v>172283100</v>
      </c>
      <c r="C135" s="661">
        <v>172283100</v>
      </c>
      <c r="D135" s="661">
        <v>410350300</v>
      </c>
      <c r="E135" s="1474">
        <f t="shared" si="9"/>
        <v>582633400</v>
      </c>
      <c r="F135" s="1474">
        <f t="shared" si="10"/>
        <v>582633400</v>
      </c>
      <c r="G135" s="661">
        <v>6175914.04</v>
      </c>
      <c r="H135" s="656" t="s">
        <v>1305</v>
      </c>
      <c r="I135" s="755"/>
    </row>
    <row r="136" spans="1:9" ht="11.9" customHeight="1">
      <c r="A136" s="655" t="s">
        <v>144</v>
      </c>
      <c r="B136" s="661">
        <v>1348723900</v>
      </c>
      <c r="C136" s="661">
        <v>1334629341.1900001</v>
      </c>
      <c r="D136" s="661">
        <v>4846620000</v>
      </c>
      <c r="E136" s="1475">
        <f t="shared" si="9"/>
        <v>6195343900</v>
      </c>
      <c r="F136" s="1475">
        <f t="shared" si="10"/>
        <v>6181249341.1900005</v>
      </c>
      <c r="G136" s="661">
        <v>68611867.687199995</v>
      </c>
      <c r="H136" s="656" t="s">
        <v>1305</v>
      </c>
      <c r="I136" s="755"/>
    </row>
    <row r="137" spans="1:9">
      <c r="A137" s="655" t="s">
        <v>320</v>
      </c>
      <c r="B137" s="661">
        <v>1849835700</v>
      </c>
      <c r="C137" s="661">
        <v>1849835700</v>
      </c>
      <c r="D137" s="661">
        <v>3831073300</v>
      </c>
      <c r="E137" s="1474">
        <f t="shared" si="9"/>
        <v>5680909000</v>
      </c>
      <c r="F137" s="1474">
        <f t="shared" si="10"/>
        <v>5680909000</v>
      </c>
      <c r="G137" s="661">
        <v>81220454.859999999</v>
      </c>
      <c r="H137" s="656" t="s">
        <v>1305</v>
      </c>
      <c r="I137" s="755"/>
    </row>
    <row r="138" spans="1:9" ht="18" customHeight="1">
      <c r="A138" s="655" t="s">
        <v>1236</v>
      </c>
      <c r="B138" s="660">
        <v>691606400</v>
      </c>
      <c r="C138" s="660">
        <v>691606400</v>
      </c>
      <c r="D138" s="660">
        <v>1470996000</v>
      </c>
      <c r="E138" s="1473">
        <f t="shared" ref="E138:E155" si="11">IF(SUM(B138,D138)=0,"",SUM(B138,D138))</f>
        <v>2162602400</v>
      </c>
      <c r="F138" s="1473">
        <f t="shared" ref="F138:F155" si="12">IF(SUM(C138:D138)=0,"",SUM(C138:D138))</f>
        <v>2162602400</v>
      </c>
      <c r="G138" s="660">
        <v>31357734.800000001</v>
      </c>
      <c r="H138" s="656" t="s">
        <v>1305</v>
      </c>
      <c r="I138" s="755"/>
    </row>
    <row r="139" spans="1:9" ht="11.9" customHeight="1">
      <c r="A139" s="655" t="s">
        <v>328</v>
      </c>
      <c r="B139" s="661">
        <v>126299600</v>
      </c>
      <c r="C139" s="661">
        <v>126299600</v>
      </c>
      <c r="D139" s="661">
        <v>523522586</v>
      </c>
      <c r="E139" s="1474">
        <f t="shared" si="11"/>
        <v>649822186</v>
      </c>
      <c r="F139" s="1474">
        <f t="shared" si="12"/>
        <v>649822186</v>
      </c>
      <c r="G139" s="661">
        <v>6756526.1788999997</v>
      </c>
      <c r="H139" s="656" t="s">
        <v>1305</v>
      </c>
      <c r="I139" s="755"/>
    </row>
    <row r="140" spans="1:9" ht="11.9" customHeight="1">
      <c r="A140" s="655" t="s">
        <v>152</v>
      </c>
      <c r="B140" s="661">
        <v>4857229200</v>
      </c>
      <c r="C140" s="661">
        <v>4857229200</v>
      </c>
      <c r="D140" s="661">
        <v>12791503400</v>
      </c>
      <c r="E140" s="1474">
        <f t="shared" si="11"/>
        <v>17648732600</v>
      </c>
      <c r="F140" s="1474">
        <f t="shared" si="12"/>
        <v>17648732600</v>
      </c>
      <c r="G140" s="661">
        <v>215314537.72</v>
      </c>
      <c r="H140" s="656" t="s">
        <v>1305</v>
      </c>
      <c r="I140" s="755"/>
    </row>
    <row r="141" spans="1:9" ht="11.9" customHeight="1">
      <c r="A141" s="655" t="s">
        <v>154</v>
      </c>
      <c r="B141" s="661">
        <v>7048809900</v>
      </c>
      <c r="C141" s="661">
        <v>7048809900</v>
      </c>
      <c r="D141" s="661">
        <v>17179704400</v>
      </c>
      <c r="E141" s="1474">
        <f t="shared" si="11"/>
        <v>24228514300</v>
      </c>
      <c r="F141" s="1474">
        <f t="shared" si="12"/>
        <v>24228514300</v>
      </c>
      <c r="G141" s="661">
        <v>302856428.75</v>
      </c>
      <c r="H141" s="656" t="s">
        <v>1305</v>
      </c>
      <c r="I141" s="755"/>
    </row>
    <row r="142" spans="1:9" ht="11.9" customHeight="1">
      <c r="A142" s="655" t="s">
        <v>814</v>
      </c>
      <c r="B142" s="661">
        <v>55533300</v>
      </c>
      <c r="C142" s="661">
        <v>55533300</v>
      </c>
      <c r="D142" s="661">
        <v>172366300</v>
      </c>
      <c r="E142" s="1474">
        <f t="shared" si="11"/>
        <v>227899600</v>
      </c>
      <c r="F142" s="1474">
        <f t="shared" si="12"/>
        <v>227899600</v>
      </c>
      <c r="G142" s="661">
        <v>2051096.4</v>
      </c>
      <c r="H142" s="656" t="s">
        <v>1305</v>
      </c>
      <c r="I142" s="755"/>
    </row>
    <row r="143" spans="1:9" ht="18" customHeight="1">
      <c r="A143" s="671" t="s">
        <v>344</v>
      </c>
      <c r="B143" s="661">
        <v>422569400</v>
      </c>
      <c r="C143" s="661">
        <v>413032300</v>
      </c>
      <c r="D143" s="661">
        <v>1598094860</v>
      </c>
      <c r="E143" s="1474">
        <f t="shared" si="11"/>
        <v>2020664260</v>
      </c>
      <c r="F143" s="1474">
        <f t="shared" si="12"/>
        <v>2011127160</v>
      </c>
      <c r="G143" s="661">
        <v>27150216.66</v>
      </c>
      <c r="H143" s="656" t="s">
        <v>1305</v>
      </c>
      <c r="I143" s="755"/>
    </row>
    <row r="144" spans="1:9" ht="11.9" customHeight="1">
      <c r="A144" s="655" t="s">
        <v>1237</v>
      </c>
      <c r="B144" s="661">
        <v>675370200</v>
      </c>
      <c r="C144" s="661">
        <v>675370200</v>
      </c>
      <c r="D144" s="661">
        <v>1121579600</v>
      </c>
      <c r="E144" s="1474">
        <f t="shared" si="11"/>
        <v>1796949800</v>
      </c>
      <c r="F144" s="1474">
        <f t="shared" si="12"/>
        <v>1796949800</v>
      </c>
      <c r="G144" s="661">
        <v>20305532.739999998</v>
      </c>
      <c r="H144" s="656" t="s">
        <v>1305</v>
      </c>
      <c r="I144" s="755"/>
    </row>
    <row r="145" spans="1:9" ht="11.9" customHeight="1">
      <c r="A145" s="655" t="s">
        <v>352</v>
      </c>
      <c r="B145" s="661">
        <v>2277822540</v>
      </c>
      <c r="C145" s="661">
        <v>2277822540</v>
      </c>
      <c r="D145" s="661">
        <v>5551913520</v>
      </c>
      <c r="E145" s="1474">
        <f t="shared" si="11"/>
        <v>7829736060</v>
      </c>
      <c r="F145" s="1474">
        <f t="shared" si="12"/>
        <v>7829736060</v>
      </c>
      <c r="G145" s="661">
        <v>101786568.78</v>
      </c>
      <c r="H145" s="656" t="s">
        <v>1305</v>
      </c>
      <c r="I145" s="755"/>
    </row>
    <row r="146" spans="1:9" ht="11.9" customHeight="1">
      <c r="A146" s="655" t="s">
        <v>164</v>
      </c>
      <c r="B146" s="661">
        <v>184146200</v>
      </c>
      <c r="C146" s="661">
        <v>181849950</v>
      </c>
      <c r="D146" s="661">
        <v>701625300</v>
      </c>
      <c r="E146" s="1474">
        <f t="shared" si="11"/>
        <v>885771500</v>
      </c>
      <c r="F146" s="1474">
        <f t="shared" si="12"/>
        <v>883475250</v>
      </c>
      <c r="G146" s="661">
        <v>7421192.0999999996</v>
      </c>
      <c r="H146" s="656" t="s">
        <v>1305</v>
      </c>
      <c r="I146" s="755"/>
    </row>
    <row r="147" spans="1:9" ht="11.9" customHeight="1">
      <c r="A147" s="655" t="s">
        <v>360</v>
      </c>
      <c r="B147" s="661">
        <v>8697753000</v>
      </c>
      <c r="C147" s="661">
        <v>8697753000</v>
      </c>
      <c r="D147" s="661">
        <v>23060255000</v>
      </c>
      <c r="E147" s="1474">
        <f t="shared" si="11"/>
        <v>31758008000</v>
      </c>
      <c r="F147" s="1474">
        <f t="shared" si="12"/>
        <v>31758008000</v>
      </c>
      <c r="G147" s="661">
        <v>381096096</v>
      </c>
      <c r="H147" s="656" t="s">
        <v>1305</v>
      </c>
      <c r="I147" s="755"/>
    </row>
    <row r="148" spans="1:9" ht="18" customHeight="1">
      <c r="A148" s="655" t="s">
        <v>364</v>
      </c>
      <c r="B148" s="661">
        <v>1963812300</v>
      </c>
      <c r="C148" s="661">
        <v>1963812300</v>
      </c>
      <c r="D148" s="661">
        <v>7720581800</v>
      </c>
      <c r="E148" s="1474">
        <f t="shared" si="11"/>
        <v>9684394100</v>
      </c>
      <c r="F148" s="1474">
        <f t="shared" si="12"/>
        <v>9684394100</v>
      </c>
      <c r="G148" s="661">
        <v>118149608.02</v>
      </c>
      <c r="H148" s="656" t="s">
        <v>1305</v>
      </c>
      <c r="I148" s="755"/>
    </row>
    <row r="149" spans="1:9" ht="11.9" customHeight="1">
      <c r="A149" s="655" t="s">
        <v>368</v>
      </c>
      <c r="B149" s="661">
        <v>580368100</v>
      </c>
      <c r="C149" s="661">
        <v>580368100</v>
      </c>
      <c r="D149" s="661">
        <v>1924923100</v>
      </c>
      <c r="E149" s="1474">
        <f t="shared" si="11"/>
        <v>2505291200</v>
      </c>
      <c r="F149" s="1474">
        <f t="shared" si="12"/>
        <v>2505291200</v>
      </c>
      <c r="G149" s="661">
        <v>30063494.399999999</v>
      </c>
      <c r="H149" s="656" t="s">
        <v>1305</v>
      </c>
      <c r="I149" s="755"/>
    </row>
    <row r="150" spans="1:9" ht="11.9" customHeight="1">
      <c r="A150" s="655" t="s">
        <v>166</v>
      </c>
      <c r="B150" s="661">
        <v>469263660</v>
      </c>
      <c r="C150" s="661">
        <v>449391750</v>
      </c>
      <c r="D150" s="661">
        <v>1827298012</v>
      </c>
      <c r="E150" s="1474">
        <f t="shared" si="11"/>
        <v>2296561672</v>
      </c>
      <c r="F150" s="1474">
        <f t="shared" si="12"/>
        <v>2276689762</v>
      </c>
      <c r="G150" s="661">
        <v>20945545.810400002</v>
      </c>
      <c r="H150" s="656" t="s">
        <v>1305</v>
      </c>
      <c r="I150" s="755"/>
    </row>
    <row r="151" spans="1:9" ht="11.9" customHeight="1">
      <c r="A151" s="655" t="s">
        <v>376</v>
      </c>
      <c r="B151" s="661">
        <v>3603783900</v>
      </c>
      <c r="C151" s="661">
        <v>3143512400</v>
      </c>
      <c r="D151" s="661">
        <v>8262010600</v>
      </c>
      <c r="E151" s="1474">
        <f t="shared" si="11"/>
        <v>11865794500</v>
      </c>
      <c r="F151" s="1474">
        <f t="shared" si="12"/>
        <v>11405523000</v>
      </c>
      <c r="G151" s="661">
        <v>126601305.3</v>
      </c>
      <c r="H151" s="656" t="s">
        <v>1305</v>
      </c>
      <c r="I151" s="755"/>
    </row>
    <row r="152" spans="1:9" ht="11.9" customHeight="1">
      <c r="A152" s="655" t="s">
        <v>592</v>
      </c>
      <c r="B152" s="661">
        <v>25757753000</v>
      </c>
      <c r="C152" s="661">
        <v>25481555500</v>
      </c>
      <c r="D152" s="661">
        <v>38301747200</v>
      </c>
      <c r="E152" s="1474">
        <f t="shared" si="11"/>
        <v>64059500200</v>
      </c>
      <c r="F152" s="1474">
        <f t="shared" si="12"/>
        <v>63783302700</v>
      </c>
      <c r="G152" s="661">
        <v>634770331.75999999</v>
      </c>
      <c r="H152" s="656" t="s">
        <v>1305</v>
      </c>
      <c r="I152" s="755"/>
    </row>
    <row r="153" spans="1:9" ht="18" customHeight="1">
      <c r="A153" s="655" t="s">
        <v>169</v>
      </c>
      <c r="B153" s="661">
        <v>621740000</v>
      </c>
      <c r="C153" s="661">
        <v>611279000</v>
      </c>
      <c r="D153" s="661">
        <v>2761345600</v>
      </c>
      <c r="E153" s="1474">
        <f t="shared" si="11"/>
        <v>3383085600</v>
      </c>
      <c r="F153" s="1474">
        <f t="shared" si="12"/>
        <v>3372624600</v>
      </c>
      <c r="G153" s="661">
        <v>30353621.399999999</v>
      </c>
      <c r="H153" s="656" t="s">
        <v>1305</v>
      </c>
      <c r="I153" s="755"/>
    </row>
    <row r="154" spans="1:9" ht="11.9" customHeight="1">
      <c r="A154" s="655" t="s">
        <v>815</v>
      </c>
      <c r="B154" s="661">
        <v>690144400</v>
      </c>
      <c r="C154" s="661">
        <v>690144400</v>
      </c>
      <c r="D154" s="661">
        <v>1459943700</v>
      </c>
      <c r="E154" s="1474">
        <f t="shared" si="11"/>
        <v>2150088100</v>
      </c>
      <c r="F154" s="1474">
        <f t="shared" si="12"/>
        <v>2150088100</v>
      </c>
      <c r="G154" s="661">
        <v>13760563.84</v>
      </c>
      <c r="H154" s="656" t="s">
        <v>1305</v>
      </c>
      <c r="I154" s="755"/>
    </row>
    <row r="155" spans="1:9" ht="11.9" customHeight="1">
      <c r="A155" s="655" t="s">
        <v>173</v>
      </c>
      <c r="B155" s="661">
        <v>1045448659</v>
      </c>
      <c r="C155" s="661">
        <v>1043748831</v>
      </c>
      <c r="D155" s="661">
        <v>2350877329</v>
      </c>
      <c r="E155" s="1474">
        <f t="shared" si="11"/>
        <v>3396325988</v>
      </c>
      <c r="F155" s="1474">
        <f t="shared" si="12"/>
        <v>3394626160</v>
      </c>
      <c r="G155" s="661">
        <v>31570023.287999999</v>
      </c>
      <c r="H155" s="656" t="s">
        <v>1305</v>
      </c>
      <c r="I155" s="755"/>
    </row>
    <row r="156" spans="1:9" ht="5.15" customHeight="1">
      <c r="I156" s="755"/>
    </row>
    <row r="157" spans="1:9" s="668" customFormat="1" ht="12.65" customHeight="1">
      <c r="A157" s="827" t="s">
        <v>27</v>
      </c>
      <c r="B157" s="828">
        <f t="shared" ref="B157:G157" si="13">SUM(B118:B137,B138:B155)</f>
        <v>108876778502</v>
      </c>
      <c r="C157" s="828">
        <f t="shared" si="13"/>
        <v>107738643455.19</v>
      </c>
      <c r="D157" s="828">
        <f t="shared" si="13"/>
        <v>220788906952</v>
      </c>
      <c r="E157" s="828">
        <f t="shared" si="13"/>
        <v>329665685454</v>
      </c>
      <c r="F157" s="828">
        <f t="shared" si="13"/>
        <v>328527550407.19</v>
      </c>
      <c r="G157" s="828">
        <f t="shared" si="13"/>
        <v>3637504955.233501</v>
      </c>
      <c r="H157" s="667"/>
      <c r="I157" s="756"/>
    </row>
    <row r="158" spans="1:9" s="668" customFormat="1" ht="12.65" customHeight="1">
      <c r="A158" s="827" t="s">
        <v>22</v>
      </c>
      <c r="B158" s="828">
        <f t="shared" ref="B158:G158" si="14">B112</f>
        <v>372187555150</v>
      </c>
      <c r="C158" s="828">
        <f t="shared" si="14"/>
        <v>344935714255.41003</v>
      </c>
      <c r="D158" s="828">
        <f t="shared" si="14"/>
        <v>718316877733</v>
      </c>
      <c r="E158" s="828">
        <f t="shared" si="14"/>
        <v>1090504432883</v>
      </c>
      <c r="F158" s="828">
        <f t="shared" si="14"/>
        <v>1063252591988.41</v>
      </c>
      <c r="G158" s="828">
        <f t="shared" si="14"/>
        <v>9705418844.2231979</v>
      </c>
      <c r="H158" s="667"/>
      <c r="I158" s="756"/>
    </row>
    <row r="159" spans="1:9" ht="6" customHeight="1">
      <c r="A159" s="829"/>
      <c r="B159" s="828"/>
      <c r="C159" s="828"/>
      <c r="D159" s="828"/>
      <c r="E159" s="828"/>
      <c r="F159" s="828"/>
      <c r="G159" s="828"/>
      <c r="H159" s="673"/>
    </row>
    <row r="160" spans="1:9" s="668" customFormat="1" ht="12.65" customHeight="1">
      <c r="A160" s="827" t="s">
        <v>28</v>
      </c>
      <c r="B160" s="828">
        <f t="shared" ref="B160:G160" si="15">B157+B158</f>
        <v>481064333652</v>
      </c>
      <c r="C160" s="828">
        <f t="shared" si="15"/>
        <v>452674357710.60004</v>
      </c>
      <c r="D160" s="828">
        <f>D157+D158</f>
        <v>939105784685</v>
      </c>
      <c r="E160" s="828">
        <f t="shared" si="15"/>
        <v>1420170118337</v>
      </c>
      <c r="F160" s="828">
        <f t="shared" si="15"/>
        <v>1391780142395.6001</v>
      </c>
      <c r="G160" s="828">
        <f t="shared" si="15"/>
        <v>13342923799.456699</v>
      </c>
      <c r="H160" s="667"/>
      <c r="I160" s="756"/>
    </row>
    <row r="161" spans="1:9" ht="5.15" customHeight="1">
      <c r="A161" s="671"/>
      <c r="B161" s="1476"/>
      <c r="C161" s="1476"/>
      <c r="D161" s="1476"/>
      <c r="E161" s="674"/>
      <c r="F161" s="674"/>
      <c r="G161" s="1476"/>
    </row>
    <row r="162" spans="1:9" s="1140" customFormat="1" ht="10" customHeight="1">
      <c r="A162" s="1323" t="s">
        <v>1</v>
      </c>
      <c r="B162" s="1477"/>
      <c r="C162" s="1477"/>
      <c r="D162" s="1477"/>
      <c r="E162" s="1141"/>
      <c r="F162" s="1141"/>
      <c r="G162" s="1477"/>
      <c r="H162" s="1144"/>
      <c r="I162" s="1142"/>
    </row>
    <row r="163" spans="1:9" s="1140" customFormat="1" ht="10" customHeight="1">
      <c r="A163" s="1322" t="s">
        <v>982</v>
      </c>
      <c r="B163" s="1143"/>
      <c r="C163" s="1143"/>
      <c r="D163" s="1143"/>
      <c r="E163" s="1143"/>
      <c r="F163" s="1143"/>
      <c r="G163" s="1143"/>
      <c r="H163" s="1143"/>
      <c r="I163" s="1142"/>
    </row>
    <row r="164" spans="1:9" s="1140" customFormat="1" ht="10" customHeight="1">
      <c r="A164" s="1322" t="s">
        <v>1345</v>
      </c>
      <c r="B164" s="1143"/>
      <c r="C164" s="1143"/>
      <c r="D164" s="1143"/>
      <c r="E164" s="1143"/>
      <c r="F164" s="1143"/>
      <c r="G164" s="1143"/>
      <c r="H164" s="1143"/>
      <c r="I164" s="1142"/>
    </row>
    <row r="165" spans="1:9" s="1140" customFormat="1" ht="10" customHeight="1">
      <c r="A165" s="1322" t="s">
        <v>947</v>
      </c>
      <c r="B165" s="1143"/>
      <c r="C165" s="1143"/>
      <c r="D165" s="1143"/>
      <c r="E165" s="1143"/>
      <c r="F165" s="1143"/>
      <c r="G165" s="1143"/>
      <c r="H165" s="1143"/>
      <c r="I165" s="1142"/>
    </row>
    <row r="166" spans="1:9" s="1140" customFormat="1" ht="10" customHeight="1">
      <c r="A166" s="1322" t="s">
        <v>819</v>
      </c>
      <c r="B166" s="1143"/>
      <c r="C166" s="1143"/>
      <c r="D166" s="1143"/>
      <c r="E166" s="1143"/>
      <c r="F166" s="1143"/>
      <c r="G166" s="1143"/>
      <c r="H166" s="1143"/>
      <c r="I166" s="1142"/>
    </row>
    <row r="167" spans="1:9" ht="10" customHeight="1">
      <c r="A167" s="1145" t="s">
        <v>953</v>
      </c>
      <c r="B167" s="675"/>
      <c r="C167" s="675"/>
      <c r="D167" s="675"/>
      <c r="E167" s="675"/>
      <c r="F167" s="675"/>
      <c r="G167" s="675"/>
    </row>
    <row r="168" spans="1:9">
      <c r="A168" s="675"/>
      <c r="B168" s="675"/>
      <c r="C168" s="675"/>
      <c r="D168" s="675"/>
      <c r="E168" s="675"/>
      <c r="F168" s="675"/>
      <c r="G168" s="675"/>
      <c r="I168" s="655"/>
    </row>
    <row r="169" spans="1:9">
      <c r="B169" s="660"/>
      <c r="C169" s="660"/>
      <c r="D169" s="660"/>
      <c r="E169" s="660"/>
      <c r="F169" s="660"/>
      <c r="G169" s="660"/>
      <c r="I169" s="655"/>
    </row>
    <row r="170" spans="1:9">
      <c r="B170" s="676"/>
      <c r="C170" s="676"/>
      <c r="D170" s="676"/>
      <c r="E170" s="676"/>
      <c r="F170" s="676"/>
      <c r="G170" s="676"/>
      <c r="I170" s="655"/>
    </row>
    <row r="171" spans="1:9">
      <c r="B171" s="676"/>
      <c r="C171" s="676"/>
      <c r="D171" s="676"/>
      <c r="E171" s="676"/>
      <c r="F171" s="676"/>
      <c r="G171" s="676"/>
      <c r="I171" s="655"/>
    </row>
    <row r="172" spans="1:9">
      <c r="B172" s="660"/>
      <c r="C172" s="660"/>
      <c r="D172" s="660"/>
      <c r="E172" s="660"/>
      <c r="F172" s="660"/>
      <c r="G172" s="660"/>
      <c r="I172" s="655"/>
    </row>
    <row r="173" spans="1:9">
      <c r="B173" s="820"/>
      <c r="C173" s="820"/>
      <c r="D173" s="820"/>
      <c r="E173" s="820"/>
      <c r="F173" s="820"/>
      <c r="G173" s="820"/>
      <c r="I173" s="655"/>
    </row>
    <row r="174" spans="1:9">
      <c r="B174" s="820"/>
      <c r="C174" s="820"/>
      <c r="D174" s="820"/>
      <c r="E174" s="820"/>
      <c r="F174" s="820"/>
      <c r="G174" s="820"/>
      <c r="I174" s="655"/>
    </row>
    <row r="175" spans="1:9">
      <c r="B175" s="820"/>
      <c r="C175" s="820"/>
      <c r="D175" s="820"/>
      <c r="E175" s="820"/>
      <c r="F175" s="820"/>
      <c r="G175" s="820"/>
      <c r="I175" s="655"/>
    </row>
    <row r="176" spans="1:9">
      <c r="B176" s="820"/>
      <c r="C176" s="820"/>
      <c r="D176" s="820"/>
      <c r="E176" s="820"/>
      <c r="F176" s="820"/>
      <c r="G176" s="820"/>
    </row>
  </sheetData>
  <hyperlinks>
    <hyperlink ref="I1" location="TOC!A1" display="Back" xr:uid="{00000000-0004-0000-1E00-000000000000}"/>
  </hyperlinks>
  <pageMargins left="0.75" right="0.25" top="0.4" bottom="0.2" header="0.25" footer="0"/>
  <pageSetup scale="87" fitToHeight="4" orientation="landscape" r:id="rId1"/>
  <headerFooter scaleWithDoc="0">
    <oddHeader>&amp;R&amp;P</oddHeader>
  </headerFooter>
  <rowBreaks count="3" manualBreakCount="3">
    <brk id="35" max="7" man="1"/>
    <brk id="70" max="7" man="1"/>
    <brk id="112" max="7"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7030A0"/>
  </sheetPr>
  <dimension ref="A1:AB214"/>
  <sheetViews>
    <sheetView topLeftCell="A175" zoomScale="90" zoomScaleNormal="90" workbookViewId="0">
      <selection activeCell="N59" sqref="N59"/>
    </sheetView>
  </sheetViews>
  <sheetFormatPr defaultColWidth="13.7265625" defaultRowHeight="11.5"/>
  <cols>
    <col min="1" max="1" width="14.453125" style="428" customWidth="1"/>
    <col min="2" max="2" width="15.26953125" style="428" customWidth="1"/>
    <col min="3" max="3" width="15.7265625" style="428" customWidth="1"/>
    <col min="4" max="4" width="15.26953125" style="428" customWidth="1"/>
    <col min="5" max="6" width="16.81640625" style="428" customWidth="1"/>
    <col min="7" max="7" width="14.453125" style="428" customWidth="1"/>
    <col min="8" max="8" width="14.453125" style="433" customWidth="1"/>
    <col min="9" max="10" width="8.26953125" style="428" customWidth="1"/>
    <col min="11" max="97" width="13.7265625" style="428" customWidth="1"/>
    <col min="98" max="16384" width="13.7265625" style="428"/>
  </cols>
  <sheetData>
    <row r="1" spans="1:28" ht="14">
      <c r="A1" s="427" t="s">
        <v>801</v>
      </c>
      <c r="L1" s="440"/>
    </row>
    <row r="2" spans="1:28" ht="13">
      <c r="A2" s="1643" t="s">
        <v>877</v>
      </c>
      <c r="B2" s="1643"/>
      <c r="C2" s="1643"/>
      <c r="D2" s="1643"/>
      <c r="E2" s="1643"/>
      <c r="F2" s="1643"/>
      <c r="G2" s="1643"/>
      <c r="H2" s="1643"/>
      <c r="L2" s="1644"/>
      <c r="M2" s="1644"/>
      <c r="N2" s="1644"/>
      <c r="O2" s="1644"/>
      <c r="P2" s="1644"/>
      <c r="Q2" s="1644"/>
      <c r="R2" s="1644"/>
      <c r="S2" s="1644"/>
      <c r="U2" s="440"/>
    </row>
    <row r="3" spans="1:28" ht="12" thickBot="1">
      <c r="A3" s="443"/>
      <c r="B3" s="443"/>
      <c r="C3" s="443"/>
      <c r="D3" s="443"/>
      <c r="E3" s="443"/>
      <c r="F3" s="443"/>
      <c r="G3" s="443"/>
      <c r="H3" s="446"/>
      <c r="L3" s="490"/>
      <c r="M3" s="490"/>
      <c r="N3" s="490"/>
      <c r="O3" s="490"/>
      <c r="P3" s="490"/>
      <c r="Q3" s="490"/>
      <c r="R3" s="490"/>
      <c r="S3" s="490"/>
      <c r="U3" s="440"/>
    </row>
    <row r="5" spans="1:28" s="447" customFormat="1">
      <c r="A5" s="448" t="s">
        <v>21</v>
      </c>
      <c r="B5" s="448" t="s">
        <v>802</v>
      </c>
      <c r="C5" s="448" t="s">
        <v>803</v>
      </c>
      <c r="D5" s="448" t="s">
        <v>804</v>
      </c>
      <c r="E5" s="448" t="s">
        <v>805</v>
      </c>
      <c r="F5" s="448" t="s">
        <v>806</v>
      </c>
      <c r="G5" s="448" t="s">
        <v>807</v>
      </c>
      <c r="H5" s="448" t="s">
        <v>808</v>
      </c>
    </row>
    <row r="6" spans="1:28" ht="8.25" customHeight="1"/>
    <row r="7" spans="1:28" ht="12" customHeight="1">
      <c r="A7" s="428" t="s">
        <v>50</v>
      </c>
      <c r="B7" s="660">
        <v>1637882600</v>
      </c>
      <c r="C7" s="660">
        <v>1551107600</v>
      </c>
      <c r="D7" s="660">
        <v>2022125700</v>
      </c>
      <c r="E7" s="430">
        <v>3660008300</v>
      </c>
      <c r="F7" s="430">
        <v>3573233300</v>
      </c>
      <c r="G7" s="660">
        <v>21360827.5</v>
      </c>
      <c r="H7" s="656">
        <v>2019</v>
      </c>
      <c r="I7" s="431"/>
      <c r="J7" s="431"/>
      <c r="M7" s="432"/>
      <c r="N7" s="432"/>
      <c r="O7" s="432"/>
      <c r="P7" s="432"/>
      <c r="Q7" s="432"/>
      <c r="R7" s="432"/>
      <c r="S7" s="433"/>
      <c r="V7" s="434"/>
      <c r="W7" s="434"/>
      <c r="X7" s="434"/>
      <c r="Y7" s="434"/>
      <c r="Z7" s="434"/>
      <c r="AA7" s="434"/>
      <c r="AB7" s="434"/>
    </row>
    <row r="8" spans="1:28" ht="12" customHeight="1">
      <c r="A8" s="428" t="s">
        <v>52</v>
      </c>
      <c r="B8" s="661">
        <v>7986959200</v>
      </c>
      <c r="C8" s="661">
        <v>6457390800</v>
      </c>
      <c r="D8" s="661">
        <v>12565800900</v>
      </c>
      <c r="E8" s="436">
        <v>20552760100</v>
      </c>
      <c r="F8" s="436">
        <v>19023191700</v>
      </c>
      <c r="G8" s="661">
        <v>162458057.118</v>
      </c>
      <c r="H8" s="656">
        <v>2019</v>
      </c>
      <c r="I8" s="431"/>
      <c r="J8" s="431"/>
      <c r="M8" s="437"/>
      <c r="N8" s="437"/>
      <c r="O8" s="437"/>
      <c r="P8" s="437"/>
      <c r="Q8" s="437"/>
      <c r="R8" s="437"/>
      <c r="S8" s="433"/>
      <c r="V8" s="434"/>
      <c r="W8" s="434"/>
      <c r="X8" s="434"/>
      <c r="Y8" s="434"/>
      <c r="Z8" s="434"/>
      <c r="AA8" s="434"/>
      <c r="AB8" s="434"/>
    </row>
    <row r="9" spans="1:28" ht="12" customHeight="1">
      <c r="A9" s="428" t="s">
        <v>54</v>
      </c>
      <c r="B9" s="661">
        <v>330184200</v>
      </c>
      <c r="C9" s="661">
        <v>254185800</v>
      </c>
      <c r="D9" s="661">
        <v>791622000</v>
      </c>
      <c r="E9" s="436">
        <v>1121806200</v>
      </c>
      <c r="F9" s="436">
        <v>1045807800</v>
      </c>
      <c r="G9" s="661">
        <v>7634396.9399999995</v>
      </c>
      <c r="H9" s="656">
        <v>2019</v>
      </c>
      <c r="I9" s="431"/>
      <c r="J9" s="431"/>
      <c r="M9" s="437"/>
      <c r="N9" s="437"/>
      <c r="O9" s="437"/>
      <c r="P9" s="437"/>
      <c r="Q9" s="437"/>
      <c r="R9" s="437"/>
      <c r="S9" s="433"/>
      <c r="V9" s="434"/>
      <c r="W9" s="434"/>
      <c r="X9" s="434"/>
      <c r="Y9" s="434"/>
      <c r="Z9" s="434"/>
      <c r="AA9" s="434"/>
      <c r="AB9" s="434"/>
    </row>
    <row r="10" spans="1:28" ht="12" customHeight="1">
      <c r="A10" s="428" t="s">
        <v>56</v>
      </c>
      <c r="B10" s="661">
        <v>515564155</v>
      </c>
      <c r="C10" s="661">
        <v>441675755</v>
      </c>
      <c r="D10" s="661">
        <v>777360900</v>
      </c>
      <c r="E10" s="436">
        <v>1292925055</v>
      </c>
      <c r="F10" s="436">
        <v>1219036655</v>
      </c>
      <c r="G10" s="661">
        <v>5851375.9440000001</v>
      </c>
      <c r="H10" s="656">
        <v>2019</v>
      </c>
      <c r="I10" s="431"/>
      <c r="J10" s="431"/>
      <c r="M10" s="437"/>
      <c r="N10" s="437"/>
      <c r="O10" s="437"/>
      <c r="P10" s="437"/>
      <c r="Q10" s="437"/>
      <c r="R10" s="437"/>
      <c r="S10" s="433"/>
      <c r="V10" s="434"/>
      <c r="W10" s="434"/>
      <c r="X10" s="434"/>
      <c r="Y10" s="434"/>
      <c r="Z10" s="434"/>
      <c r="AA10" s="434"/>
      <c r="AB10" s="434"/>
    </row>
    <row r="11" spans="1:28" ht="12" customHeight="1">
      <c r="A11" s="428" t="s">
        <v>58</v>
      </c>
      <c r="B11" s="661">
        <v>1090356600</v>
      </c>
      <c r="C11" s="661">
        <v>800464900</v>
      </c>
      <c r="D11" s="661">
        <v>1561757400</v>
      </c>
      <c r="E11" s="436">
        <v>2652114000</v>
      </c>
      <c r="F11" s="436">
        <v>2362222300</v>
      </c>
      <c r="G11" s="661">
        <v>14409556.029999999</v>
      </c>
      <c r="H11" s="656">
        <v>2019</v>
      </c>
      <c r="I11" s="431"/>
      <c r="J11" s="431"/>
      <c r="M11" s="437"/>
      <c r="N11" s="437"/>
      <c r="O11" s="437"/>
      <c r="P11" s="437"/>
      <c r="Q11" s="437"/>
      <c r="R11" s="437"/>
      <c r="S11" s="433"/>
      <c r="V11" s="434"/>
      <c r="W11" s="434"/>
      <c r="X11" s="434"/>
      <c r="Y11" s="434"/>
      <c r="Z11" s="434"/>
      <c r="AA11" s="434"/>
      <c r="AB11" s="434"/>
    </row>
    <row r="12" spans="1:28" ht="9" customHeight="1">
      <c r="B12" s="661"/>
      <c r="C12" s="661"/>
      <c r="D12" s="661"/>
      <c r="E12" s="436"/>
      <c r="F12" s="436"/>
      <c r="G12" s="661"/>
      <c r="H12" s="656"/>
      <c r="M12" s="437"/>
      <c r="N12" s="437"/>
      <c r="O12" s="437"/>
      <c r="P12" s="437"/>
      <c r="Q12" s="437"/>
      <c r="R12" s="437"/>
      <c r="S12" s="433"/>
      <c r="V12" s="434"/>
      <c r="W12" s="434"/>
      <c r="X12" s="434"/>
      <c r="Y12" s="434"/>
      <c r="Z12" s="434"/>
      <c r="AA12" s="434"/>
      <c r="AB12" s="434"/>
    </row>
    <row r="13" spans="1:28" ht="12" customHeight="1">
      <c r="A13" s="428" t="s">
        <v>60</v>
      </c>
      <c r="B13" s="661">
        <v>594750700</v>
      </c>
      <c r="C13" s="661">
        <v>546481132</v>
      </c>
      <c r="D13" s="661">
        <v>789806300</v>
      </c>
      <c r="E13" s="436">
        <v>1384557000</v>
      </c>
      <c r="F13" s="436">
        <v>1336287432</v>
      </c>
      <c r="G13" s="661">
        <v>8685868.3080000002</v>
      </c>
      <c r="H13" s="656">
        <v>2019</v>
      </c>
      <c r="I13" s="431"/>
      <c r="J13" s="431"/>
      <c r="M13" s="437"/>
      <c r="N13" s="437"/>
      <c r="O13" s="437"/>
      <c r="P13" s="437"/>
      <c r="Q13" s="437"/>
      <c r="R13" s="437"/>
      <c r="S13" s="433"/>
      <c r="V13" s="434"/>
      <c r="W13" s="434"/>
      <c r="X13" s="434"/>
      <c r="Y13" s="434"/>
      <c r="Z13" s="434"/>
      <c r="AA13" s="434"/>
      <c r="AB13" s="434"/>
    </row>
    <row r="14" spans="1:28" ht="12" customHeight="1">
      <c r="A14" s="428" t="s">
        <v>891</v>
      </c>
      <c r="B14" s="661">
        <v>30299633700</v>
      </c>
      <c r="C14" s="661">
        <v>30299633700</v>
      </c>
      <c r="D14" s="661">
        <v>47290504500</v>
      </c>
      <c r="E14" s="436">
        <v>77590138200</v>
      </c>
      <c r="F14" s="436">
        <v>77590138200</v>
      </c>
      <c r="G14" s="662">
        <v>785988099.96599996</v>
      </c>
      <c r="H14" s="656">
        <v>2018</v>
      </c>
      <c r="I14" s="431"/>
      <c r="J14" s="431"/>
      <c r="M14" s="437"/>
      <c r="N14" s="437"/>
      <c r="O14" s="437"/>
      <c r="P14" s="437"/>
      <c r="Q14" s="437"/>
      <c r="R14" s="437"/>
      <c r="S14" s="433"/>
      <c r="V14" s="434"/>
      <c r="W14" s="434"/>
      <c r="X14" s="434"/>
      <c r="Y14" s="434"/>
      <c r="Z14" s="434"/>
      <c r="AA14" s="434"/>
      <c r="AB14" s="434"/>
    </row>
    <row r="15" spans="1:28" ht="12" customHeight="1">
      <c r="A15" s="428" t="s">
        <v>64</v>
      </c>
      <c r="B15" s="661">
        <v>3685755300</v>
      </c>
      <c r="C15" s="661">
        <v>2439748330</v>
      </c>
      <c r="D15" s="661">
        <v>5077074400</v>
      </c>
      <c r="E15" s="436">
        <v>8762829700</v>
      </c>
      <c r="F15" s="436">
        <v>7516822730</v>
      </c>
      <c r="G15" s="661">
        <v>47355980.409999996</v>
      </c>
      <c r="H15" s="656">
        <v>2019</v>
      </c>
      <c r="I15" s="431"/>
      <c r="J15" s="431"/>
      <c r="M15" s="437"/>
      <c r="N15" s="437"/>
      <c r="O15" s="437"/>
      <c r="P15" s="437"/>
      <c r="Q15" s="437"/>
      <c r="R15" s="437"/>
      <c r="S15" s="433"/>
      <c r="V15" s="434"/>
      <c r="W15" s="434"/>
      <c r="X15" s="434"/>
      <c r="Y15" s="434"/>
      <c r="Z15" s="434"/>
      <c r="AA15" s="434"/>
      <c r="AB15" s="434"/>
    </row>
    <row r="16" spans="1:28" ht="12" customHeight="1">
      <c r="A16" s="428" t="s">
        <v>66</v>
      </c>
      <c r="B16" s="661">
        <v>383209800</v>
      </c>
      <c r="C16" s="661">
        <v>355770400</v>
      </c>
      <c r="D16" s="661">
        <v>500181900</v>
      </c>
      <c r="E16" s="436">
        <v>883391700</v>
      </c>
      <c r="F16" s="436">
        <v>855952300</v>
      </c>
      <c r="G16" s="661">
        <v>4279761.5</v>
      </c>
      <c r="H16" s="656" t="s">
        <v>883</v>
      </c>
      <c r="I16" s="431"/>
      <c r="J16" s="431"/>
      <c r="M16" s="437"/>
      <c r="N16" s="437"/>
      <c r="O16" s="437"/>
      <c r="P16" s="437"/>
      <c r="Q16" s="437"/>
      <c r="R16" s="437"/>
      <c r="S16" s="433"/>
      <c r="V16" s="434"/>
      <c r="W16" s="434"/>
      <c r="X16" s="434"/>
      <c r="Y16" s="434"/>
      <c r="Z16" s="434"/>
      <c r="AA16" s="434"/>
      <c r="AB16" s="434"/>
    </row>
    <row r="17" spans="1:28" ht="12" customHeight="1">
      <c r="A17" s="428" t="s">
        <v>809</v>
      </c>
      <c r="B17" s="661">
        <v>4174813500</v>
      </c>
      <c r="C17" s="661">
        <v>2977823600</v>
      </c>
      <c r="D17" s="661">
        <v>6078110034</v>
      </c>
      <c r="E17" s="436">
        <v>10252923534</v>
      </c>
      <c r="F17" s="436">
        <v>9055933634</v>
      </c>
      <c r="G17" s="661">
        <v>45279668.170000002</v>
      </c>
      <c r="H17" s="656">
        <v>2019</v>
      </c>
      <c r="I17" s="431"/>
      <c r="J17" s="431"/>
      <c r="P17" s="438"/>
      <c r="Q17" s="438"/>
      <c r="S17" s="433"/>
      <c r="V17" s="434"/>
      <c r="W17" s="434"/>
      <c r="X17" s="434"/>
      <c r="Y17" s="434"/>
      <c r="Z17" s="434"/>
      <c r="AA17" s="434"/>
      <c r="AB17" s="434"/>
    </row>
    <row r="18" spans="1:28" ht="9" customHeight="1">
      <c r="B18" s="499"/>
      <c r="C18" s="499"/>
      <c r="D18" s="499"/>
      <c r="E18" s="436"/>
      <c r="F18" s="436"/>
      <c r="G18" s="499"/>
      <c r="H18" s="493"/>
      <c r="M18" s="437"/>
      <c r="N18" s="437"/>
      <c r="O18" s="437"/>
      <c r="P18" s="437"/>
      <c r="Q18" s="437"/>
      <c r="R18" s="437"/>
      <c r="S18" s="433"/>
      <c r="V18" s="434"/>
      <c r="W18" s="434"/>
      <c r="X18" s="434"/>
      <c r="Y18" s="434"/>
      <c r="Z18" s="434"/>
      <c r="AA18" s="434"/>
      <c r="AB18" s="434"/>
    </row>
    <row r="19" spans="1:28" ht="12" customHeight="1">
      <c r="A19" s="428" t="s">
        <v>69</v>
      </c>
      <c r="B19" s="661">
        <v>349800400</v>
      </c>
      <c r="C19" s="661">
        <v>198324600</v>
      </c>
      <c r="D19" s="661">
        <v>259747700</v>
      </c>
      <c r="E19" s="436">
        <v>609548100</v>
      </c>
      <c r="F19" s="436">
        <v>458072300</v>
      </c>
      <c r="G19" s="661">
        <v>2748433.8</v>
      </c>
      <c r="H19" s="656">
        <v>2019</v>
      </c>
      <c r="I19" s="431"/>
      <c r="J19" s="431"/>
      <c r="M19" s="437"/>
      <c r="N19" s="437"/>
      <c r="O19" s="437"/>
      <c r="P19" s="437"/>
      <c r="Q19" s="437"/>
      <c r="R19" s="437"/>
      <c r="S19" s="433"/>
      <c r="V19" s="434"/>
      <c r="W19" s="434"/>
      <c r="X19" s="434"/>
      <c r="Y19" s="434"/>
      <c r="Z19" s="434"/>
      <c r="AA19" s="434"/>
      <c r="AB19" s="434"/>
    </row>
    <row r="20" spans="1:28" ht="12" customHeight="1">
      <c r="A20" s="428" t="s">
        <v>71</v>
      </c>
      <c r="B20" s="661">
        <v>1285197053</v>
      </c>
      <c r="C20" s="661">
        <v>1284915953</v>
      </c>
      <c r="D20" s="661">
        <v>2483287650</v>
      </c>
      <c r="E20" s="436">
        <v>3768484703</v>
      </c>
      <c r="F20" s="436">
        <v>3768203603</v>
      </c>
      <c r="G20" s="661">
        <v>29768808.463700004</v>
      </c>
      <c r="H20" s="656">
        <v>2019</v>
      </c>
      <c r="I20" s="431"/>
      <c r="J20" s="431"/>
      <c r="M20" s="437"/>
      <c r="N20" s="437"/>
      <c r="O20" s="437"/>
      <c r="P20" s="437"/>
      <c r="Q20" s="437"/>
      <c r="R20" s="437"/>
      <c r="S20" s="433"/>
      <c r="V20" s="434"/>
      <c r="W20" s="434"/>
      <c r="X20" s="434"/>
      <c r="Y20" s="434"/>
      <c r="Z20" s="434"/>
      <c r="AA20" s="434"/>
      <c r="AB20" s="434"/>
    </row>
    <row r="21" spans="1:28" ht="12" customHeight="1">
      <c r="A21" s="428" t="s">
        <v>73</v>
      </c>
      <c r="B21" s="661">
        <v>698530200</v>
      </c>
      <c r="C21" s="661">
        <v>698530200</v>
      </c>
      <c r="D21" s="661">
        <v>605774360</v>
      </c>
      <c r="E21" s="436">
        <v>1304304560</v>
      </c>
      <c r="F21" s="436">
        <v>1304304560</v>
      </c>
      <c r="G21" s="661">
        <v>6912814.1680000005</v>
      </c>
      <c r="H21" s="656">
        <v>2019</v>
      </c>
      <c r="I21" s="431"/>
      <c r="J21" s="431"/>
      <c r="M21" s="437"/>
      <c r="N21" s="437"/>
      <c r="O21" s="437"/>
      <c r="P21" s="437"/>
      <c r="Q21" s="437"/>
      <c r="R21" s="437"/>
      <c r="S21" s="433"/>
      <c r="V21" s="434"/>
      <c r="W21" s="434"/>
      <c r="X21" s="434"/>
      <c r="Y21" s="434"/>
      <c r="Z21" s="434"/>
      <c r="AA21" s="434"/>
      <c r="AB21" s="434"/>
    </row>
    <row r="22" spans="1:28" ht="12" customHeight="1">
      <c r="A22" s="428" t="s">
        <v>75</v>
      </c>
      <c r="B22" s="661">
        <v>653374358</v>
      </c>
      <c r="C22" s="661">
        <v>653374358</v>
      </c>
      <c r="D22" s="661">
        <v>1588791189</v>
      </c>
      <c r="E22" s="436">
        <v>2242165547</v>
      </c>
      <c r="F22" s="436">
        <v>2242165547</v>
      </c>
      <c r="G22" s="661">
        <v>8744446.1799999997</v>
      </c>
      <c r="H22" s="656">
        <v>2019</v>
      </c>
      <c r="I22" s="431"/>
      <c r="J22" s="431"/>
      <c r="M22" s="437"/>
      <c r="N22" s="437"/>
      <c r="O22" s="437"/>
      <c r="P22" s="437"/>
      <c r="Q22" s="437"/>
      <c r="R22" s="437"/>
      <c r="S22" s="433"/>
      <c r="V22" s="434"/>
      <c r="W22" s="434"/>
      <c r="X22" s="434"/>
      <c r="Y22" s="434"/>
      <c r="Z22" s="434"/>
      <c r="AA22" s="434"/>
      <c r="AB22" s="434"/>
    </row>
    <row r="23" spans="1:28" ht="12" customHeight="1">
      <c r="A23" s="428" t="s">
        <v>77</v>
      </c>
      <c r="B23" s="661">
        <v>758915000</v>
      </c>
      <c r="C23" s="661">
        <v>758915000</v>
      </c>
      <c r="D23" s="661">
        <v>678007800</v>
      </c>
      <c r="E23" s="436">
        <v>1436922800</v>
      </c>
      <c r="F23" s="436">
        <v>1436922800</v>
      </c>
      <c r="G23" s="661">
        <v>7903075.4000000004</v>
      </c>
      <c r="H23" s="656">
        <v>2019</v>
      </c>
      <c r="I23" s="431"/>
      <c r="J23" s="431"/>
      <c r="M23" s="437"/>
      <c r="N23" s="437"/>
      <c r="O23" s="437"/>
      <c r="P23" s="437"/>
      <c r="Q23" s="437"/>
      <c r="R23" s="437"/>
      <c r="S23" s="433"/>
      <c r="V23" s="434"/>
      <c r="W23" s="434"/>
      <c r="X23" s="434"/>
      <c r="Y23" s="434"/>
      <c r="Z23" s="434"/>
      <c r="AA23" s="434"/>
      <c r="AB23" s="434"/>
    </row>
    <row r="24" spans="1:28" ht="9" customHeight="1">
      <c r="B24" s="661"/>
      <c r="C24" s="661"/>
      <c r="D24" s="661"/>
      <c r="E24" s="436"/>
      <c r="F24" s="436"/>
      <c r="G24" s="661"/>
      <c r="H24" s="656"/>
      <c r="M24" s="437"/>
      <c r="N24" s="437"/>
      <c r="O24" s="437"/>
      <c r="P24" s="437"/>
      <c r="Q24" s="437"/>
      <c r="R24" s="437"/>
      <c r="S24" s="433"/>
      <c r="V24" s="434"/>
      <c r="W24" s="434"/>
      <c r="X24" s="434"/>
      <c r="Y24" s="434"/>
      <c r="Z24" s="434"/>
      <c r="AA24" s="434"/>
      <c r="AB24" s="434"/>
    </row>
    <row r="25" spans="1:28" ht="12.65" customHeight="1">
      <c r="A25" s="428" t="s">
        <v>79</v>
      </c>
      <c r="B25" s="661">
        <v>1371123957</v>
      </c>
      <c r="C25" s="661">
        <v>1100605972</v>
      </c>
      <c r="D25" s="661">
        <v>3017243500</v>
      </c>
      <c r="E25" s="436">
        <v>4388367457</v>
      </c>
      <c r="F25" s="436">
        <v>4117849472</v>
      </c>
      <c r="G25" s="661">
        <v>21412817.2544</v>
      </c>
      <c r="H25" s="656">
        <v>2019</v>
      </c>
      <c r="I25" s="431"/>
      <c r="J25" s="431"/>
      <c r="O25" s="437"/>
      <c r="P25" s="437"/>
      <c r="Q25" s="437"/>
      <c r="R25" s="437"/>
      <c r="S25" s="433"/>
      <c r="V25" s="434"/>
      <c r="W25" s="434"/>
      <c r="X25" s="434"/>
      <c r="Y25" s="434"/>
      <c r="Z25" s="434"/>
      <c r="AA25" s="434"/>
      <c r="AB25" s="434"/>
    </row>
    <row r="26" spans="1:28" ht="12" customHeight="1">
      <c r="A26" s="428" t="s">
        <v>81</v>
      </c>
      <c r="B26" s="661">
        <v>1167337812</v>
      </c>
      <c r="C26" s="661">
        <v>991858769</v>
      </c>
      <c r="D26" s="661">
        <v>1688570400</v>
      </c>
      <c r="E26" s="436">
        <v>2855908212</v>
      </c>
      <c r="F26" s="436">
        <v>2680429169</v>
      </c>
      <c r="G26" s="661">
        <v>22247562.102699999</v>
      </c>
      <c r="H26" s="656">
        <v>2019</v>
      </c>
      <c r="I26" s="431"/>
      <c r="J26" s="431"/>
      <c r="M26" s="437"/>
      <c r="N26" s="437"/>
      <c r="O26" s="437"/>
      <c r="P26" s="437"/>
      <c r="Q26" s="437"/>
      <c r="R26" s="437"/>
      <c r="S26" s="433"/>
      <c r="V26" s="434"/>
      <c r="W26" s="434"/>
      <c r="X26" s="434"/>
      <c r="Y26" s="434"/>
      <c r="Z26" s="434"/>
      <c r="AA26" s="434"/>
      <c r="AB26" s="434"/>
    </row>
    <row r="27" spans="1:28" ht="12" customHeight="1">
      <c r="A27" s="428" t="s">
        <v>83</v>
      </c>
      <c r="B27" s="661">
        <v>1016744300</v>
      </c>
      <c r="C27" s="661">
        <v>828465111</v>
      </c>
      <c r="D27" s="661">
        <v>1333182500</v>
      </c>
      <c r="E27" s="436">
        <v>2349926800</v>
      </c>
      <c r="F27" s="436">
        <v>2161647611</v>
      </c>
      <c r="G27" s="661">
        <v>15023450.896449998</v>
      </c>
      <c r="H27" s="656">
        <v>2019</v>
      </c>
      <c r="I27" s="431"/>
      <c r="J27" s="431"/>
      <c r="M27" s="437"/>
      <c r="N27" s="437"/>
      <c r="O27" s="437"/>
      <c r="P27" s="437"/>
      <c r="Q27" s="437"/>
      <c r="R27" s="437"/>
      <c r="S27" s="433"/>
      <c r="V27" s="434"/>
      <c r="W27" s="434"/>
      <c r="X27" s="434"/>
      <c r="Y27" s="434"/>
      <c r="Z27" s="434"/>
      <c r="AA27" s="434"/>
      <c r="AB27" s="434"/>
    </row>
    <row r="28" spans="1:28" ht="12" customHeight="1">
      <c r="A28" s="428" t="s">
        <v>85</v>
      </c>
      <c r="B28" s="661">
        <v>420441310</v>
      </c>
      <c r="C28" s="661">
        <v>420441310</v>
      </c>
      <c r="D28" s="661">
        <v>432815370</v>
      </c>
      <c r="E28" s="436">
        <v>853256680</v>
      </c>
      <c r="F28" s="436">
        <v>853256680</v>
      </c>
      <c r="G28" s="661">
        <v>6484750.7680000011</v>
      </c>
      <c r="H28" s="656" t="s">
        <v>883</v>
      </c>
      <c r="I28" s="431"/>
      <c r="J28" s="431"/>
      <c r="P28" s="438"/>
      <c r="Q28" s="438"/>
      <c r="S28" s="433"/>
      <c r="V28" s="434"/>
      <c r="W28" s="434"/>
      <c r="X28" s="434"/>
      <c r="Y28" s="434"/>
      <c r="Z28" s="434"/>
      <c r="AA28" s="434"/>
      <c r="AB28" s="434"/>
    </row>
    <row r="29" spans="1:28" ht="12" customHeight="1">
      <c r="A29" s="428" t="s">
        <v>87</v>
      </c>
      <c r="B29" s="661">
        <v>525096421</v>
      </c>
      <c r="C29" s="661">
        <v>525096421</v>
      </c>
      <c r="D29" s="661">
        <v>484863402</v>
      </c>
      <c r="E29" s="436">
        <v>1009959823</v>
      </c>
      <c r="F29" s="436">
        <v>1009959823</v>
      </c>
      <c r="G29" s="661">
        <v>6261750.9026000006</v>
      </c>
      <c r="H29" s="656" t="s">
        <v>883</v>
      </c>
      <c r="I29" s="431"/>
      <c r="J29" s="431"/>
      <c r="M29" s="437"/>
      <c r="N29" s="437"/>
      <c r="O29" s="437"/>
      <c r="P29" s="437"/>
      <c r="Q29" s="437"/>
      <c r="R29" s="437"/>
      <c r="S29" s="433"/>
      <c r="V29" s="434"/>
      <c r="W29" s="434"/>
      <c r="X29" s="434"/>
      <c r="Y29" s="434"/>
      <c r="Z29" s="434"/>
      <c r="AA29" s="434"/>
      <c r="AB29" s="434"/>
    </row>
    <row r="30" spans="1:28" ht="9" customHeight="1">
      <c r="B30" s="661"/>
      <c r="C30" s="661"/>
      <c r="D30" s="661"/>
      <c r="E30" s="436"/>
      <c r="F30" s="436"/>
      <c r="G30" s="661"/>
      <c r="H30" s="656"/>
      <c r="M30" s="437"/>
      <c r="N30" s="437"/>
      <c r="O30" s="437"/>
      <c r="P30" s="437"/>
      <c r="Q30" s="437"/>
      <c r="R30" s="437"/>
      <c r="S30" s="433"/>
      <c r="V30" s="434"/>
      <c r="W30" s="434"/>
      <c r="X30" s="434"/>
      <c r="Y30" s="434"/>
      <c r="Z30" s="434"/>
      <c r="AA30" s="434"/>
      <c r="AB30" s="434"/>
    </row>
    <row r="31" spans="1:28" ht="12" customHeight="1">
      <c r="A31" s="428" t="s">
        <v>89</v>
      </c>
      <c r="B31" s="661">
        <v>10064289900</v>
      </c>
      <c r="C31" s="661">
        <v>9890725291</v>
      </c>
      <c r="D31" s="661">
        <v>28999590300</v>
      </c>
      <c r="E31" s="436">
        <v>39063880200</v>
      </c>
      <c r="F31" s="436">
        <v>38890315591</v>
      </c>
      <c r="G31" s="662">
        <v>369457998.11449999</v>
      </c>
      <c r="H31" s="656">
        <v>2019</v>
      </c>
      <c r="I31" s="431"/>
      <c r="J31" s="431"/>
      <c r="M31" s="437"/>
      <c r="N31" s="437"/>
      <c r="O31" s="437"/>
      <c r="P31" s="437"/>
      <c r="Q31" s="437"/>
      <c r="R31" s="437"/>
      <c r="S31" s="433"/>
      <c r="V31" s="434"/>
      <c r="W31" s="434"/>
      <c r="X31" s="434"/>
      <c r="Y31" s="434"/>
      <c r="Z31" s="434"/>
      <c r="AA31" s="434"/>
      <c r="AB31" s="434"/>
    </row>
    <row r="32" spans="1:28" ht="12" customHeight="1">
      <c r="A32" s="428" t="s">
        <v>91</v>
      </c>
      <c r="B32" s="661">
        <v>1081906900</v>
      </c>
      <c r="C32" s="661">
        <v>758630039</v>
      </c>
      <c r="D32" s="661">
        <v>1325056500</v>
      </c>
      <c r="E32" s="436">
        <v>2406963400</v>
      </c>
      <c r="F32" s="436">
        <v>2083686539</v>
      </c>
      <c r="G32" s="661">
        <v>14794174.426899999</v>
      </c>
      <c r="H32" s="656">
        <v>2019</v>
      </c>
      <c r="I32" s="431"/>
      <c r="J32" s="431"/>
      <c r="M32" s="437"/>
      <c r="N32" s="437"/>
      <c r="O32" s="437"/>
      <c r="P32" s="437"/>
      <c r="Q32" s="437"/>
      <c r="R32" s="437"/>
      <c r="S32" s="433"/>
      <c r="V32" s="434"/>
      <c r="W32" s="434"/>
      <c r="X32" s="434"/>
      <c r="Y32" s="434"/>
      <c r="Z32" s="434"/>
      <c r="AA32" s="434"/>
      <c r="AB32" s="434"/>
    </row>
    <row r="33" spans="1:28" ht="12" customHeight="1">
      <c r="A33" s="428" t="s">
        <v>93</v>
      </c>
      <c r="B33" s="661">
        <v>229725800</v>
      </c>
      <c r="C33" s="661">
        <v>229725800</v>
      </c>
      <c r="D33" s="661">
        <v>285404400</v>
      </c>
      <c r="E33" s="436">
        <v>515130200</v>
      </c>
      <c r="F33" s="436">
        <v>515130200</v>
      </c>
      <c r="G33" s="661">
        <v>3039268.1799999997</v>
      </c>
      <c r="H33" s="656">
        <v>2019</v>
      </c>
      <c r="I33" s="431"/>
      <c r="J33" s="431"/>
      <c r="M33" s="437"/>
      <c r="N33" s="437"/>
      <c r="O33" s="437"/>
      <c r="P33" s="437"/>
      <c r="Q33" s="437"/>
      <c r="R33" s="437"/>
      <c r="S33" s="433"/>
      <c r="V33" s="434"/>
      <c r="W33" s="434"/>
      <c r="X33" s="434"/>
      <c r="Y33" s="434"/>
      <c r="Z33" s="434"/>
      <c r="AA33" s="434"/>
      <c r="AB33" s="434"/>
    </row>
    <row r="34" spans="1:28">
      <c r="A34" s="428" t="s">
        <v>95</v>
      </c>
      <c r="B34" s="661">
        <v>2334418118</v>
      </c>
      <c r="C34" s="661">
        <v>1835875218</v>
      </c>
      <c r="D34" s="661">
        <v>3785165300</v>
      </c>
      <c r="E34" s="436">
        <v>6119583418</v>
      </c>
      <c r="F34" s="436">
        <v>5621040518</v>
      </c>
      <c r="G34" s="661">
        <v>34850451.211599998</v>
      </c>
      <c r="H34" s="656">
        <v>2019</v>
      </c>
      <c r="I34" s="431"/>
      <c r="J34" s="431"/>
      <c r="M34" s="437"/>
      <c r="N34" s="437"/>
      <c r="O34" s="437"/>
      <c r="P34" s="437"/>
      <c r="Q34" s="437"/>
      <c r="R34" s="437"/>
      <c r="S34" s="433"/>
      <c r="V34" s="434"/>
      <c r="W34" s="434"/>
      <c r="X34" s="434"/>
      <c r="Y34" s="434"/>
      <c r="Z34" s="434"/>
      <c r="AA34" s="434"/>
      <c r="AB34" s="434"/>
    </row>
    <row r="35" spans="1:28" ht="12" customHeight="1">
      <c r="A35" s="428" t="s">
        <v>97</v>
      </c>
      <c r="B35" s="661">
        <v>411782935</v>
      </c>
      <c r="C35" s="661">
        <v>323566939</v>
      </c>
      <c r="D35" s="661">
        <v>451654000</v>
      </c>
      <c r="E35" s="436">
        <v>863436935</v>
      </c>
      <c r="F35" s="436">
        <v>775220939</v>
      </c>
      <c r="G35" s="661">
        <v>6046723.3241999997</v>
      </c>
      <c r="H35" s="656">
        <v>2019</v>
      </c>
      <c r="I35" s="431"/>
      <c r="J35" s="431"/>
      <c r="M35" s="437"/>
      <c r="N35" s="437"/>
      <c r="O35" s="437"/>
      <c r="P35" s="437"/>
      <c r="Q35" s="437"/>
      <c r="R35" s="437"/>
      <c r="S35" s="433"/>
      <c r="V35" s="434"/>
      <c r="W35" s="434"/>
      <c r="X35" s="434"/>
      <c r="Y35" s="434"/>
      <c r="Z35" s="434"/>
      <c r="AA35" s="434"/>
      <c r="AB35" s="434"/>
    </row>
    <row r="36" spans="1:28" ht="9" customHeight="1">
      <c r="B36" s="661"/>
      <c r="C36" s="661"/>
      <c r="D36" s="661"/>
      <c r="E36" s="436"/>
      <c r="F36" s="436"/>
      <c r="G36" s="661"/>
      <c r="H36" s="656"/>
      <c r="M36" s="437"/>
      <c r="N36" s="437"/>
      <c r="O36" s="437"/>
      <c r="P36" s="437"/>
      <c r="Q36" s="437"/>
      <c r="R36" s="437"/>
      <c r="S36" s="433"/>
      <c r="V36" s="434"/>
      <c r="W36" s="434"/>
      <c r="X36" s="434"/>
      <c r="Y36" s="434"/>
      <c r="Z36" s="434"/>
      <c r="AA36" s="434"/>
      <c r="AB36" s="434"/>
    </row>
    <row r="37" spans="1:28" ht="12" customHeight="1">
      <c r="A37" s="428" t="s">
        <v>99</v>
      </c>
      <c r="B37" s="661">
        <v>393914600</v>
      </c>
      <c r="C37" s="661">
        <v>393914600</v>
      </c>
      <c r="D37" s="661">
        <v>898812600</v>
      </c>
      <c r="E37" s="436">
        <v>1292727200</v>
      </c>
      <c r="F37" s="436">
        <v>1292727200</v>
      </c>
      <c r="G37" s="661">
        <v>7756363.1999999993</v>
      </c>
      <c r="H37" s="656">
        <v>2019</v>
      </c>
      <c r="I37" s="431"/>
      <c r="J37" s="431"/>
      <c r="M37" s="437"/>
      <c r="N37" s="437"/>
      <c r="O37" s="437"/>
      <c r="P37" s="437"/>
      <c r="Q37" s="437"/>
      <c r="R37" s="437"/>
      <c r="S37" s="433"/>
      <c r="V37" s="434"/>
      <c r="W37" s="434"/>
      <c r="X37" s="434"/>
      <c r="Y37" s="434"/>
      <c r="Z37" s="434"/>
      <c r="AA37" s="434"/>
      <c r="AB37" s="434"/>
    </row>
    <row r="38" spans="1:28" ht="12" customHeight="1">
      <c r="A38" s="428" t="s">
        <v>101</v>
      </c>
      <c r="B38" s="661">
        <v>1043356913</v>
      </c>
      <c r="C38" s="661">
        <v>727713763</v>
      </c>
      <c r="D38" s="661">
        <v>1720031700</v>
      </c>
      <c r="E38" s="436">
        <v>2763388613</v>
      </c>
      <c r="F38" s="436">
        <v>2447745463</v>
      </c>
      <c r="G38" s="661">
        <v>19337189.157699998</v>
      </c>
      <c r="H38" s="656">
        <v>2019</v>
      </c>
      <c r="I38" s="431"/>
      <c r="J38" s="431"/>
      <c r="M38" s="437"/>
      <c r="N38" s="437"/>
      <c r="O38" s="437"/>
      <c r="P38" s="437"/>
      <c r="Q38" s="437"/>
      <c r="R38" s="437"/>
      <c r="S38" s="433"/>
      <c r="V38" s="434"/>
      <c r="W38" s="434"/>
      <c r="X38" s="434"/>
      <c r="Y38" s="434"/>
      <c r="Z38" s="434"/>
      <c r="AA38" s="434"/>
      <c r="AB38" s="434"/>
    </row>
    <row r="39" spans="1:28" ht="12" customHeight="1">
      <c r="A39" s="428" t="s">
        <v>103</v>
      </c>
      <c r="B39" s="661">
        <v>711880900</v>
      </c>
      <c r="C39" s="661">
        <v>621217419</v>
      </c>
      <c r="D39" s="661">
        <v>679111100</v>
      </c>
      <c r="E39" s="436">
        <v>1390992000</v>
      </c>
      <c r="F39" s="436">
        <v>1300328519</v>
      </c>
      <c r="G39" s="661">
        <v>11442890.9672</v>
      </c>
      <c r="H39" s="656">
        <v>2019</v>
      </c>
      <c r="I39" s="431"/>
      <c r="J39" s="431"/>
      <c r="P39" s="438"/>
      <c r="Q39" s="438"/>
      <c r="S39" s="433"/>
      <c r="V39" s="434"/>
      <c r="W39" s="434"/>
      <c r="X39" s="434"/>
      <c r="Y39" s="434"/>
      <c r="Z39" s="434"/>
      <c r="AA39" s="434"/>
      <c r="AB39" s="434"/>
    </row>
    <row r="40" spans="1:28" ht="11.25" customHeight="1">
      <c r="A40" s="428" t="s">
        <v>413</v>
      </c>
      <c r="B40" s="661">
        <v>89982549903</v>
      </c>
      <c r="C40" s="661">
        <v>89821836470</v>
      </c>
      <c r="D40" s="661">
        <v>165370118480</v>
      </c>
      <c r="E40" s="436">
        <v>255352668383</v>
      </c>
      <c r="F40" s="436">
        <v>255191954950</v>
      </c>
      <c r="G40" s="661">
        <v>2934707481.9249997</v>
      </c>
      <c r="H40" s="766" t="s">
        <v>940</v>
      </c>
      <c r="I40" s="431"/>
      <c r="J40" s="431"/>
      <c r="M40" s="437"/>
      <c r="N40" s="437"/>
      <c r="O40" s="437"/>
      <c r="P40" s="437"/>
      <c r="Q40" s="437"/>
      <c r="R40" s="437"/>
      <c r="S40" s="433"/>
      <c r="V40" s="434"/>
      <c r="W40" s="434"/>
      <c r="X40" s="434"/>
      <c r="Y40" s="434"/>
      <c r="Z40" s="434"/>
      <c r="AA40" s="434"/>
      <c r="AB40" s="434"/>
    </row>
    <row r="41" spans="1:28" ht="12" customHeight="1">
      <c r="A41" s="428" t="s">
        <v>107</v>
      </c>
      <c r="B41" s="661">
        <v>6091558000</v>
      </c>
      <c r="C41" s="661">
        <v>4710596200</v>
      </c>
      <c r="D41" s="661">
        <v>7334427500</v>
      </c>
      <c r="E41" s="436">
        <v>13425985500</v>
      </c>
      <c r="F41" s="436">
        <v>12045023700</v>
      </c>
      <c r="G41" s="661">
        <v>119727535.57799999</v>
      </c>
      <c r="H41" s="656">
        <v>2019</v>
      </c>
      <c r="I41" s="431"/>
      <c r="J41" s="431"/>
      <c r="M41" s="437"/>
      <c r="N41" s="437"/>
      <c r="O41" s="437"/>
      <c r="P41" s="437"/>
      <c r="Q41" s="437"/>
      <c r="R41" s="437"/>
      <c r="S41" s="433"/>
      <c r="V41" s="434"/>
      <c r="W41" s="434"/>
      <c r="X41" s="434"/>
      <c r="Y41" s="434"/>
      <c r="Z41" s="434"/>
      <c r="AA41" s="434"/>
      <c r="AB41" s="434"/>
    </row>
    <row r="42" spans="1:28" ht="14">
      <c r="A42" s="427" t="s">
        <v>810</v>
      </c>
      <c r="M42" s="437"/>
      <c r="N42" s="437"/>
      <c r="O42" s="437"/>
      <c r="P42" s="437"/>
      <c r="Q42" s="437"/>
      <c r="R42" s="437"/>
      <c r="S42" s="433"/>
      <c r="V42" s="434"/>
      <c r="W42" s="434"/>
      <c r="X42" s="434"/>
      <c r="Y42" s="434"/>
      <c r="Z42" s="434"/>
      <c r="AA42" s="434"/>
      <c r="AB42" s="434"/>
    </row>
    <row r="43" spans="1:28" ht="13">
      <c r="A43" s="1643" t="str">
        <f>A2</f>
        <v>Real Estate Fair Market Value (FMV), Fair Market Value (Taxable), and Local Levy by Locality - Tax Year 2019</v>
      </c>
      <c r="B43" s="1643"/>
      <c r="C43" s="1643"/>
      <c r="D43" s="1643"/>
      <c r="E43" s="1643"/>
      <c r="F43" s="1643"/>
      <c r="G43" s="1643"/>
      <c r="H43" s="1643"/>
      <c r="M43" s="437"/>
      <c r="N43" s="437"/>
      <c r="O43" s="437"/>
      <c r="P43" s="437"/>
      <c r="Q43" s="437"/>
      <c r="R43" s="437"/>
      <c r="S43" s="433"/>
      <c r="V43" s="434"/>
      <c r="W43" s="434"/>
      <c r="X43" s="434"/>
      <c r="Y43" s="434"/>
      <c r="Z43" s="434"/>
      <c r="AA43" s="434"/>
      <c r="AB43" s="434"/>
    </row>
    <row r="44" spans="1:28" ht="12" thickBot="1">
      <c r="A44" s="443"/>
      <c r="B44" s="443"/>
      <c r="C44" s="443"/>
      <c r="D44" s="443"/>
      <c r="E44" s="443"/>
      <c r="F44" s="443"/>
      <c r="G44" s="443"/>
      <c r="H44" s="443"/>
      <c r="M44" s="437"/>
      <c r="N44" s="437"/>
      <c r="O44" s="437"/>
      <c r="P44" s="437"/>
      <c r="Q44" s="437"/>
      <c r="R44" s="437"/>
      <c r="S44" s="433"/>
      <c r="V44" s="434"/>
      <c r="W44" s="434"/>
      <c r="X44" s="434"/>
      <c r="Y44" s="434"/>
      <c r="Z44" s="434"/>
      <c r="AA44" s="434"/>
      <c r="AB44" s="434"/>
    </row>
    <row r="45" spans="1:28">
      <c r="M45" s="437"/>
      <c r="N45" s="437"/>
      <c r="O45" s="437"/>
      <c r="P45" s="437"/>
      <c r="Q45" s="437"/>
      <c r="R45" s="437"/>
      <c r="S45" s="433"/>
      <c r="V45" s="434"/>
      <c r="W45" s="434"/>
      <c r="X45" s="434"/>
      <c r="Y45" s="434"/>
      <c r="Z45" s="434"/>
      <c r="AA45" s="434"/>
      <c r="AB45" s="434"/>
    </row>
    <row r="46" spans="1:28">
      <c r="A46" s="448" t="s">
        <v>21</v>
      </c>
      <c r="B46" s="448" t="s">
        <v>802</v>
      </c>
      <c r="C46" s="448" t="s">
        <v>803</v>
      </c>
      <c r="D46" s="448" t="s">
        <v>804</v>
      </c>
      <c r="E46" s="448" t="s">
        <v>805</v>
      </c>
      <c r="F46" s="448" t="s">
        <v>806</v>
      </c>
      <c r="G46" s="448" t="s">
        <v>807</v>
      </c>
      <c r="H46" s="448" t="s">
        <v>808</v>
      </c>
      <c r="M46" s="437"/>
      <c r="N46" s="437"/>
      <c r="O46" s="437"/>
      <c r="P46" s="437"/>
      <c r="Q46" s="437"/>
      <c r="R46" s="437"/>
      <c r="S46" s="433"/>
      <c r="V46" s="434"/>
      <c r="W46" s="434"/>
      <c r="X46" s="434"/>
      <c r="Y46" s="434"/>
      <c r="Z46" s="434"/>
      <c r="AA46" s="434"/>
      <c r="AB46" s="434"/>
    </row>
    <row r="47" spans="1:28" ht="8.25" customHeight="1">
      <c r="B47" s="435"/>
      <c r="C47" s="435"/>
      <c r="D47" s="435"/>
      <c r="E47" s="439"/>
      <c r="F47" s="439"/>
      <c r="G47" s="435"/>
      <c r="M47" s="437"/>
      <c r="N47" s="437"/>
      <c r="O47" s="437"/>
      <c r="P47" s="437"/>
      <c r="Q47" s="437"/>
      <c r="R47" s="437"/>
      <c r="S47" s="433"/>
      <c r="V47" s="434"/>
      <c r="W47" s="434"/>
      <c r="X47" s="434"/>
      <c r="Y47" s="434"/>
      <c r="Z47" s="434"/>
      <c r="AA47" s="434"/>
      <c r="AB47" s="434"/>
    </row>
    <row r="48" spans="1:28" ht="12" customHeight="1">
      <c r="A48" s="428" t="s">
        <v>109</v>
      </c>
      <c r="B48" s="660">
        <v>898471000</v>
      </c>
      <c r="C48" s="660">
        <v>707822000</v>
      </c>
      <c r="D48" s="660">
        <v>892933700</v>
      </c>
      <c r="E48" s="430">
        <v>1791404700</v>
      </c>
      <c r="F48" s="430">
        <v>1600755700</v>
      </c>
      <c r="G48" s="660">
        <v>9604534.1999999993</v>
      </c>
      <c r="H48" s="656">
        <v>2019</v>
      </c>
      <c r="I48" s="431"/>
      <c r="J48" s="431"/>
      <c r="M48" s="437"/>
      <c r="N48" s="437"/>
      <c r="O48" s="437"/>
      <c r="P48" s="437"/>
      <c r="Q48" s="437"/>
      <c r="R48" s="437"/>
      <c r="S48" s="433"/>
      <c r="V48" s="434"/>
      <c r="W48" s="434"/>
      <c r="X48" s="434"/>
      <c r="Y48" s="434"/>
      <c r="Z48" s="434"/>
      <c r="AA48" s="434"/>
      <c r="AB48" s="434"/>
    </row>
    <row r="49" spans="1:28" ht="12" customHeight="1">
      <c r="A49" s="428" t="s">
        <v>111</v>
      </c>
      <c r="B49" s="661">
        <v>1040922402</v>
      </c>
      <c r="C49" s="661">
        <v>739667302</v>
      </c>
      <c r="D49" s="661">
        <v>1928958100</v>
      </c>
      <c r="E49" s="436">
        <v>2969880502</v>
      </c>
      <c r="F49" s="436">
        <v>2668625402</v>
      </c>
      <c r="G49" s="661">
        <v>24684784.968499999</v>
      </c>
      <c r="H49" s="656">
        <v>2019</v>
      </c>
      <c r="I49" s="431"/>
      <c r="J49" s="431"/>
      <c r="M49" s="437"/>
      <c r="N49" s="437"/>
      <c r="O49" s="437"/>
      <c r="P49" s="437"/>
      <c r="Q49" s="437"/>
      <c r="R49" s="437"/>
      <c r="S49" s="433"/>
      <c r="V49" s="434"/>
      <c r="W49" s="434"/>
      <c r="X49" s="434"/>
      <c r="Y49" s="434"/>
      <c r="Z49" s="434"/>
      <c r="AA49" s="434"/>
      <c r="AB49" s="434"/>
    </row>
    <row r="50" spans="1:28" ht="12" customHeight="1">
      <c r="A50" s="428" t="s">
        <v>24</v>
      </c>
      <c r="B50" s="661">
        <v>3061519000</v>
      </c>
      <c r="C50" s="661">
        <v>2628338016</v>
      </c>
      <c r="D50" s="661">
        <v>4091206800</v>
      </c>
      <c r="E50" s="436">
        <v>7152725800</v>
      </c>
      <c r="F50" s="436">
        <v>6719544816</v>
      </c>
      <c r="G50" s="661">
        <v>40989223.377599999</v>
      </c>
      <c r="H50" s="656">
        <v>2019</v>
      </c>
      <c r="I50" s="431"/>
      <c r="J50" s="431"/>
      <c r="M50" s="437"/>
      <c r="N50" s="437"/>
      <c r="O50" s="437"/>
      <c r="P50" s="437"/>
      <c r="Q50" s="437"/>
      <c r="R50" s="437"/>
      <c r="S50" s="433"/>
      <c r="V50" s="434"/>
      <c r="W50" s="434"/>
      <c r="X50" s="434"/>
      <c r="Y50" s="434"/>
      <c r="Z50" s="434"/>
      <c r="AA50" s="434"/>
      <c r="AB50" s="434"/>
    </row>
    <row r="51" spans="1:28" ht="12" customHeight="1">
      <c r="A51" s="428" t="s">
        <v>114</v>
      </c>
      <c r="B51" s="661">
        <v>3842066700</v>
      </c>
      <c r="C51" s="661">
        <v>3336247300</v>
      </c>
      <c r="D51" s="661">
        <v>7112106475</v>
      </c>
      <c r="E51" s="436">
        <v>10954173175</v>
      </c>
      <c r="F51" s="436">
        <v>10448353775</v>
      </c>
      <c r="G51" s="662">
        <v>63734958.027499996</v>
      </c>
      <c r="H51" s="656">
        <v>2019</v>
      </c>
      <c r="I51" s="431"/>
      <c r="J51" s="431"/>
      <c r="M51" s="437"/>
      <c r="N51" s="437"/>
      <c r="O51" s="437"/>
      <c r="P51" s="437"/>
      <c r="Q51" s="437"/>
      <c r="R51" s="437"/>
      <c r="S51" s="433"/>
      <c r="V51" s="434"/>
      <c r="W51" s="434"/>
      <c r="X51" s="434"/>
      <c r="Y51" s="434"/>
      <c r="Z51" s="434"/>
      <c r="AA51" s="434"/>
      <c r="AB51" s="434"/>
    </row>
    <row r="52" spans="1:28" ht="12" customHeight="1">
      <c r="A52" s="428" t="s">
        <v>116</v>
      </c>
      <c r="B52" s="661">
        <v>453321700</v>
      </c>
      <c r="C52" s="661">
        <v>319226000</v>
      </c>
      <c r="D52" s="661">
        <v>755482000</v>
      </c>
      <c r="E52" s="436">
        <v>1208803700</v>
      </c>
      <c r="F52" s="436">
        <v>1074708000</v>
      </c>
      <c r="G52" s="661">
        <v>7200543.6000000006</v>
      </c>
      <c r="H52" s="656">
        <v>2019</v>
      </c>
      <c r="I52" s="431"/>
      <c r="J52" s="431"/>
      <c r="M52" s="437"/>
      <c r="N52" s="437"/>
      <c r="O52" s="437"/>
      <c r="P52" s="437"/>
      <c r="Q52" s="437"/>
      <c r="R52" s="437"/>
      <c r="S52" s="433"/>
      <c r="V52" s="434"/>
      <c r="W52" s="434"/>
      <c r="X52" s="434"/>
      <c r="Y52" s="434"/>
      <c r="Z52" s="434"/>
      <c r="AA52" s="434"/>
      <c r="AB52" s="434"/>
    </row>
    <row r="53" spans="1:28" ht="9" customHeight="1">
      <c r="B53" s="661"/>
      <c r="C53" s="661"/>
      <c r="D53" s="661"/>
      <c r="E53" s="436"/>
      <c r="F53" s="436"/>
      <c r="G53" s="661"/>
      <c r="H53" s="656"/>
      <c r="M53" s="437"/>
      <c r="N53" s="437"/>
      <c r="O53" s="437"/>
      <c r="P53" s="437"/>
      <c r="Q53" s="437"/>
      <c r="R53" s="437"/>
      <c r="S53" s="433"/>
      <c r="V53" s="434"/>
      <c r="W53" s="434"/>
      <c r="X53" s="434"/>
      <c r="Y53" s="434"/>
      <c r="Z53" s="434"/>
      <c r="AA53" s="434"/>
      <c r="AB53" s="434"/>
    </row>
    <row r="54" spans="1:28" ht="12" customHeight="1">
      <c r="A54" s="428" t="s">
        <v>51</v>
      </c>
      <c r="B54" s="661">
        <v>1784288284</v>
      </c>
      <c r="C54" s="661">
        <v>1687328084</v>
      </c>
      <c r="D54" s="661">
        <v>2704479402</v>
      </c>
      <c r="E54" s="436">
        <v>4488767686</v>
      </c>
      <c r="F54" s="436">
        <v>4391807486</v>
      </c>
      <c r="G54" s="661">
        <v>30523062.027699996</v>
      </c>
      <c r="H54" s="656">
        <v>2019</v>
      </c>
      <c r="I54" s="431"/>
      <c r="J54" s="431"/>
      <c r="M54" s="437"/>
      <c r="N54" s="437"/>
      <c r="O54" s="437"/>
      <c r="P54" s="437"/>
      <c r="Q54" s="437"/>
      <c r="R54" s="437"/>
      <c r="S54" s="433"/>
      <c r="V54" s="434"/>
      <c r="W54" s="434"/>
      <c r="X54" s="434"/>
      <c r="Y54" s="434"/>
      <c r="Z54" s="434"/>
      <c r="AA54" s="434"/>
      <c r="AB54" s="434"/>
    </row>
    <row r="55" spans="1:28" ht="12" customHeight="1">
      <c r="A55" s="428" t="s">
        <v>53</v>
      </c>
      <c r="B55" s="661">
        <v>2631210300</v>
      </c>
      <c r="C55" s="661">
        <v>2045806300</v>
      </c>
      <c r="D55" s="661">
        <v>3275434400</v>
      </c>
      <c r="E55" s="436">
        <v>5906644700</v>
      </c>
      <c r="F55" s="436">
        <v>5321240700</v>
      </c>
      <c r="G55" s="661">
        <v>28202575.710000001</v>
      </c>
      <c r="H55" s="656">
        <v>2019</v>
      </c>
      <c r="I55" s="431"/>
      <c r="J55" s="431"/>
      <c r="L55" s="1645"/>
      <c r="M55" s="1645"/>
      <c r="N55" s="1645"/>
      <c r="O55" s="1645"/>
      <c r="P55" s="1645"/>
      <c r="Q55" s="1645"/>
      <c r="R55" s="1645"/>
      <c r="S55" s="1645"/>
      <c r="V55" s="434"/>
      <c r="W55" s="434"/>
      <c r="X55" s="434"/>
      <c r="Y55" s="434"/>
      <c r="Z55" s="434"/>
      <c r="AA55" s="434"/>
      <c r="AB55" s="434"/>
    </row>
    <row r="56" spans="1:28" ht="12" customHeight="1">
      <c r="A56" s="428" t="s">
        <v>55</v>
      </c>
      <c r="B56" s="661">
        <v>1044343700</v>
      </c>
      <c r="C56" s="661">
        <v>1044343700</v>
      </c>
      <c r="D56" s="661">
        <v>623790200</v>
      </c>
      <c r="E56" s="436">
        <v>1668133900</v>
      </c>
      <c r="F56" s="436">
        <v>1668133900</v>
      </c>
      <c r="G56" s="661">
        <v>9341549.8400000017</v>
      </c>
      <c r="H56" s="656">
        <v>2019</v>
      </c>
      <c r="I56" s="431"/>
      <c r="J56" s="431"/>
      <c r="L56" s="440"/>
      <c r="V56" s="434"/>
      <c r="W56" s="434"/>
      <c r="X56" s="434"/>
      <c r="Y56" s="434"/>
      <c r="Z56" s="434"/>
      <c r="AA56" s="434"/>
      <c r="AB56" s="434"/>
    </row>
    <row r="57" spans="1:28" ht="12" customHeight="1">
      <c r="A57" s="428" t="s">
        <v>57</v>
      </c>
      <c r="B57" s="661">
        <v>950103602</v>
      </c>
      <c r="C57" s="661">
        <v>670683052</v>
      </c>
      <c r="D57" s="661">
        <v>1364388047</v>
      </c>
      <c r="E57" s="436">
        <v>2314491649</v>
      </c>
      <c r="F57" s="436">
        <v>2035071099</v>
      </c>
      <c r="G57" s="661">
        <v>16687583.011799999</v>
      </c>
      <c r="H57" s="656">
        <v>2019</v>
      </c>
      <c r="I57" s="431"/>
      <c r="J57" s="431"/>
      <c r="L57" s="1644"/>
      <c r="M57" s="1644"/>
      <c r="N57" s="1644"/>
      <c r="O57" s="1644"/>
      <c r="P57" s="1644"/>
      <c r="Q57" s="1644"/>
      <c r="R57" s="1644"/>
      <c r="S57" s="1644"/>
      <c r="V57" s="434"/>
      <c r="W57" s="434"/>
      <c r="X57" s="434"/>
      <c r="Y57" s="434"/>
      <c r="Z57" s="434"/>
      <c r="AA57" s="434"/>
      <c r="AB57" s="434"/>
    </row>
    <row r="58" spans="1:28" ht="12" customHeight="1">
      <c r="A58" s="428" t="s">
        <v>59</v>
      </c>
      <c r="B58" s="661">
        <v>313742510</v>
      </c>
      <c r="C58" s="661">
        <v>312119397</v>
      </c>
      <c r="D58" s="661">
        <v>323224400</v>
      </c>
      <c r="E58" s="436">
        <v>636966910</v>
      </c>
      <c r="F58" s="436">
        <v>635343797</v>
      </c>
      <c r="G58" s="661">
        <v>4256803.4398999996</v>
      </c>
      <c r="H58" s="656">
        <v>2019</v>
      </c>
      <c r="I58" s="431"/>
      <c r="J58" s="431"/>
      <c r="V58" s="434"/>
      <c r="W58" s="434"/>
      <c r="X58" s="434"/>
      <c r="Y58" s="434"/>
      <c r="Z58" s="434"/>
      <c r="AA58" s="434"/>
      <c r="AB58" s="434"/>
    </row>
    <row r="59" spans="1:28" ht="9" customHeight="1">
      <c r="B59" s="655"/>
      <c r="C59" s="655"/>
      <c r="D59" s="655"/>
      <c r="E59" s="655"/>
      <c r="F59" s="655"/>
      <c r="G59" s="655"/>
      <c r="H59" s="656"/>
      <c r="V59" s="434"/>
      <c r="W59" s="434"/>
      <c r="X59" s="434"/>
      <c r="Y59" s="434"/>
      <c r="Z59" s="434"/>
      <c r="AA59" s="434"/>
      <c r="AB59" s="434"/>
    </row>
    <row r="60" spans="1:28" ht="12" customHeight="1">
      <c r="A60" s="428" t="s">
        <v>318</v>
      </c>
      <c r="B60" s="661">
        <v>1145755167</v>
      </c>
      <c r="C60" s="661">
        <v>1145755167</v>
      </c>
      <c r="D60" s="661">
        <v>1543988869</v>
      </c>
      <c r="E60" s="436">
        <v>2689744036</v>
      </c>
      <c r="F60" s="436">
        <v>2689744036</v>
      </c>
      <c r="G60" s="661">
        <v>13448784.9</v>
      </c>
      <c r="H60" s="656">
        <v>2019</v>
      </c>
      <c r="I60" s="431"/>
      <c r="J60" s="431"/>
      <c r="M60" s="432"/>
      <c r="N60" s="432"/>
      <c r="O60" s="432"/>
      <c r="P60" s="432"/>
      <c r="Q60" s="432"/>
      <c r="R60" s="432"/>
      <c r="S60" s="433"/>
      <c r="V60" s="434"/>
      <c r="W60" s="434"/>
      <c r="X60" s="434"/>
      <c r="Y60" s="434"/>
      <c r="Z60" s="434"/>
      <c r="AA60" s="434"/>
      <c r="AB60" s="434"/>
    </row>
    <row r="61" spans="1:28" ht="12" customHeight="1">
      <c r="A61" s="428" t="s">
        <v>63</v>
      </c>
      <c r="B61" s="661">
        <v>5237984795</v>
      </c>
      <c r="C61" s="661">
        <v>4639318602</v>
      </c>
      <c r="D61" s="661">
        <v>10603055015</v>
      </c>
      <c r="E61" s="436">
        <v>15841039810</v>
      </c>
      <c r="F61" s="436">
        <v>15242373617</v>
      </c>
      <c r="G61" s="661">
        <v>123463226.2977</v>
      </c>
      <c r="H61" s="656">
        <v>2019</v>
      </c>
      <c r="I61" s="431"/>
      <c r="J61" s="431"/>
      <c r="M61" s="437"/>
      <c r="N61" s="437"/>
      <c r="O61" s="437"/>
      <c r="P61" s="437"/>
      <c r="Q61" s="437"/>
      <c r="R61" s="437"/>
      <c r="S61" s="433"/>
      <c r="V61" s="434"/>
      <c r="W61" s="434"/>
      <c r="X61" s="434"/>
      <c r="Y61" s="434"/>
      <c r="Z61" s="434"/>
      <c r="AA61" s="434"/>
      <c r="AB61" s="434"/>
    </row>
    <row r="62" spans="1:28" ht="12" customHeight="1">
      <c r="A62" s="428" t="s">
        <v>65</v>
      </c>
      <c r="B62" s="661">
        <v>9991204300</v>
      </c>
      <c r="C62" s="661">
        <v>9804033400</v>
      </c>
      <c r="D62" s="661">
        <v>30399855100</v>
      </c>
      <c r="E62" s="436">
        <v>40391059400</v>
      </c>
      <c r="F62" s="436">
        <v>40203888500</v>
      </c>
      <c r="G62" s="661">
        <v>349773829.94999999</v>
      </c>
      <c r="H62" s="656">
        <v>2019</v>
      </c>
      <c r="I62" s="431"/>
      <c r="J62" s="431"/>
      <c r="M62" s="437"/>
      <c r="N62" s="437"/>
      <c r="O62" s="437"/>
      <c r="P62" s="437"/>
      <c r="Q62" s="437"/>
      <c r="R62" s="437"/>
      <c r="S62" s="433"/>
      <c r="V62" s="434"/>
      <c r="W62" s="434"/>
      <c r="X62" s="434"/>
      <c r="Y62" s="434"/>
      <c r="Z62" s="434"/>
      <c r="AA62" s="434"/>
      <c r="AB62" s="434"/>
    </row>
    <row r="63" spans="1:28" ht="12" customHeight="1">
      <c r="A63" s="428" t="s">
        <v>67</v>
      </c>
      <c r="B63" s="661">
        <v>796022500</v>
      </c>
      <c r="C63" s="661">
        <v>760547300</v>
      </c>
      <c r="D63" s="661">
        <v>2150619200</v>
      </c>
      <c r="E63" s="436">
        <v>2946641700</v>
      </c>
      <c r="F63" s="436">
        <v>2911166500</v>
      </c>
      <c r="G63" s="661">
        <v>16156974.075000001</v>
      </c>
      <c r="H63" s="656">
        <v>2019</v>
      </c>
      <c r="I63" s="431"/>
      <c r="J63" s="431"/>
      <c r="M63" s="437"/>
      <c r="N63" s="437"/>
      <c r="O63" s="437"/>
      <c r="P63" s="437"/>
      <c r="Q63" s="437"/>
      <c r="R63" s="437"/>
      <c r="S63" s="433"/>
      <c r="V63" s="434"/>
      <c r="W63" s="434"/>
      <c r="X63" s="434"/>
      <c r="Y63" s="434"/>
      <c r="Z63" s="434"/>
      <c r="AA63" s="434"/>
      <c r="AB63" s="434"/>
    </row>
    <row r="64" spans="1:28" ht="12" customHeight="1">
      <c r="A64" s="428" t="s">
        <v>68</v>
      </c>
      <c r="B64" s="661">
        <v>437545700</v>
      </c>
      <c r="C64" s="661">
        <v>437545700</v>
      </c>
      <c r="D64" s="661">
        <v>236608500</v>
      </c>
      <c r="E64" s="436">
        <v>674154200</v>
      </c>
      <c r="F64" s="436">
        <v>674154200</v>
      </c>
      <c r="G64" s="661">
        <v>3235940.1599999997</v>
      </c>
      <c r="H64" s="656">
        <v>2019</v>
      </c>
      <c r="I64" s="431"/>
      <c r="J64" s="431"/>
      <c r="M64" s="437"/>
      <c r="N64" s="437"/>
      <c r="O64" s="437"/>
      <c r="P64" s="437"/>
      <c r="Q64" s="437"/>
      <c r="R64" s="437"/>
      <c r="S64" s="433"/>
      <c r="V64" s="434"/>
      <c r="W64" s="434"/>
      <c r="X64" s="434"/>
      <c r="Y64" s="434"/>
      <c r="Z64" s="434"/>
      <c r="AA64" s="434"/>
      <c r="AB64" s="434"/>
    </row>
    <row r="65" spans="1:28" ht="9" customHeight="1">
      <c r="B65" s="661"/>
      <c r="C65" s="661"/>
      <c r="D65" s="661"/>
      <c r="E65" s="436"/>
      <c r="F65" s="436"/>
      <c r="G65" s="661"/>
      <c r="H65" s="656"/>
      <c r="M65" s="437"/>
      <c r="N65" s="437"/>
      <c r="O65" s="437"/>
      <c r="P65" s="437"/>
      <c r="Q65" s="437"/>
      <c r="R65" s="437"/>
      <c r="S65" s="433"/>
      <c r="V65" s="434"/>
      <c r="W65" s="434"/>
      <c r="X65" s="434"/>
      <c r="Y65" s="434"/>
      <c r="Z65" s="434"/>
      <c r="AA65" s="434"/>
      <c r="AB65" s="434"/>
    </row>
    <row r="66" spans="1:28" ht="12" customHeight="1">
      <c r="A66" s="428" t="s">
        <v>70</v>
      </c>
      <c r="B66" s="661">
        <v>1728224624</v>
      </c>
      <c r="C66" s="661">
        <v>1418746124</v>
      </c>
      <c r="D66" s="661">
        <v>3278949656</v>
      </c>
      <c r="E66" s="436">
        <v>5007174280</v>
      </c>
      <c r="F66" s="436">
        <v>4697695780</v>
      </c>
      <c r="G66" s="661">
        <v>39930414.129999995</v>
      </c>
      <c r="H66" s="656" t="s">
        <v>883</v>
      </c>
      <c r="I66" s="431"/>
      <c r="J66" s="431"/>
      <c r="M66" s="437"/>
      <c r="N66" s="437"/>
      <c r="O66" s="437"/>
      <c r="P66" s="437"/>
      <c r="Q66" s="437"/>
      <c r="R66" s="437"/>
      <c r="S66" s="433"/>
      <c r="V66" s="434"/>
      <c r="W66" s="434"/>
      <c r="X66" s="434"/>
      <c r="Y66" s="434"/>
      <c r="Z66" s="434"/>
      <c r="AA66" s="434"/>
      <c r="AB66" s="434"/>
    </row>
    <row r="67" spans="1:28" ht="12" customHeight="1">
      <c r="A67" s="428" t="s">
        <v>890</v>
      </c>
      <c r="B67" s="661">
        <v>3312260100</v>
      </c>
      <c r="C67" s="661">
        <v>3182804467</v>
      </c>
      <c r="D67" s="661">
        <v>8906498600</v>
      </c>
      <c r="E67" s="436">
        <v>12218758700</v>
      </c>
      <c r="F67" s="436">
        <v>12089303067</v>
      </c>
      <c r="G67" s="661">
        <v>101550145.76279999</v>
      </c>
      <c r="H67" s="656" t="s">
        <v>868</v>
      </c>
      <c r="I67" s="431"/>
      <c r="J67" s="431"/>
      <c r="M67" s="437"/>
      <c r="N67" s="437"/>
      <c r="O67" s="437"/>
      <c r="P67" s="437"/>
      <c r="Q67" s="437"/>
      <c r="R67" s="437"/>
      <c r="S67" s="433"/>
      <c r="V67" s="434"/>
      <c r="W67" s="434"/>
      <c r="X67" s="434"/>
      <c r="Y67" s="434"/>
      <c r="Z67" s="434"/>
      <c r="AA67" s="434"/>
      <c r="AB67" s="434"/>
    </row>
    <row r="68" spans="1:28" ht="12" customHeight="1">
      <c r="A68" s="428" t="s">
        <v>74</v>
      </c>
      <c r="B68" s="661">
        <v>493452000</v>
      </c>
      <c r="C68" s="661">
        <v>493452000</v>
      </c>
      <c r="D68" s="661">
        <v>408975400</v>
      </c>
      <c r="E68" s="436">
        <v>902427400</v>
      </c>
      <c r="F68" s="436">
        <v>902427400</v>
      </c>
      <c r="G68" s="661">
        <v>4782865.2200000007</v>
      </c>
      <c r="H68" s="656">
        <v>2019</v>
      </c>
      <c r="I68" s="431"/>
      <c r="J68" s="431"/>
      <c r="M68" s="437"/>
      <c r="N68" s="437"/>
      <c r="O68" s="437"/>
      <c r="P68" s="437"/>
      <c r="Q68" s="437"/>
      <c r="R68" s="437"/>
      <c r="S68" s="433"/>
      <c r="V68" s="434"/>
      <c r="W68" s="434"/>
      <c r="X68" s="434"/>
      <c r="Y68" s="434"/>
      <c r="Z68" s="434"/>
      <c r="AA68" s="434"/>
      <c r="AB68" s="434"/>
    </row>
    <row r="69" spans="1:28" ht="12" customHeight="1">
      <c r="A69" s="428" t="s">
        <v>76</v>
      </c>
      <c r="B69" s="661">
        <v>1154902849</v>
      </c>
      <c r="C69" s="661">
        <v>973342151</v>
      </c>
      <c r="D69" s="661">
        <v>1818786390</v>
      </c>
      <c r="E69" s="436">
        <v>2973689239</v>
      </c>
      <c r="F69" s="436">
        <v>2792128541</v>
      </c>
      <c r="G69" s="661">
        <v>19544899.787</v>
      </c>
      <c r="H69" s="656">
        <v>2019</v>
      </c>
      <c r="I69" s="431"/>
      <c r="J69" s="431"/>
      <c r="M69" s="437"/>
      <c r="N69" s="437"/>
      <c r="O69" s="437"/>
      <c r="P69" s="437"/>
      <c r="Q69" s="437"/>
      <c r="R69" s="437"/>
      <c r="S69" s="433"/>
      <c r="V69" s="434"/>
      <c r="W69" s="434"/>
      <c r="X69" s="434"/>
      <c r="Y69" s="434"/>
      <c r="Z69" s="434"/>
      <c r="AA69" s="434"/>
      <c r="AB69" s="434"/>
    </row>
    <row r="70" spans="1:28" ht="12" customHeight="1">
      <c r="A70" s="428" t="s">
        <v>354</v>
      </c>
      <c r="B70" s="661">
        <v>637951200</v>
      </c>
      <c r="C70" s="661">
        <v>510344800</v>
      </c>
      <c r="D70" s="661">
        <v>771291079</v>
      </c>
      <c r="E70" s="436">
        <v>1409242279</v>
      </c>
      <c r="F70" s="436">
        <v>1281635879</v>
      </c>
      <c r="G70" s="661">
        <v>11022068.5594</v>
      </c>
      <c r="H70" s="656">
        <v>2019</v>
      </c>
      <c r="I70" s="431"/>
      <c r="J70" s="431"/>
      <c r="S70" s="433"/>
      <c r="V70" s="434"/>
      <c r="W70" s="434"/>
      <c r="X70" s="434"/>
      <c r="Y70" s="434"/>
      <c r="Z70" s="434"/>
      <c r="AA70" s="434"/>
      <c r="AB70" s="434"/>
    </row>
    <row r="71" spans="1:28" ht="9" customHeight="1">
      <c r="B71" s="499"/>
      <c r="C71" s="499"/>
      <c r="D71" s="499"/>
      <c r="E71" s="661"/>
      <c r="F71" s="661"/>
      <c r="G71" s="499"/>
      <c r="H71" s="493"/>
      <c r="M71" s="437"/>
      <c r="N71" s="437"/>
      <c r="O71" s="437"/>
      <c r="P71" s="437"/>
      <c r="Q71" s="437"/>
      <c r="R71" s="437"/>
      <c r="S71" s="433"/>
      <c r="V71" s="434"/>
      <c r="W71" s="434"/>
      <c r="X71" s="434"/>
      <c r="Y71" s="434"/>
      <c r="Z71" s="434"/>
      <c r="AA71" s="434"/>
      <c r="AB71" s="434"/>
    </row>
    <row r="72" spans="1:28" ht="12" customHeight="1">
      <c r="A72" s="428" t="s">
        <v>80</v>
      </c>
      <c r="B72" s="661">
        <v>1184998600</v>
      </c>
      <c r="C72" s="661">
        <v>1168427300</v>
      </c>
      <c r="D72" s="661">
        <v>1487217700</v>
      </c>
      <c r="E72" s="436">
        <v>2672216300</v>
      </c>
      <c r="F72" s="436">
        <v>2655645000</v>
      </c>
      <c r="G72" s="661">
        <v>16730563.5</v>
      </c>
      <c r="H72" s="656">
        <v>2019</v>
      </c>
      <c r="I72" s="431"/>
      <c r="J72" s="431"/>
      <c r="M72" s="437"/>
      <c r="N72" s="437"/>
      <c r="O72" s="437"/>
      <c r="P72" s="437"/>
      <c r="Q72" s="437"/>
      <c r="R72" s="437"/>
      <c r="S72" s="433"/>
      <c r="V72" s="434"/>
      <c r="W72" s="434"/>
      <c r="X72" s="434"/>
      <c r="Y72" s="434"/>
      <c r="Z72" s="434"/>
      <c r="AA72" s="434"/>
      <c r="AB72" s="434"/>
    </row>
    <row r="73" spans="1:28" ht="12" customHeight="1">
      <c r="A73" s="428" t="s">
        <v>82</v>
      </c>
      <c r="B73" s="661">
        <v>325049900</v>
      </c>
      <c r="C73" s="661">
        <v>325049900</v>
      </c>
      <c r="D73" s="661">
        <v>640086082</v>
      </c>
      <c r="E73" s="436">
        <v>965135982</v>
      </c>
      <c r="F73" s="436">
        <v>965135982</v>
      </c>
      <c r="G73" s="661">
        <v>5971296.320634</v>
      </c>
      <c r="H73" s="656">
        <v>2019</v>
      </c>
      <c r="I73" s="431"/>
      <c r="J73" s="431"/>
      <c r="M73" s="437"/>
      <c r="N73" s="437"/>
      <c r="O73" s="437"/>
      <c r="P73" s="437"/>
      <c r="Q73" s="437"/>
      <c r="R73" s="437"/>
      <c r="S73" s="433"/>
      <c r="V73" s="434"/>
      <c r="W73" s="434"/>
      <c r="X73" s="434"/>
      <c r="Y73" s="434"/>
      <c r="Z73" s="434"/>
      <c r="AA73" s="434"/>
      <c r="AB73" s="434"/>
    </row>
    <row r="74" spans="1:28" ht="12" customHeight="1">
      <c r="A74" s="428" t="s">
        <v>84</v>
      </c>
      <c r="B74" s="661">
        <v>28429297380</v>
      </c>
      <c r="C74" s="661">
        <v>26650663690</v>
      </c>
      <c r="D74" s="661">
        <v>57479984540</v>
      </c>
      <c r="E74" s="436">
        <v>85909281920</v>
      </c>
      <c r="F74" s="436">
        <v>84130648230</v>
      </c>
      <c r="G74" s="661">
        <v>879165274.00349987</v>
      </c>
      <c r="H74" s="656">
        <v>2019</v>
      </c>
      <c r="I74" s="431"/>
      <c r="J74" s="431"/>
      <c r="M74" s="437"/>
      <c r="N74" s="437"/>
      <c r="O74" s="437"/>
      <c r="P74" s="437"/>
      <c r="Q74" s="437"/>
      <c r="R74" s="437"/>
      <c r="S74" s="433"/>
      <c r="V74" s="434"/>
      <c r="W74" s="434"/>
      <c r="X74" s="434"/>
      <c r="Y74" s="434"/>
      <c r="Z74" s="434"/>
      <c r="AA74" s="434"/>
      <c r="AB74" s="434"/>
    </row>
    <row r="75" spans="1:28" ht="12" customHeight="1">
      <c r="A75" s="428" t="s">
        <v>86</v>
      </c>
      <c r="B75" s="661">
        <v>2258394400</v>
      </c>
      <c r="C75" s="661">
        <v>1727143900</v>
      </c>
      <c r="D75" s="661">
        <v>3322061100</v>
      </c>
      <c r="E75" s="436">
        <v>5580455500</v>
      </c>
      <c r="F75" s="436">
        <v>5049205000</v>
      </c>
      <c r="G75" s="661">
        <v>36354276</v>
      </c>
      <c r="H75" s="656">
        <v>2019</v>
      </c>
      <c r="I75" s="431"/>
      <c r="J75" s="431"/>
      <c r="M75" s="437"/>
      <c r="N75" s="437"/>
      <c r="O75" s="437"/>
      <c r="P75" s="437"/>
      <c r="Q75" s="437"/>
      <c r="R75" s="437"/>
      <c r="S75" s="433"/>
      <c r="V75" s="434"/>
      <c r="W75" s="434"/>
      <c r="X75" s="434"/>
      <c r="Y75" s="434"/>
      <c r="Z75" s="434"/>
      <c r="AA75" s="434"/>
      <c r="AB75" s="434"/>
    </row>
    <row r="76" spans="1:28" ht="12" customHeight="1">
      <c r="A76" s="428" t="s">
        <v>88</v>
      </c>
      <c r="B76" s="661">
        <v>470154700</v>
      </c>
      <c r="C76" s="661">
        <v>470154700</v>
      </c>
      <c r="D76" s="661">
        <v>456347700</v>
      </c>
      <c r="E76" s="436">
        <v>926502400</v>
      </c>
      <c r="F76" s="436">
        <v>926502400</v>
      </c>
      <c r="G76" s="661">
        <v>3520709.12</v>
      </c>
      <c r="H76" s="656">
        <v>2019</v>
      </c>
      <c r="I76" s="431"/>
      <c r="J76" s="431"/>
      <c r="M76" s="437"/>
      <c r="N76" s="437"/>
      <c r="O76" s="437"/>
      <c r="P76" s="437"/>
      <c r="Q76" s="437"/>
      <c r="R76" s="437"/>
      <c r="S76" s="433"/>
      <c r="V76" s="434"/>
      <c r="W76" s="434"/>
      <c r="X76" s="434"/>
      <c r="Y76" s="434"/>
      <c r="Z76" s="434"/>
      <c r="AA76" s="434"/>
      <c r="AB76" s="434"/>
    </row>
    <row r="77" spans="1:28" ht="9" customHeight="1">
      <c r="B77" s="661"/>
      <c r="C77" s="661"/>
      <c r="D77" s="661"/>
      <c r="E77" s="436"/>
      <c r="F77" s="436"/>
      <c r="G77" s="661"/>
      <c r="H77" s="656"/>
      <c r="M77" s="1646"/>
      <c r="N77" s="1646"/>
      <c r="O77" s="1646"/>
      <c r="P77" s="1646"/>
      <c r="Q77" s="1646"/>
      <c r="R77" s="1646"/>
      <c r="S77" s="433"/>
      <c r="V77" s="434"/>
      <c r="W77" s="434"/>
      <c r="X77" s="434"/>
      <c r="Y77" s="434"/>
      <c r="Z77" s="434"/>
      <c r="AA77" s="434"/>
      <c r="AB77" s="434"/>
    </row>
    <row r="78" spans="1:28" ht="12" customHeight="1">
      <c r="A78" s="428" t="s">
        <v>90</v>
      </c>
      <c r="B78" s="661">
        <v>1193714400</v>
      </c>
      <c r="C78" s="661">
        <v>678128700</v>
      </c>
      <c r="D78" s="661">
        <v>1072192500</v>
      </c>
      <c r="E78" s="436">
        <v>2265906900</v>
      </c>
      <c r="F78" s="436">
        <v>1750321200</v>
      </c>
      <c r="G78" s="661">
        <v>12252248.399999999</v>
      </c>
      <c r="H78" s="656">
        <v>2019</v>
      </c>
      <c r="I78" s="431"/>
      <c r="J78" s="431"/>
      <c r="M78" s="437"/>
      <c r="N78" s="437"/>
      <c r="O78" s="437"/>
      <c r="P78" s="437"/>
      <c r="Q78" s="437"/>
      <c r="R78" s="437"/>
      <c r="S78" s="433"/>
      <c r="V78" s="434"/>
      <c r="W78" s="434"/>
      <c r="X78" s="434"/>
      <c r="Y78" s="434"/>
      <c r="Z78" s="434"/>
      <c r="AA78" s="434"/>
      <c r="AB78" s="434"/>
    </row>
    <row r="79" spans="1:28" ht="12" customHeight="1">
      <c r="A79" s="428" t="s">
        <v>92</v>
      </c>
      <c r="B79" s="661">
        <v>718001300</v>
      </c>
      <c r="C79" s="661">
        <v>718001300</v>
      </c>
      <c r="D79" s="661">
        <v>911385200</v>
      </c>
      <c r="E79" s="436">
        <v>1629386500</v>
      </c>
      <c r="F79" s="436">
        <v>1629386500</v>
      </c>
      <c r="G79" s="661">
        <v>10509542.925000001</v>
      </c>
      <c r="H79" s="656">
        <v>2019</v>
      </c>
      <c r="I79" s="431"/>
      <c r="J79" s="431"/>
      <c r="M79" s="437"/>
      <c r="N79" s="437"/>
      <c r="O79" s="437"/>
      <c r="P79" s="437"/>
      <c r="Q79" s="437"/>
      <c r="R79" s="437"/>
      <c r="S79" s="433"/>
      <c r="V79" s="434"/>
      <c r="W79" s="434"/>
      <c r="X79" s="434"/>
      <c r="Y79" s="434"/>
      <c r="Z79" s="434"/>
      <c r="AA79" s="434"/>
      <c r="AB79" s="434"/>
    </row>
    <row r="80" spans="1:28" ht="12" customHeight="1">
      <c r="A80" s="428" t="s">
        <v>94</v>
      </c>
      <c r="B80" s="661">
        <v>1555222600</v>
      </c>
      <c r="C80" s="661">
        <v>1555222600</v>
      </c>
      <c r="D80" s="661">
        <v>2978212000</v>
      </c>
      <c r="E80" s="436">
        <v>4533434600</v>
      </c>
      <c r="F80" s="436">
        <v>4533434600</v>
      </c>
      <c r="G80" s="661">
        <v>19040425.32</v>
      </c>
      <c r="H80" s="656" t="s">
        <v>883</v>
      </c>
      <c r="I80" s="431"/>
      <c r="J80" s="431"/>
      <c r="M80" s="437"/>
      <c r="N80" s="437"/>
      <c r="O80" s="437"/>
      <c r="P80" s="437"/>
      <c r="Q80" s="437"/>
      <c r="R80" s="437"/>
      <c r="S80" s="433"/>
      <c r="V80" s="434"/>
      <c r="W80" s="434"/>
      <c r="X80" s="434"/>
      <c r="Y80" s="434"/>
      <c r="Z80" s="434"/>
      <c r="AA80" s="434"/>
      <c r="AB80" s="434"/>
    </row>
    <row r="81" spans="1:28" ht="12" customHeight="1">
      <c r="A81" s="428" t="s">
        <v>96</v>
      </c>
      <c r="B81" s="661">
        <v>1124997700</v>
      </c>
      <c r="C81" s="661">
        <v>1048431900</v>
      </c>
      <c r="D81" s="661">
        <v>1148923100</v>
      </c>
      <c r="E81" s="436">
        <v>2273920800</v>
      </c>
      <c r="F81" s="436">
        <v>2197355000</v>
      </c>
      <c r="G81" s="661">
        <v>13623601</v>
      </c>
      <c r="H81" s="656">
        <v>2019</v>
      </c>
      <c r="I81" s="431"/>
      <c r="J81" s="431"/>
      <c r="M81" s="438"/>
      <c r="S81" s="433"/>
      <c r="V81" s="434"/>
      <c r="W81" s="434"/>
      <c r="X81" s="434"/>
      <c r="Y81" s="434"/>
      <c r="Z81" s="434"/>
      <c r="AA81" s="434"/>
      <c r="AB81" s="434"/>
    </row>
    <row r="82" spans="1:28" ht="12" customHeight="1">
      <c r="A82" s="428" t="s">
        <v>98</v>
      </c>
      <c r="B82" s="661">
        <v>2288786000</v>
      </c>
      <c r="C82" s="661">
        <v>2094075100</v>
      </c>
      <c r="D82" s="661">
        <v>6369346300</v>
      </c>
      <c r="E82" s="436">
        <v>8658132300</v>
      </c>
      <c r="F82" s="436">
        <v>8463421400</v>
      </c>
      <c r="G82" s="661">
        <v>75324450.460000008</v>
      </c>
      <c r="H82" s="656">
        <v>2019</v>
      </c>
      <c r="I82" s="431"/>
      <c r="J82" s="431"/>
      <c r="M82" s="437"/>
      <c r="N82" s="437"/>
      <c r="O82" s="437"/>
      <c r="P82" s="437"/>
      <c r="Q82" s="437"/>
      <c r="R82" s="437"/>
      <c r="S82" s="433"/>
      <c r="V82" s="434"/>
      <c r="W82" s="434"/>
      <c r="X82" s="434"/>
      <c r="Y82" s="434"/>
      <c r="Z82" s="434"/>
      <c r="AA82" s="434"/>
      <c r="AB82" s="434"/>
    </row>
    <row r="83" spans="1:28" ht="14">
      <c r="A83" s="427" t="s">
        <v>810</v>
      </c>
      <c r="M83" s="437"/>
      <c r="N83" s="437"/>
      <c r="O83" s="437"/>
      <c r="P83" s="437"/>
      <c r="Q83" s="437"/>
      <c r="R83" s="437"/>
      <c r="S83" s="433"/>
      <c r="V83" s="434"/>
      <c r="W83" s="434"/>
      <c r="X83" s="434"/>
      <c r="Y83" s="434"/>
      <c r="Z83" s="434"/>
      <c r="AA83" s="434"/>
      <c r="AB83" s="434"/>
    </row>
    <row r="84" spans="1:28" ht="13">
      <c r="A84" s="1643" t="str">
        <f>A43</f>
        <v>Real Estate Fair Market Value (FMV), Fair Market Value (Taxable), and Local Levy by Locality - Tax Year 2019</v>
      </c>
      <c r="B84" s="1643"/>
      <c r="C84" s="1643"/>
      <c r="D84" s="1643"/>
      <c r="E84" s="1643"/>
      <c r="F84" s="1643"/>
      <c r="G84" s="1643"/>
      <c r="H84" s="1643"/>
      <c r="M84" s="437"/>
      <c r="N84" s="437"/>
      <c r="O84" s="437"/>
      <c r="P84" s="437"/>
      <c r="Q84" s="437"/>
      <c r="R84" s="437"/>
      <c r="S84" s="433"/>
      <c r="V84" s="434"/>
      <c r="W84" s="434"/>
      <c r="X84" s="434"/>
      <c r="Y84" s="434"/>
      <c r="Z84" s="434"/>
      <c r="AA84" s="434"/>
      <c r="AB84" s="434"/>
    </row>
    <row r="85" spans="1:28" ht="11.25" customHeight="1" thickBot="1">
      <c r="A85" s="443"/>
      <c r="B85" s="443"/>
      <c r="C85" s="443"/>
      <c r="D85" s="443"/>
      <c r="E85" s="443"/>
      <c r="F85" s="443"/>
      <c r="G85" s="443"/>
      <c r="H85" s="443"/>
      <c r="M85" s="437"/>
      <c r="N85" s="437"/>
      <c r="O85" s="437"/>
      <c r="P85" s="437"/>
      <c r="Q85" s="437"/>
      <c r="R85" s="437"/>
      <c r="S85" s="433"/>
      <c r="V85" s="434"/>
      <c r="W85" s="434"/>
      <c r="X85" s="434"/>
      <c r="Y85" s="434"/>
      <c r="Z85" s="434"/>
      <c r="AA85" s="434"/>
      <c r="AB85" s="434"/>
    </row>
    <row r="86" spans="1:28" ht="11.25" customHeight="1">
      <c r="M86" s="437"/>
      <c r="N86" s="437"/>
      <c r="O86" s="437"/>
      <c r="P86" s="437"/>
      <c r="Q86" s="437"/>
      <c r="R86" s="437"/>
      <c r="S86" s="433"/>
      <c r="V86" s="434"/>
      <c r="W86" s="434"/>
      <c r="X86" s="434"/>
      <c r="Y86" s="434"/>
      <c r="Z86" s="434"/>
      <c r="AA86" s="434"/>
      <c r="AB86" s="434"/>
    </row>
    <row r="87" spans="1:28" ht="11.25" customHeight="1">
      <c r="A87" s="448" t="s">
        <v>21</v>
      </c>
      <c r="B87" s="448" t="s">
        <v>802</v>
      </c>
      <c r="C87" s="448" t="s">
        <v>803</v>
      </c>
      <c r="D87" s="448" t="s">
        <v>804</v>
      </c>
      <c r="E87" s="448" t="s">
        <v>805</v>
      </c>
      <c r="F87" s="448" t="s">
        <v>806</v>
      </c>
      <c r="G87" s="448" t="s">
        <v>807</v>
      </c>
      <c r="H87" s="448" t="s">
        <v>808</v>
      </c>
      <c r="M87" s="437"/>
      <c r="N87" s="437"/>
      <c r="O87" s="437"/>
      <c r="P87" s="437"/>
      <c r="Q87" s="437"/>
      <c r="R87" s="437"/>
      <c r="S87" s="433"/>
      <c r="V87" s="434"/>
      <c r="W87" s="434"/>
      <c r="X87" s="434"/>
      <c r="Y87" s="434"/>
      <c r="Z87" s="434"/>
      <c r="AA87" s="434"/>
      <c r="AB87" s="434"/>
    </row>
    <row r="88" spans="1:28" ht="8.25" customHeight="1">
      <c r="B88" s="449"/>
      <c r="C88" s="449"/>
      <c r="D88" s="449"/>
      <c r="E88" s="435"/>
      <c r="F88" s="435"/>
      <c r="G88" s="449"/>
      <c r="H88" s="494"/>
      <c r="M88" s="437"/>
      <c r="N88" s="437"/>
      <c r="O88" s="437"/>
      <c r="P88" s="437"/>
      <c r="Q88" s="437"/>
      <c r="R88" s="437"/>
      <c r="S88" s="433"/>
      <c r="V88" s="434"/>
      <c r="W88" s="434"/>
      <c r="X88" s="434"/>
      <c r="Y88" s="434"/>
      <c r="Z88" s="434"/>
      <c r="AA88" s="434"/>
      <c r="AB88" s="434"/>
    </row>
    <row r="89" spans="1:28" ht="12" customHeight="1">
      <c r="A89" s="428" t="s">
        <v>100</v>
      </c>
      <c r="B89" s="660">
        <v>1287136800</v>
      </c>
      <c r="C89" s="660">
        <v>773154483</v>
      </c>
      <c r="D89" s="660">
        <v>1698606450</v>
      </c>
      <c r="E89" s="767">
        <v>2985743250</v>
      </c>
      <c r="F89" s="767">
        <v>2471760933</v>
      </c>
      <c r="G89" s="660">
        <v>17796678.717599999</v>
      </c>
      <c r="H89" s="656">
        <v>2019</v>
      </c>
      <c r="I89" s="431"/>
      <c r="J89" s="431"/>
      <c r="M89" s="437"/>
      <c r="N89" s="437"/>
      <c r="O89" s="437"/>
      <c r="P89" s="437"/>
      <c r="Q89" s="437"/>
      <c r="R89" s="437"/>
      <c r="S89" s="433"/>
      <c r="V89" s="434"/>
      <c r="W89" s="434"/>
      <c r="X89" s="434"/>
      <c r="Y89" s="434"/>
      <c r="Z89" s="434"/>
      <c r="AA89" s="434"/>
      <c r="AB89" s="434"/>
    </row>
    <row r="90" spans="1:28" ht="12" customHeight="1">
      <c r="A90" s="428" t="s">
        <v>102</v>
      </c>
      <c r="B90" s="661">
        <v>1106566102</v>
      </c>
      <c r="C90" s="661">
        <v>1016622139</v>
      </c>
      <c r="D90" s="661">
        <v>1993552601</v>
      </c>
      <c r="E90" s="663">
        <v>3100118703</v>
      </c>
      <c r="F90" s="663">
        <v>3010174740</v>
      </c>
      <c r="G90" s="661">
        <v>24683432.867999997</v>
      </c>
      <c r="H90" s="656">
        <v>2019</v>
      </c>
      <c r="I90" s="431"/>
      <c r="J90" s="431"/>
      <c r="M90" s="437"/>
      <c r="N90" s="437"/>
      <c r="O90" s="437"/>
      <c r="P90" s="437"/>
      <c r="Q90" s="437"/>
      <c r="R90" s="437"/>
      <c r="S90" s="433"/>
      <c r="V90" s="434"/>
      <c r="W90" s="434"/>
      <c r="X90" s="434"/>
      <c r="Y90" s="434"/>
      <c r="Z90" s="434"/>
      <c r="AA90" s="434"/>
      <c r="AB90" s="434"/>
    </row>
    <row r="91" spans="1:28" ht="12" customHeight="1">
      <c r="A91" s="428" t="s">
        <v>104</v>
      </c>
      <c r="B91" s="661">
        <v>976355000</v>
      </c>
      <c r="C91" s="661">
        <v>863987100</v>
      </c>
      <c r="D91" s="661">
        <v>1022746400</v>
      </c>
      <c r="E91" s="663">
        <v>1999101400</v>
      </c>
      <c r="F91" s="663">
        <v>1886733500</v>
      </c>
      <c r="G91" s="661">
        <v>15659888.049999999</v>
      </c>
      <c r="H91" s="656">
        <v>2019</v>
      </c>
      <c r="I91" s="431"/>
      <c r="J91" s="431"/>
      <c r="M91" s="437"/>
      <c r="N91" s="437"/>
      <c r="O91" s="437"/>
      <c r="P91" s="437"/>
      <c r="Q91" s="437"/>
      <c r="R91" s="437"/>
      <c r="S91" s="433"/>
      <c r="V91" s="434"/>
      <c r="W91" s="434"/>
      <c r="X91" s="434"/>
      <c r="Y91" s="434"/>
      <c r="Z91" s="434"/>
      <c r="AA91" s="434"/>
      <c r="AB91" s="434"/>
    </row>
    <row r="92" spans="1:28" ht="12" customHeight="1">
      <c r="A92" s="428" t="s">
        <v>106</v>
      </c>
      <c r="B92" s="661">
        <v>1397325600</v>
      </c>
      <c r="C92" s="661">
        <v>1234156053</v>
      </c>
      <c r="D92" s="661">
        <v>1650283600</v>
      </c>
      <c r="E92" s="663">
        <v>3047609200</v>
      </c>
      <c r="F92" s="663">
        <v>2884439653</v>
      </c>
      <c r="G92" s="661">
        <v>17018193.9527</v>
      </c>
      <c r="H92" s="656">
        <v>2019</v>
      </c>
      <c r="I92" s="431"/>
      <c r="J92" s="431"/>
      <c r="M92" s="437"/>
      <c r="N92" s="437"/>
      <c r="O92" s="437"/>
      <c r="P92" s="437"/>
      <c r="Q92" s="437"/>
      <c r="R92" s="437"/>
      <c r="S92" s="433"/>
      <c r="V92" s="434"/>
      <c r="W92" s="434"/>
      <c r="X92" s="434"/>
      <c r="Y92" s="434"/>
      <c r="Z92" s="434"/>
      <c r="AA92" s="434"/>
      <c r="AB92" s="434"/>
    </row>
    <row r="93" spans="1:28" ht="12" customHeight="1">
      <c r="A93" s="428" t="s">
        <v>108</v>
      </c>
      <c r="B93" s="661">
        <v>368518400</v>
      </c>
      <c r="C93" s="661">
        <v>337183800</v>
      </c>
      <c r="D93" s="661">
        <v>608595791</v>
      </c>
      <c r="E93" s="663">
        <v>977114191</v>
      </c>
      <c r="F93" s="663">
        <v>945779591</v>
      </c>
      <c r="G93" s="661">
        <v>4539742.0367999999</v>
      </c>
      <c r="H93" s="656">
        <v>2019</v>
      </c>
      <c r="I93" s="431"/>
      <c r="J93" s="431"/>
      <c r="M93" s="437"/>
      <c r="N93" s="437"/>
      <c r="O93" s="437"/>
      <c r="P93" s="437"/>
      <c r="Q93" s="437"/>
      <c r="R93" s="437"/>
      <c r="S93" s="433"/>
      <c r="V93" s="434"/>
      <c r="W93" s="434"/>
      <c r="X93" s="434"/>
      <c r="Y93" s="434"/>
      <c r="Z93" s="434"/>
      <c r="AA93" s="434"/>
      <c r="AB93" s="434"/>
    </row>
    <row r="94" spans="1:28" ht="9" customHeight="1">
      <c r="B94" s="661"/>
      <c r="C94" s="661"/>
      <c r="D94" s="661"/>
      <c r="E94" s="663"/>
      <c r="F94" s="663"/>
      <c r="G94" s="661"/>
      <c r="H94" s="656"/>
      <c r="M94" s="437"/>
      <c r="N94" s="437"/>
      <c r="O94" s="437"/>
      <c r="P94" s="437"/>
      <c r="Q94" s="437"/>
      <c r="R94" s="437"/>
      <c r="S94" s="433"/>
      <c r="V94" s="434"/>
      <c r="W94" s="434"/>
      <c r="X94" s="434"/>
      <c r="Y94" s="434"/>
      <c r="Z94" s="434"/>
      <c r="AA94" s="434"/>
      <c r="AB94" s="434"/>
    </row>
    <row r="95" spans="1:28" ht="12" customHeight="1">
      <c r="A95" s="428" t="s">
        <v>110</v>
      </c>
      <c r="B95" s="661">
        <v>1601980900</v>
      </c>
      <c r="C95" s="661">
        <v>1275292500</v>
      </c>
      <c r="D95" s="661">
        <v>2571555300</v>
      </c>
      <c r="E95" s="663">
        <v>4173536200</v>
      </c>
      <c r="F95" s="663">
        <v>3846847800</v>
      </c>
      <c r="G95" s="661">
        <v>30928656.312000003</v>
      </c>
      <c r="H95" s="656">
        <v>2019</v>
      </c>
      <c r="I95" s="431"/>
      <c r="J95" s="431"/>
      <c r="M95" s="437"/>
      <c r="N95" s="437"/>
      <c r="O95" s="437"/>
      <c r="P95" s="437"/>
      <c r="Q95" s="437"/>
      <c r="R95" s="437"/>
      <c r="S95" s="433"/>
      <c r="V95" s="434"/>
      <c r="W95" s="434"/>
      <c r="X95" s="434"/>
      <c r="Y95" s="434"/>
      <c r="Z95" s="434"/>
      <c r="AA95" s="434"/>
      <c r="AB95" s="434"/>
    </row>
    <row r="96" spans="1:28" ht="12" customHeight="1">
      <c r="A96" s="428" t="s">
        <v>112</v>
      </c>
      <c r="B96" s="661">
        <v>1087203400</v>
      </c>
      <c r="C96" s="661">
        <v>610583400</v>
      </c>
      <c r="D96" s="661">
        <v>1433786700</v>
      </c>
      <c r="E96" s="663">
        <v>2520990100</v>
      </c>
      <c r="F96" s="663">
        <v>2044370100</v>
      </c>
      <c r="G96" s="661">
        <v>14923901.73</v>
      </c>
      <c r="H96" s="656">
        <v>2019</v>
      </c>
      <c r="I96" s="431"/>
      <c r="J96" s="431"/>
      <c r="M96" s="437"/>
      <c r="N96" s="437"/>
      <c r="O96" s="437"/>
      <c r="P96" s="437"/>
      <c r="Q96" s="437"/>
      <c r="R96" s="437"/>
      <c r="S96" s="433"/>
      <c r="V96" s="434"/>
      <c r="W96" s="434"/>
      <c r="X96" s="434"/>
      <c r="Y96" s="434"/>
      <c r="Z96" s="434"/>
      <c r="AA96" s="434"/>
      <c r="AB96" s="434"/>
    </row>
    <row r="97" spans="1:28" ht="12" customHeight="1">
      <c r="A97" s="428" t="s">
        <v>113</v>
      </c>
      <c r="B97" s="661">
        <v>743282500</v>
      </c>
      <c r="C97" s="661">
        <v>743282500</v>
      </c>
      <c r="D97" s="661">
        <v>839230000</v>
      </c>
      <c r="E97" s="663">
        <v>1582512500</v>
      </c>
      <c r="F97" s="663">
        <v>1582512500</v>
      </c>
      <c r="G97" s="661">
        <v>10761085</v>
      </c>
      <c r="H97" s="656">
        <v>2019</v>
      </c>
      <c r="I97" s="431"/>
      <c r="J97" s="431"/>
      <c r="S97" s="433"/>
      <c r="V97" s="434"/>
      <c r="W97" s="434"/>
      <c r="X97" s="434"/>
      <c r="Y97" s="434"/>
      <c r="Z97" s="434"/>
      <c r="AA97" s="434"/>
      <c r="AB97" s="434"/>
    </row>
    <row r="98" spans="1:28" ht="12" customHeight="1">
      <c r="A98" s="428" t="s">
        <v>115</v>
      </c>
      <c r="B98" s="661">
        <v>1923152500</v>
      </c>
      <c r="C98" s="661">
        <v>1354045200</v>
      </c>
      <c r="D98" s="661">
        <v>2906102900</v>
      </c>
      <c r="E98" s="663">
        <v>4829255400</v>
      </c>
      <c r="F98" s="663">
        <v>4260148100</v>
      </c>
      <c r="G98" s="661">
        <v>26412918.219999999</v>
      </c>
      <c r="H98" s="656">
        <v>2019</v>
      </c>
      <c r="I98" s="431"/>
      <c r="J98" s="431"/>
      <c r="M98" s="437"/>
      <c r="N98" s="437"/>
      <c r="O98" s="437"/>
      <c r="P98" s="437"/>
      <c r="Q98" s="437"/>
      <c r="R98" s="437"/>
      <c r="S98" s="433"/>
      <c r="V98" s="434"/>
      <c r="W98" s="434"/>
      <c r="X98" s="434"/>
      <c r="Y98" s="434"/>
      <c r="Z98" s="434"/>
      <c r="AA98" s="434"/>
      <c r="AB98" s="434"/>
    </row>
    <row r="99" spans="1:28" ht="12" customHeight="1">
      <c r="A99" s="428" t="s">
        <v>117</v>
      </c>
      <c r="B99" s="661">
        <v>1643945400</v>
      </c>
      <c r="C99" s="661">
        <v>1309437025</v>
      </c>
      <c r="D99" s="661">
        <v>2211038000</v>
      </c>
      <c r="E99" s="663">
        <v>3854983400</v>
      </c>
      <c r="F99" s="663">
        <v>3520475025</v>
      </c>
      <c r="G99" s="661">
        <v>30980180.219999999</v>
      </c>
      <c r="H99" s="656" t="s">
        <v>883</v>
      </c>
      <c r="I99" s="431"/>
      <c r="J99" s="431"/>
      <c r="M99" s="437"/>
      <c r="N99" s="437"/>
      <c r="O99" s="437"/>
      <c r="P99" s="437"/>
      <c r="Q99" s="437"/>
      <c r="R99" s="437"/>
      <c r="S99" s="433"/>
      <c r="V99" s="434"/>
      <c r="W99" s="434"/>
      <c r="X99" s="434"/>
      <c r="Y99" s="434"/>
      <c r="Z99" s="434"/>
      <c r="AA99" s="434"/>
      <c r="AB99" s="434"/>
    </row>
    <row r="100" spans="1:28" ht="12" customHeight="1">
      <c r="B100" s="664"/>
      <c r="C100" s="664"/>
      <c r="D100" s="664"/>
      <c r="E100" s="661"/>
      <c r="F100" s="661"/>
      <c r="G100" s="664"/>
      <c r="H100" s="665"/>
      <c r="M100" s="437"/>
      <c r="N100" s="437"/>
      <c r="O100" s="437"/>
      <c r="P100" s="437"/>
      <c r="Q100" s="437"/>
      <c r="R100" s="437"/>
      <c r="S100" s="433"/>
      <c r="V100" s="434"/>
      <c r="W100" s="434"/>
      <c r="X100" s="434"/>
      <c r="Y100" s="434"/>
      <c r="Z100" s="434"/>
      <c r="AA100" s="434"/>
      <c r="AB100" s="434"/>
    </row>
    <row r="101" spans="1:28" ht="12" customHeight="1">
      <c r="A101" s="428" t="s">
        <v>118</v>
      </c>
      <c r="B101" s="661">
        <v>553919000</v>
      </c>
      <c r="C101" s="661">
        <v>539535700</v>
      </c>
      <c r="D101" s="661">
        <v>1005418150</v>
      </c>
      <c r="E101" s="663">
        <v>1559337150</v>
      </c>
      <c r="F101" s="663">
        <v>1544953850</v>
      </c>
      <c r="G101" s="661">
        <v>7879264.6349999998</v>
      </c>
      <c r="H101" s="656">
        <v>2019</v>
      </c>
      <c r="I101" s="431"/>
      <c r="J101" s="431"/>
      <c r="M101" s="437"/>
      <c r="N101" s="437"/>
      <c r="O101" s="437"/>
      <c r="P101" s="437"/>
      <c r="Q101" s="437"/>
      <c r="R101" s="437"/>
      <c r="S101" s="433"/>
      <c r="V101" s="434"/>
      <c r="W101" s="434"/>
      <c r="X101" s="434"/>
      <c r="Y101" s="434"/>
      <c r="Z101" s="434"/>
      <c r="AA101" s="434"/>
      <c r="AB101" s="434"/>
    </row>
    <row r="102" spans="1:28" ht="12" customHeight="1">
      <c r="A102" s="428" t="s">
        <v>120</v>
      </c>
      <c r="B102" s="661">
        <v>928906500</v>
      </c>
      <c r="C102" s="661">
        <v>793432900</v>
      </c>
      <c r="D102" s="661">
        <v>2073035106</v>
      </c>
      <c r="E102" s="663">
        <v>3001941606</v>
      </c>
      <c r="F102" s="663">
        <v>2866468006</v>
      </c>
      <c r="G102" s="661">
        <v>24651624.851599999</v>
      </c>
      <c r="H102" s="656" t="s">
        <v>883</v>
      </c>
      <c r="I102" s="431"/>
      <c r="J102" s="431"/>
      <c r="M102" s="437"/>
      <c r="N102" s="437"/>
      <c r="O102" s="437"/>
      <c r="P102" s="437"/>
      <c r="Q102" s="437"/>
      <c r="R102" s="437"/>
      <c r="S102" s="433"/>
      <c r="V102" s="434"/>
      <c r="W102" s="434"/>
      <c r="X102" s="434"/>
      <c r="Y102" s="434"/>
      <c r="Z102" s="434"/>
      <c r="AA102" s="434"/>
      <c r="AB102" s="434"/>
    </row>
    <row r="103" spans="1:28" ht="12.75" customHeight="1">
      <c r="A103" s="428" t="s">
        <v>122</v>
      </c>
      <c r="B103" s="661">
        <v>20478669700</v>
      </c>
      <c r="C103" s="661">
        <v>20103261800</v>
      </c>
      <c r="D103" s="661">
        <v>41948949700</v>
      </c>
      <c r="E103" s="663">
        <v>62427619400</v>
      </c>
      <c r="F103" s="663">
        <v>62052211500</v>
      </c>
      <c r="G103" s="661">
        <v>698087379.375</v>
      </c>
      <c r="H103" s="656">
        <v>2019</v>
      </c>
      <c r="I103" s="431"/>
      <c r="J103" s="431"/>
      <c r="M103" s="437"/>
      <c r="N103" s="437"/>
      <c r="O103" s="437"/>
      <c r="P103" s="437"/>
      <c r="Q103" s="437"/>
      <c r="R103" s="437"/>
      <c r="S103" s="433"/>
      <c r="V103" s="434"/>
      <c r="W103" s="434"/>
      <c r="X103" s="434"/>
      <c r="Y103" s="434"/>
      <c r="Z103" s="434"/>
      <c r="AA103" s="434"/>
      <c r="AB103" s="434"/>
    </row>
    <row r="104" spans="1:28" ht="12" customHeight="1">
      <c r="A104" s="428" t="s">
        <v>124</v>
      </c>
      <c r="B104" s="661">
        <v>902039900</v>
      </c>
      <c r="C104" s="661">
        <v>749473500</v>
      </c>
      <c r="D104" s="661">
        <v>1843807255</v>
      </c>
      <c r="E104" s="663">
        <v>2745847155</v>
      </c>
      <c r="F104" s="663">
        <v>2593280755</v>
      </c>
      <c r="G104" s="661">
        <v>19968261.813500002</v>
      </c>
      <c r="H104" s="656">
        <v>2019</v>
      </c>
      <c r="I104" s="431"/>
      <c r="J104" s="431"/>
      <c r="M104" s="437"/>
      <c r="N104" s="437"/>
      <c r="O104" s="437"/>
      <c r="P104" s="437"/>
      <c r="Q104" s="437"/>
      <c r="R104" s="437"/>
      <c r="S104" s="433"/>
      <c r="V104" s="434"/>
      <c r="W104" s="434"/>
      <c r="X104" s="434"/>
      <c r="Y104" s="434"/>
      <c r="Z104" s="434"/>
      <c r="AA104" s="434"/>
      <c r="AB104" s="434"/>
    </row>
    <row r="105" spans="1:28" ht="12" customHeight="1">
      <c r="A105" s="428" t="s">
        <v>126</v>
      </c>
      <c r="B105" s="661">
        <v>1208203500</v>
      </c>
      <c r="C105" s="661">
        <v>630708400</v>
      </c>
      <c r="D105" s="661">
        <v>960745800</v>
      </c>
      <c r="E105" s="663">
        <v>2168949300</v>
      </c>
      <c r="F105" s="663">
        <v>1591454200</v>
      </c>
      <c r="G105" s="661">
        <v>10662743.140000001</v>
      </c>
      <c r="H105" s="656">
        <v>2019</v>
      </c>
      <c r="I105" s="431"/>
      <c r="J105" s="431"/>
      <c r="M105" s="437"/>
      <c r="N105" s="437"/>
      <c r="O105" s="437"/>
      <c r="P105" s="437"/>
      <c r="Q105" s="437"/>
      <c r="R105" s="437"/>
      <c r="S105" s="433"/>
      <c r="V105" s="434"/>
      <c r="W105" s="434"/>
      <c r="X105" s="434"/>
      <c r="Y105" s="434"/>
      <c r="Z105" s="434"/>
      <c r="AA105" s="434"/>
      <c r="AB105" s="434"/>
    </row>
    <row r="106" spans="1:28" ht="9" customHeight="1">
      <c r="B106" s="661"/>
      <c r="C106" s="661"/>
      <c r="D106" s="661"/>
      <c r="E106" s="663"/>
      <c r="F106" s="663"/>
      <c r="G106" s="661"/>
      <c r="H106" s="656"/>
      <c r="M106" s="437"/>
      <c r="N106" s="437"/>
      <c r="O106" s="437"/>
      <c r="P106" s="437"/>
      <c r="Q106" s="437"/>
      <c r="R106" s="437"/>
      <c r="S106" s="433"/>
      <c r="V106" s="434"/>
      <c r="W106" s="434"/>
      <c r="X106" s="434"/>
      <c r="Y106" s="434"/>
      <c r="Z106" s="434"/>
      <c r="AA106" s="434"/>
      <c r="AB106" s="434"/>
    </row>
    <row r="107" spans="1:28" ht="12" customHeight="1">
      <c r="A107" s="428" t="s">
        <v>128</v>
      </c>
      <c r="B107" s="661">
        <v>421242684</v>
      </c>
      <c r="C107" s="661">
        <v>347745825</v>
      </c>
      <c r="D107" s="661">
        <v>460067310</v>
      </c>
      <c r="E107" s="663">
        <v>881309994</v>
      </c>
      <c r="F107" s="663">
        <v>807813135</v>
      </c>
      <c r="G107" s="661">
        <v>5654691.9449999994</v>
      </c>
      <c r="H107" s="656">
        <v>2019</v>
      </c>
      <c r="I107" s="431"/>
      <c r="J107" s="431"/>
      <c r="M107" s="437"/>
      <c r="N107" s="437"/>
      <c r="O107" s="437"/>
      <c r="P107" s="437"/>
      <c r="Q107" s="437"/>
      <c r="R107" s="437"/>
      <c r="S107" s="433"/>
      <c r="V107" s="434"/>
      <c r="W107" s="434"/>
      <c r="X107" s="434"/>
      <c r="Y107" s="434"/>
      <c r="Z107" s="434"/>
      <c r="AA107" s="434"/>
      <c r="AB107" s="434"/>
    </row>
    <row r="108" spans="1:28" ht="12" customHeight="1">
      <c r="A108" s="428" t="s">
        <v>25</v>
      </c>
      <c r="B108" s="661">
        <v>2177489300</v>
      </c>
      <c r="C108" s="661">
        <v>2012778000</v>
      </c>
      <c r="D108" s="661">
        <v>6706237700</v>
      </c>
      <c r="E108" s="663">
        <v>8883727000</v>
      </c>
      <c r="F108" s="663">
        <v>8719015700</v>
      </c>
      <c r="G108" s="661">
        <v>95037271.13000001</v>
      </c>
      <c r="H108" s="656">
        <v>2019</v>
      </c>
      <c r="I108" s="431"/>
      <c r="J108" s="431"/>
      <c r="L108" s="1645"/>
      <c r="M108" s="1645"/>
      <c r="N108" s="1645"/>
      <c r="O108" s="1645"/>
      <c r="P108" s="1645"/>
      <c r="Q108" s="1645"/>
      <c r="R108" s="1645"/>
      <c r="S108" s="1645"/>
      <c r="V108" s="434"/>
      <c r="W108" s="434"/>
      <c r="X108" s="434"/>
      <c r="Y108" s="434"/>
      <c r="Z108" s="434"/>
      <c r="AA108" s="434"/>
      <c r="AB108" s="434"/>
    </row>
    <row r="109" spans="1:28" ht="12" customHeight="1">
      <c r="A109" s="428" t="s">
        <v>130</v>
      </c>
      <c r="B109" s="661">
        <v>1355003140</v>
      </c>
      <c r="C109" s="661">
        <v>612742300</v>
      </c>
      <c r="D109" s="661">
        <v>1738713000</v>
      </c>
      <c r="E109" s="663">
        <v>3093716140</v>
      </c>
      <c r="F109" s="663">
        <v>2351455300</v>
      </c>
      <c r="G109" s="661">
        <v>17165623.690000001</v>
      </c>
      <c r="H109" s="656">
        <v>2019</v>
      </c>
      <c r="I109" s="431"/>
      <c r="J109" s="431"/>
      <c r="L109" s="440"/>
      <c r="V109" s="434"/>
      <c r="W109" s="434"/>
      <c r="X109" s="434"/>
      <c r="Y109" s="434"/>
      <c r="Z109" s="434"/>
      <c r="AA109" s="434"/>
      <c r="AB109" s="434"/>
    </row>
    <row r="110" spans="1:28" ht="12" customHeight="1">
      <c r="A110" s="428" t="s">
        <v>131</v>
      </c>
      <c r="B110" s="661">
        <v>3286885600</v>
      </c>
      <c r="C110" s="661">
        <v>2257668770</v>
      </c>
      <c r="D110" s="661">
        <v>5836690800</v>
      </c>
      <c r="E110" s="663">
        <v>9123576400</v>
      </c>
      <c r="F110" s="663">
        <v>8094359570</v>
      </c>
      <c r="G110" s="661">
        <v>59898260.818000004</v>
      </c>
      <c r="H110" s="656">
        <v>2019</v>
      </c>
      <c r="I110" s="431"/>
      <c r="J110" s="431"/>
      <c r="L110" s="1644"/>
      <c r="M110" s="1644"/>
      <c r="N110" s="1644"/>
      <c r="O110" s="1644"/>
      <c r="P110" s="1644"/>
      <c r="Q110" s="1644"/>
      <c r="R110" s="1644"/>
      <c r="S110" s="1644"/>
      <c r="V110" s="434"/>
      <c r="W110" s="434"/>
      <c r="X110" s="434"/>
      <c r="Y110" s="434"/>
      <c r="Z110" s="434"/>
      <c r="AA110" s="434"/>
      <c r="AB110" s="434"/>
    </row>
    <row r="111" spans="1:28" ht="12" customHeight="1">
      <c r="A111" s="428" t="s">
        <v>133</v>
      </c>
      <c r="B111" s="661">
        <v>594296364</v>
      </c>
      <c r="C111" s="661">
        <v>430232680</v>
      </c>
      <c r="D111" s="661">
        <v>1014697319</v>
      </c>
      <c r="E111" s="768">
        <v>1608993683</v>
      </c>
      <c r="F111" s="768">
        <v>1444929999</v>
      </c>
      <c r="G111" s="661">
        <v>9103058.9936999995</v>
      </c>
      <c r="H111" s="656">
        <v>2019</v>
      </c>
      <c r="I111" s="431"/>
      <c r="J111" s="431"/>
      <c r="V111" s="434"/>
      <c r="W111" s="434"/>
      <c r="X111" s="434"/>
      <c r="Y111" s="434"/>
      <c r="Z111" s="434"/>
      <c r="AA111" s="434"/>
      <c r="AB111" s="434"/>
    </row>
    <row r="112" spans="1:28" ht="9" customHeight="1">
      <c r="B112" s="655"/>
      <c r="C112" s="655"/>
      <c r="D112" s="655"/>
      <c r="E112" s="655"/>
      <c r="F112" s="655"/>
      <c r="G112" s="655"/>
      <c r="H112" s="656"/>
      <c r="V112" s="434"/>
      <c r="W112" s="434"/>
      <c r="X112" s="434"/>
      <c r="Y112" s="434"/>
      <c r="Z112" s="434"/>
      <c r="AA112" s="434"/>
      <c r="AB112" s="434"/>
    </row>
    <row r="113" spans="1:28" ht="12" customHeight="1">
      <c r="A113" s="428" t="s">
        <v>135</v>
      </c>
      <c r="B113" s="661">
        <v>447138300</v>
      </c>
      <c r="C113" s="661">
        <v>447138300</v>
      </c>
      <c r="D113" s="661">
        <v>786771800</v>
      </c>
      <c r="E113" s="663">
        <v>1233910100</v>
      </c>
      <c r="F113" s="663">
        <v>1233910100</v>
      </c>
      <c r="G113" s="661">
        <v>9871280.8000000007</v>
      </c>
      <c r="H113" s="656">
        <v>2019</v>
      </c>
      <c r="I113" s="431"/>
      <c r="J113" s="431"/>
      <c r="M113" s="432"/>
      <c r="N113" s="432"/>
      <c r="O113" s="432"/>
      <c r="P113" s="432"/>
      <c r="Q113" s="432"/>
      <c r="R113" s="432"/>
      <c r="S113" s="433"/>
      <c r="V113" s="434"/>
      <c r="W113" s="434"/>
      <c r="X113" s="434"/>
      <c r="Y113" s="434"/>
      <c r="Z113" s="434"/>
      <c r="AA113" s="434"/>
      <c r="AB113" s="434"/>
    </row>
    <row r="114" spans="1:28" ht="12" customHeight="1">
      <c r="A114" s="428" t="s">
        <v>137</v>
      </c>
      <c r="B114" s="661">
        <v>2149612446</v>
      </c>
      <c r="C114" s="661">
        <v>1559030146</v>
      </c>
      <c r="D114" s="661">
        <v>2868745734</v>
      </c>
      <c r="E114" s="663">
        <v>5018358180</v>
      </c>
      <c r="F114" s="663">
        <v>4427775880</v>
      </c>
      <c r="G114" s="661">
        <v>28337765.631999999</v>
      </c>
      <c r="H114" s="656">
        <v>2019</v>
      </c>
      <c r="I114" s="431"/>
      <c r="J114" s="431"/>
      <c r="M114" s="437"/>
      <c r="N114" s="437"/>
      <c r="O114" s="437"/>
      <c r="P114" s="437"/>
      <c r="Q114" s="437"/>
      <c r="R114" s="437"/>
      <c r="S114" s="433"/>
      <c r="V114" s="434"/>
      <c r="W114" s="434"/>
      <c r="X114" s="434"/>
      <c r="Y114" s="434"/>
      <c r="Z114" s="434"/>
      <c r="AA114" s="434"/>
      <c r="AB114" s="434"/>
    </row>
    <row r="115" spans="1:28" ht="12" customHeight="1">
      <c r="A115" s="428" t="s">
        <v>139</v>
      </c>
      <c r="B115" s="661">
        <v>579419700</v>
      </c>
      <c r="C115" s="661">
        <v>401067460</v>
      </c>
      <c r="D115" s="661">
        <v>1020803500</v>
      </c>
      <c r="E115" s="663">
        <v>1600223200</v>
      </c>
      <c r="F115" s="663">
        <v>1421870960</v>
      </c>
      <c r="G115" s="661">
        <v>10521845.104</v>
      </c>
      <c r="H115" s="656">
        <v>2019</v>
      </c>
      <c r="I115" s="431"/>
      <c r="J115" s="431"/>
      <c r="M115" s="437"/>
      <c r="N115" s="437"/>
      <c r="O115" s="437"/>
      <c r="P115" s="437"/>
      <c r="Q115" s="437"/>
      <c r="R115" s="437"/>
      <c r="S115" s="433"/>
      <c r="V115" s="434"/>
      <c r="W115" s="434"/>
      <c r="X115" s="434"/>
      <c r="Y115" s="434"/>
      <c r="Z115" s="434"/>
      <c r="AA115" s="434"/>
      <c r="AB115" s="434"/>
    </row>
    <row r="116" spans="1:28" ht="12" customHeight="1">
      <c r="A116" s="428" t="s">
        <v>141</v>
      </c>
      <c r="B116" s="661">
        <v>907706800</v>
      </c>
      <c r="C116" s="661">
        <v>523063200</v>
      </c>
      <c r="D116" s="661">
        <v>914596400</v>
      </c>
      <c r="E116" s="663">
        <v>1822303200</v>
      </c>
      <c r="F116" s="663">
        <v>1437659600</v>
      </c>
      <c r="G116" s="661">
        <v>12867053.42</v>
      </c>
      <c r="H116" s="656">
        <v>2019</v>
      </c>
      <c r="I116" s="431"/>
      <c r="J116" s="431"/>
      <c r="M116" s="437"/>
      <c r="N116" s="437"/>
      <c r="O116" s="437"/>
      <c r="P116" s="437"/>
      <c r="Q116" s="437"/>
      <c r="R116" s="437"/>
      <c r="S116" s="433"/>
      <c r="V116" s="434"/>
      <c r="W116" s="434"/>
      <c r="X116" s="434"/>
      <c r="Y116" s="434"/>
      <c r="Z116" s="434"/>
      <c r="AA116" s="434"/>
      <c r="AB116" s="434"/>
    </row>
    <row r="117" spans="1:28" ht="12" customHeight="1">
      <c r="A117" s="428" t="s">
        <v>143</v>
      </c>
      <c r="B117" s="661">
        <v>5575739100</v>
      </c>
      <c r="C117" s="661">
        <v>5217543368</v>
      </c>
      <c r="D117" s="661">
        <v>10076852300</v>
      </c>
      <c r="E117" s="663">
        <v>15652591400</v>
      </c>
      <c r="F117" s="663">
        <v>15294395668</v>
      </c>
      <c r="G117" s="661">
        <v>129604708.89063202</v>
      </c>
      <c r="H117" s="656">
        <v>2019</v>
      </c>
      <c r="I117" s="431"/>
      <c r="J117" s="431"/>
      <c r="M117" s="437"/>
      <c r="N117" s="437"/>
      <c r="O117" s="437"/>
      <c r="P117" s="437"/>
      <c r="Q117" s="437"/>
      <c r="R117" s="437"/>
      <c r="S117" s="433"/>
      <c r="V117" s="434"/>
      <c r="W117" s="434"/>
      <c r="X117" s="434"/>
      <c r="Y117" s="434"/>
      <c r="Z117" s="434"/>
      <c r="AA117" s="434"/>
      <c r="AB117" s="434"/>
    </row>
    <row r="118" spans="1:28" ht="9" customHeight="1">
      <c r="B118" s="661"/>
      <c r="C118" s="661"/>
      <c r="D118" s="661"/>
      <c r="E118" s="663"/>
      <c r="F118" s="663"/>
      <c r="G118" s="661"/>
      <c r="H118" s="656"/>
      <c r="M118" s="437"/>
      <c r="N118" s="437"/>
      <c r="O118" s="437"/>
      <c r="P118" s="437"/>
      <c r="Q118" s="437"/>
      <c r="R118" s="437"/>
      <c r="S118" s="433"/>
      <c r="V118" s="434"/>
      <c r="W118" s="434"/>
      <c r="X118" s="434"/>
      <c r="Y118" s="434"/>
      <c r="Z118" s="434"/>
      <c r="AA118" s="434"/>
      <c r="AB118" s="434"/>
    </row>
    <row r="119" spans="1:28" ht="12" customHeight="1">
      <c r="A119" s="428" t="s">
        <v>145</v>
      </c>
      <c r="B119" s="661">
        <v>6094971398</v>
      </c>
      <c r="C119" s="661">
        <v>5789578257</v>
      </c>
      <c r="D119" s="661">
        <v>11763599803</v>
      </c>
      <c r="E119" s="663">
        <v>17858571201</v>
      </c>
      <c r="F119" s="663">
        <v>17553178060</v>
      </c>
      <c r="G119" s="661">
        <v>177287098.40599999</v>
      </c>
      <c r="H119" s="656">
        <v>2019</v>
      </c>
      <c r="I119" s="431"/>
      <c r="J119" s="431"/>
      <c r="M119" s="437"/>
      <c r="N119" s="437"/>
      <c r="O119" s="437"/>
      <c r="P119" s="437"/>
      <c r="Q119" s="437"/>
      <c r="R119" s="437"/>
      <c r="S119" s="433"/>
      <c r="V119" s="434"/>
      <c r="W119" s="434"/>
      <c r="X119" s="434"/>
      <c r="Y119" s="434"/>
      <c r="Z119" s="434"/>
      <c r="AA119" s="434"/>
      <c r="AB119" s="434"/>
    </row>
    <row r="120" spans="1:28" ht="12" customHeight="1">
      <c r="A120" s="428" t="s">
        <v>147</v>
      </c>
      <c r="B120" s="661">
        <v>472512400</v>
      </c>
      <c r="C120" s="661">
        <v>472512400</v>
      </c>
      <c r="D120" s="661">
        <v>477442200</v>
      </c>
      <c r="E120" s="663">
        <v>949954600</v>
      </c>
      <c r="F120" s="663">
        <v>949954600</v>
      </c>
      <c r="G120" s="661">
        <v>6744677.6599999992</v>
      </c>
      <c r="H120" s="656">
        <v>2019</v>
      </c>
      <c r="I120" s="431"/>
      <c r="J120" s="431"/>
      <c r="M120" s="437"/>
      <c r="N120" s="437"/>
      <c r="O120" s="437"/>
      <c r="P120" s="437"/>
      <c r="Q120" s="437"/>
      <c r="R120" s="437"/>
      <c r="S120" s="433"/>
      <c r="V120" s="434"/>
      <c r="W120" s="434"/>
      <c r="X120" s="434"/>
      <c r="Y120" s="434"/>
      <c r="Z120" s="434"/>
      <c r="AA120" s="434"/>
      <c r="AB120" s="434"/>
    </row>
    <row r="121" spans="1:28" ht="12" customHeight="1">
      <c r="A121" s="428" t="s">
        <v>149</v>
      </c>
      <c r="B121" s="661">
        <v>505362300</v>
      </c>
      <c r="C121" s="661">
        <v>505362300</v>
      </c>
      <c r="D121" s="661">
        <v>393440522</v>
      </c>
      <c r="E121" s="663">
        <v>898802822</v>
      </c>
      <c r="F121" s="663">
        <v>898802822</v>
      </c>
      <c r="G121" s="661">
        <v>5213056.3676000005</v>
      </c>
      <c r="H121" s="656">
        <v>2019</v>
      </c>
      <c r="I121" s="431"/>
      <c r="J121" s="431"/>
      <c r="M121" s="437"/>
      <c r="N121" s="437"/>
      <c r="O121" s="437"/>
      <c r="P121" s="437"/>
      <c r="Q121" s="437"/>
      <c r="R121" s="437"/>
      <c r="S121" s="433"/>
      <c r="V121" s="434"/>
      <c r="W121" s="434"/>
      <c r="X121" s="434"/>
      <c r="Y121" s="434"/>
      <c r="Z121" s="434"/>
      <c r="AA121" s="434"/>
      <c r="AB121" s="434"/>
    </row>
    <row r="122" spans="1:28" ht="12" customHeight="1">
      <c r="A122" s="428" t="s">
        <v>151</v>
      </c>
      <c r="B122" s="661">
        <v>742356200</v>
      </c>
      <c r="C122" s="661">
        <v>616159400</v>
      </c>
      <c r="D122" s="661">
        <v>1991980375</v>
      </c>
      <c r="E122" s="663">
        <v>2734336575</v>
      </c>
      <c r="F122" s="663">
        <v>2608139775</v>
      </c>
      <c r="G122" s="661">
        <v>15127210.694999998</v>
      </c>
      <c r="H122" s="656">
        <v>2019</v>
      </c>
      <c r="I122" s="431"/>
      <c r="J122" s="431"/>
      <c r="M122" s="437"/>
      <c r="N122" s="437"/>
      <c r="O122" s="437"/>
      <c r="P122" s="437"/>
      <c r="Q122" s="437"/>
      <c r="R122" s="437"/>
      <c r="S122" s="433"/>
      <c r="V122" s="434"/>
      <c r="W122" s="434"/>
      <c r="X122" s="434"/>
      <c r="Y122" s="434"/>
      <c r="Z122" s="434"/>
      <c r="AA122" s="434"/>
      <c r="AB122" s="434"/>
    </row>
    <row r="123" spans="1:28" ht="12" customHeight="1">
      <c r="A123" s="428" t="s">
        <v>153</v>
      </c>
      <c r="B123" s="661">
        <v>1705910100</v>
      </c>
      <c r="C123" s="661">
        <v>1380263000</v>
      </c>
      <c r="D123" s="661">
        <v>3273999700</v>
      </c>
      <c r="E123" s="663">
        <v>4979909800</v>
      </c>
      <c r="F123" s="663">
        <v>4654262700</v>
      </c>
      <c r="G123" s="661">
        <v>30485420.685000002</v>
      </c>
      <c r="H123" s="656">
        <v>2019</v>
      </c>
      <c r="I123" s="431"/>
      <c r="J123" s="431"/>
      <c r="M123" s="438"/>
      <c r="N123" s="438"/>
      <c r="O123" s="438"/>
      <c r="R123" s="438"/>
      <c r="S123" s="433"/>
      <c r="V123" s="434"/>
      <c r="W123" s="434"/>
      <c r="X123" s="434"/>
      <c r="Y123" s="434"/>
      <c r="Z123" s="434"/>
      <c r="AA123" s="434"/>
      <c r="AB123" s="434"/>
    </row>
    <row r="124" spans="1:28" ht="14">
      <c r="A124" s="427" t="s">
        <v>810</v>
      </c>
      <c r="M124" s="437"/>
      <c r="N124" s="437"/>
      <c r="O124" s="437"/>
      <c r="P124" s="437"/>
      <c r="Q124" s="437"/>
      <c r="R124" s="437"/>
      <c r="S124" s="433"/>
      <c r="V124" s="434"/>
      <c r="W124" s="434"/>
      <c r="X124" s="434"/>
      <c r="Y124" s="434"/>
      <c r="Z124" s="434"/>
      <c r="AA124" s="434"/>
      <c r="AB124" s="434"/>
    </row>
    <row r="125" spans="1:28" ht="13">
      <c r="A125" s="1643" t="str">
        <f>A84</f>
        <v>Real Estate Fair Market Value (FMV), Fair Market Value (Taxable), and Local Levy by Locality - Tax Year 2019</v>
      </c>
      <c r="B125" s="1643"/>
      <c r="C125" s="1643"/>
      <c r="D125" s="1643"/>
      <c r="E125" s="1643"/>
      <c r="F125" s="1643"/>
      <c r="G125" s="1643"/>
      <c r="H125" s="1643"/>
      <c r="M125" s="437"/>
      <c r="N125" s="437"/>
      <c r="O125" s="437"/>
      <c r="P125" s="437"/>
      <c r="Q125" s="437"/>
      <c r="R125" s="437"/>
      <c r="S125" s="433"/>
      <c r="V125" s="434"/>
      <c r="W125" s="434"/>
      <c r="X125" s="434"/>
      <c r="Y125" s="434"/>
      <c r="Z125" s="434"/>
      <c r="AA125" s="434"/>
      <c r="AB125" s="434"/>
    </row>
    <row r="126" spans="1:28" ht="11.25" customHeight="1" thickBot="1">
      <c r="A126" s="443"/>
      <c r="B126" s="443"/>
      <c r="C126" s="443"/>
      <c r="D126" s="443"/>
      <c r="E126" s="443"/>
      <c r="F126" s="443"/>
      <c r="G126" s="443"/>
      <c r="H126" s="443"/>
      <c r="M126" s="437"/>
      <c r="N126" s="437"/>
      <c r="O126" s="437"/>
      <c r="P126" s="437"/>
      <c r="Q126" s="437"/>
      <c r="R126" s="437"/>
      <c r="S126" s="433"/>
      <c r="V126" s="434"/>
      <c r="W126" s="434"/>
      <c r="X126" s="434"/>
      <c r="Y126" s="434"/>
      <c r="Z126" s="434"/>
      <c r="AA126" s="434"/>
      <c r="AB126" s="434"/>
    </row>
    <row r="127" spans="1:28" ht="11.25" customHeight="1">
      <c r="M127" s="437"/>
      <c r="N127" s="437"/>
      <c r="O127" s="437"/>
      <c r="P127" s="437"/>
      <c r="Q127" s="437"/>
      <c r="R127" s="437"/>
      <c r="S127" s="433"/>
      <c r="V127" s="434"/>
      <c r="W127" s="434"/>
      <c r="X127" s="434"/>
      <c r="Y127" s="434"/>
      <c r="Z127" s="434"/>
      <c r="AA127" s="434"/>
      <c r="AB127" s="434"/>
    </row>
    <row r="128" spans="1:28" ht="11.25" customHeight="1">
      <c r="A128" s="448" t="s">
        <v>21</v>
      </c>
      <c r="B128" s="448" t="s">
        <v>802</v>
      </c>
      <c r="C128" s="448" t="s">
        <v>803</v>
      </c>
      <c r="D128" s="448" t="s">
        <v>804</v>
      </c>
      <c r="E128" s="448" t="s">
        <v>805</v>
      </c>
      <c r="F128" s="448" t="s">
        <v>806</v>
      </c>
      <c r="G128" s="448" t="s">
        <v>807</v>
      </c>
      <c r="H128" s="448" t="s">
        <v>808</v>
      </c>
      <c r="M128" s="437"/>
      <c r="N128" s="437"/>
      <c r="O128" s="437"/>
      <c r="P128" s="437"/>
      <c r="Q128" s="437"/>
      <c r="R128" s="437"/>
      <c r="S128" s="433"/>
      <c r="V128" s="434"/>
      <c r="W128" s="434"/>
      <c r="X128" s="434"/>
      <c r="Y128" s="434"/>
      <c r="Z128" s="434"/>
      <c r="AA128" s="434"/>
      <c r="AB128" s="434"/>
    </row>
    <row r="129" spans="1:28" ht="8.25" customHeight="1">
      <c r="B129" s="435"/>
      <c r="C129" s="435"/>
      <c r="D129" s="435"/>
      <c r="E129" s="439"/>
      <c r="F129" s="439"/>
      <c r="G129" s="435"/>
      <c r="M129" s="437"/>
      <c r="N129" s="437"/>
      <c r="O129" s="437"/>
      <c r="P129" s="437"/>
      <c r="Q129" s="437"/>
      <c r="R129" s="437"/>
      <c r="S129" s="433"/>
      <c r="V129" s="434"/>
      <c r="W129" s="434"/>
      <c r="X129" s="434"/>
      <c r="Y129" s="434"/>
      <c r="Z129" s="434"/>
      <c r="AA129" s="434"/>
      <c r="AB129" s="434"/>
    </row>
    <row r="130" spans="1:28">
      <c r="A130" s="428" t="s">
        <v>155</v>
      </c>
      <c r="B130" s="429">
        <v>1954705001</v>
      </c>
      <c r="C130" s="429">
        <v>1241990901</v>
      </c>
      <c r="D130" s="429">
        <v>2881222500</v>
      </c>
      <c r="E130" s="441">
        <v>4835927501</v>
      </c>
      <c r="F130" s="441">
        <v>4123213401</v>
      </c>
      <c r="G130" s="429">
        <v>25976244.4263</v>
      </c>
      <c r="H130" s="433">
        <v>2019</v>
      </c>
      <c r="I130" s="431"/>
      <c r="J130" s="431"/>
      <c r="M130" s="437"/>
      <c r="N130" s="437"/>
      <c r="O130" s="437"/>
      <c r="P130" s="437"/>
      <c r="Q130" s="437"/>
      <c r="R130" s="437"/>
      <c r="S130" s="433"/>
      <c r="V130" s="434"/>
      <c r="W130" s="434"/>
      <c r="X130" s="434"/>
      <c r="Y130" s="434"/>
      <c r="Z130" s="434"/>
      <c r="AA130" s="434"/>
      <c r="AB130" s="434"/>
    </row>
    <row r="131" spans="1:28">
      <c r="A131" s="428" t="s">
        <v>157</v>
      </c>
      <c r="B131" s="435">
        <v>1197242500</v>
      </c>
      <c r="C131" s="435">
        <v>1062096260</v>
      </c>
      <c r="D131" s="435">
        <v>1449842900</v>
      </c>
      <c r="E131" s="439">
        <v>2647085400</v>
      </c>
      <c r="F131" s="439">
        <v>2511939160</v>
      </c>
      <c r="G131" s="435">
        <v>16327604.540000001</v>
      </c>
      <c r="H131" s="433">
        <v>2019</v>
      </c>
      <c r="I131" s="431"/>
      <c r="J131" s="431"/>
      <c r="M131" s="437"/>
      <c r="N131" s="437"/>
      <c r="O131" s="437"/>
      <c r="P131" s="437"/>
      <c r="Q131" s="437"/>
      <c r="R131" s="437"/>
      <c r="S131" s="433"/>
      <c r="V131" s="434"/>
      <c r="W131" s="434"/>
      <c r="X131" s="434"/>
      <c r="Y131" s="434"/>
      <c r="Z131" s="434"/>
      <c r="AA131" s="434"/>
      <c r="AB131" s="434"/>
    </row>
    <row r="132" spans="1:28">
      <c r="A132" s="428" t="s">
        <v>159</v>
      </c>
      <c r="B132" s="435">
        <v>489021521</v>
      </c>
      <c r="C132" s="435">
        <v>485541215</v>
      </c>
      <c r="D132" s="435">
        <v>1405317400</v>
      </c>
      <c r="E132" s="439">
        <v>1894338921</v>
      </c>
      <c r="F132" s="439">
        <v>1890858615</v>
      </c>
      <c r="G132" s="435">
        <v>13046924.443499997</v>
      </c>
      <c r="H132" s="433">
        <v>2019</v>
      </c>
      <c r="I132" s="431"/>
      <c r="J132" s="431"/>
      <c r="M132" s="437"/>
      <c r="N132" s="437"/>
      <c r="O132" s="437"/>
      <c r="P132" s="437"/>
      <c r="Q132" s="437"/>
      <c r="R132" s="437"/>
      <c r="S132" s="433"/>
      <c r="V132" s="434"/>
      <c r="W132" s="434"/>
      <c r="X132" s="434"/>
      <c r="Y132" s="434"/>
      <c r="Z132" s="434"/>
      <c r="AA132" s="434"/>
      <c r="AB132" s="434"/>
    </row>
    <row r="133" spans="1:28">
      <c r="A133" s="428" t="s">
        <v>161</v>
      </c>
      <c r="B133" s="435">
        <v>1057886000</v>
      </c>
      <c r="C133" s="435">
        <v>800000397</v>
      </c>
      <c r="D133" s="435">
        <v>1541665500</v>
      </c>
      <c r="E133" s="439">
        <v>2599551500</v>
      </c>
      <c r="F133" s="439">
        <v>2341665897</v>
      </c>
      <c r="G133" s="435">
        <v>12644995.843800001</v>
      </c>
      <c r="H133" s="433">
        <v>2019</v>
      </c>
      <c r="I133" s="431"/>
      <c r="J133" s="431"/>
      <c r="M133" s="437"/>
      <c r="N133" s="437"/>
      <c r="O133" s="437"/>
      <c r="P133" s="437"/>
      <c r="Q133" s="437"/>
      <c r="R133" s="437"/>
      <c r="S133" s="433"/>
      <c r="V133" s="434"/>
      <c r="W133" s="434"/>
      <c r="X133" s="434"/>
      <c r="Y133" s="434"/>
      <c r="Z133" s="434"/>
      <c r="AA133" s="434"/>
      <c r="AB133" s="434"/>
    </row>
    <row r="134" spans="1:28">
      <c r="A134" s="428" t="s">
        <v>163</v>
      </c>
      <c r="B134" s="435">
        <v>3542816969</v>
      </c>
      <c r="C134" s="435">
        <v>3533434369</v>
      </c>
      <c r="D134" s="435">
        <v>5714002600</v>
      </c>
      <c r="E134" s="439">
        <v>9256819569</v>
      </c>
      <c r="F134" s="439">
        <v>9247436969</v>
      </c>
      <c r="G134" s="435">
        <v>73517123.903549999</v>
      </c>
      <c r="H134" s="433">
        <v>2019</v>
      </c>
      <c r="I134" s="431"/>
      <c r="J134" s="431"/>
      <c r="N134" s="438"/>
      <c r="O134" s="438"/>
      <c r="S134" s="433"/>
      <c r="V134" s="434"/>
      <c r="W134" s="434"/>
      <c r="X134" s="434"/>
      <c r="Y134" s="434"/>
      <c r="Z134" s="434"/>
      <c r="AA134" s="434"/>
      <c r="AB134" s="434"/>
    </row>
    <row r="135" spans="1:28">
      <c r="C135" s="500"/>
      <c r="D135" s="500"/>
      <c r="N135" s="438"/>
      <c r="O135" s="438"/>
      <c r="S135" s="433"/>
      <c r="V135" s="434"/>
      <c r="W135" s="434"/>
      <c r="X135" s="434"/>
      <c r="Y135" s="434"/>
      <c r="Z135" s="434"/>
      <c r="AA135" s="434"/>
      <c r="AB135" s="434"/>
    </row>
    <row r="136" spans="1:28" s="442" customFormat="1" ht="12.75" customHeight="1">
      <c r="A136" s="501" t="s">
        <v>22</v>
      </c>
      <c r="B136" s="450">
        <f t="shared" ref="B136:G136" si="0">SUM(B7:B134)</f>
        <v>323259486973</v>
      </c>
      <c r="C136" s="450">
        <f t="shared" si="0"/>
        <v>298221486450</v>
      </c>
      <c r="D136" s="450">
        <f t="shared" si="0"/>
        <v>587016530456</v>
      </c>
      <c r="E136" s="450">
        <f t="shared" si="0"/>
        <v>910276017429</v>
      </c>
      <c r="F136" s="450">
        <f t="shared" si="0"/>
        <v>885238016906</v>
      </c>
      <c r="G136" s="450">
        <f t="shared" si="0"/>
        <v>8451984600.3172655</v>
      </c>
      <c r="H136" s="495"/>
      <c r="L136" s="502"/>
      <c r="M136" s="444"/>
      <c r="N136" s="444"/>
      <c r="O136" s="444"/>
      <c r="P136" s="444"/>
      <c r="Q136" s="444"/>
      <c r="R136" s="444"/>
      <c r="S136" s="502"/>
      <c r="U136" s="428"/>
      <c r="V136" s="434"/>
      <c r="W136" s="434"/>
      <c r="X136" s="434"/>
      <c r="Y136" s="434"/>
      <c r="Z136" s="434"/>
      <c r="AA136" s="434"/>
      <c r="AB136" s="434"/>
    </row>
    <row r="137" spans="1:28">
      <c r="S137" s="433"/>
      <c r="V137" s="434"/>
      <c r="W137" s="434"/>
      <c r="X137" s="434"/>
      <c r="Y137" s="434"/>
      <c r="Z137" s="434"/>
      <c r="AA137" s="434"/>
      <c r="AB137" s="434"/>
    </row>
    <row r="138" spans="1:28" ht="12" thickBot="1">
      <c r="B138" s="429"/>
      <c r="C138" s="429"/>
      <c r="D138" s="429"/>
      <c r="E138" s="429"/>
      <c r="F138" s="429"/>
      <c r="G138" s="429"/>
      <c r="M138" s="429"/>
      <c r="N138" s="429"/>
      <c r="O138" s="429"/>
      <c r="P138" s="429"/>
      <c r="Q138" s="429"/>
      <c r="R138" s="429"/>
      <c r="S138" s="433"/>
      <c r="V138" s="434"/>
      <c r="W138" s="434"/>
      <c r="X138" s="434"/>
      <c r="Y138" s="434"/>
      <c r="Z138" s="434"/>
      <c r="AA138" s="434"/>
      <c r="AB138" s="434"/>
    </row>
    <row r="139" spans="1:28">
      <c r="A139" s="503"/>
      <c r="B139" s="503"/>
      <c r="C139" s="503"/>
      <c r="D139" s="503"/>
      <c r="E139" s="503"/>
      <c r="F139" s="503"/>
      <c r="G139" s="503"/>
      <c r="H139" s="496"/>
      <c r="V139" s="434"/>
      <c r="W139" s="434"/>
      <c r="X139" s="434"/>
      <c r="Y139" s="434"/>
      <c r="Z139" s="434"/>
      <c r="AA139" s="434"/>
      <c r="AB139" s="434"/>
    </row>
    <row r="140" spans="1:28" s="440" customFormat="1">
      <c r="A140" s="448" t="s">
        <v>23</v>
      </c>
      <c r="B140" s="448" t="s">
        <v>802</v>
      </c>
      <c r="C140" s="448" t="s">
        <v>803</v>
      </c>
      <c r="D140" s="448" t="s">
        <v>804</v>
      </c>
      <c r="E140" s="448" t="s">
        <v>805</v>
      </c>
      <c r="F140" s="448" t="s">
        <v>806</v>
      </c>
      <c r="G140" s="448" t="s">
        <v>807</v>
      </c>
      <c r="H140" s="448" t="s">
        <v>808</v>
      </c>
      <c r="L140" s="447"/>
      <c r="M140" s="447"/>
      <c r="N140" s="447"/>
      <c r="O140" s="447"/>
      <c r="P140" s="447"/>
      <c r="Q140" s="447"/>
      <c r="R140" s="447"/>
      <c r="S140" s="447"/>
      <c r="U140" s="428"/>
      <c r="V140" s="434"/>
      <c r="W140" s="434"/>
      <c r="X140" s="434"/>
      <c r="Y140" s="434"/>
      <c r="Z140" s="434"/>
      <c r="AA140" s="434"/>
      <c r="AB140" s="434"/>
    </row>
    <row r="141" spans="1:28" s="440" customFormat="1" ht="8.25" customHeight="1">
      <c r="A141" s="447"/>
      <c r="B141" s="447"/>
      <c r="C141" s="447"/>
      <c r="D141" s="447"/>
      <c r="E141" s="447"/>
      <c r="F141" s="447"/>
      <c r="G141" s="447"/>
      <c r="H141" s="447"/>
      <c r="L141" s="447"/>
      <c r="M141" s="447"/>
      <c r="N141" s="447"/>
      <c r="O141" s="447"/>
      <c r="P141" s="447"/>
      <c r="Q141" s="447"/>
      <c r="R141" s="447"/>
      <c r="S141" s="447"/>
      <c r="U141" s="428"/>
      <c r="V141" s="434"/>
      <c r="W141" s="434"/>
      <c r="X141" s="434"/>
      <c r="Y141" s="434"/>
      <c r="Z141" s="434"/>
      <c r="AA141" s="434"/>
      <c r="AB141" s="434"/>
    </row>
    <row r="142" spans="1:28" ht="12" customHeight="1">
      <c r="A142" s="428" t="s">
        <v>889</v>
      </c>
      <c r="B142" s="769">
        <v>16295587326</v>
      </c>
      <c r="C142" s="769">
        <v>16295587326</v>
      </c>
      <c r="D142" s="769">
        <v>23205540995</v>
      </c>
      <c r="E142" s="770">
        <v>39501128321</v>
      </c>
      <c r="F142" s="770">
        <v>39501128321</v>
      </c>
      <c r="G142" s="769">
        <v>446362750.02729994</v>
      </c>
      <c r="H142" s="670">
        <v>2019</v>
      </c>
      <c r="I142" s="431"/>
      <c r="J142" s="431"/>
      <c r="M142" s="432"/>
      <c r="N142" s="432"/>
      <c r="O142" s="432"/>
      <c r="P142" s="432"/>
      <c r="Q142" s="432"/>
      <c r="R142" s="432"/>
      <c r="S142" s="433"/>
      <c r="V142" s="434"/>
      <c r="W142" s="434"/>
      <c r="X142" s="434"/>
      <c r="Y142" s="434"/>
      <c r="Z142" s="434"/>
      <c r="AA142" s="434"/>
      <c r="AB142" s="434"/>
    </row>
    <row r="143" spans="1:28" ht="11.25" customHeight="1">
      <c r="A143" s="428" t="s">
        <v>170</v>
      </c>
      <c r="B143" s="661">
        <v>301570870</v>
      </c>
      <c r="C143" s="661">
        <v>301570870</v>
      </c>
      <c r="D143" s="661">
        <v>885276800</v>
      </c>
      <c r="E143" s="663">
        <v>1186847670</v>
      </c>
      <c r="F143" s="663">
        <v>1186847670</v>
      </c>
      <c r="G143" s="662">
        <v>13886117.738999998</v>
      </c>
      <c r="H143" s="656">
        <v>2019</v>
      </c>
      <c r="I143" s="431"/>
      <c r="J143" s="431"/>
      <c r="M143" s="437"/>
      <c r="N143" s="437"/>
      <c r="O143" s="437"/>
      <c r="P143" s="437"/>
      <c r="Q143" s="437"/>
      <c r="R143" s="437"/>
      <c r="S143" s="433"/>
      <c r="V143" s="434"/>
      <c r="W143" s="434"/>
      <c r="X143" s="434"/>
      <c r="Y143" s="434"/>
      <c r="Z143" s="434"/>
      <c r="AA143" s="434"/>
      <c r="AB143" s="434"/>
    </row>
    <row r="144" spans="1:28" ht="12" customHeight="1">
      <c r="A144" s="428" t="s">
        <v>172</v>
      </c>
      <c r="B144" s="661">
        <v>71021960</v>
      </c>
      <c r="C144" s="661">
        <v>70845060</v>
      </c>
      <c r="D144" s="661">
        <v>257593490</v>
      </c>
      <c r="E144" s="663">
        <v>328615450</v>
      </c>
      <c r="F144" s="663">
        <v>328438550</v>
      </c>
      <c r="G144" s="661">
        <v>3974106.4550000001</v>
      </c>
      <c r="H144" s="656" t="s">
        <v>883</v>
      </c>
      <c r="I144" s="431"/>
      <c r="J144" s="431"/>
      <c r="M144" s="437"/>
      <c r="N144" s="437"/>
      <c r="O144" s="437"/>
      <c r="P144" s="437"/>
      <c r="Q144" s="437"/>
      <c r="R144" s="437"/>
      <c r="S144" s="433"/>
      <c r="V144" s="434"/>
      <c r="W144" s="434"/>
      <c r="X144" s="434"/>
      <c r="Y144" s="434"/>
      <c r="Z144" s="434"/>
      <c r="AA144" s="434"/>
      <c r="AB144" s="434"/>
    </row>
    <row r="145" spans="1:28" ht="12" customHeight="1">
      <c r="A145" s="428" t="s">
        <v>174</v>
      </c>
      <c r="B145" s="661">
        <v>2303510100</v>
      </c>
      <c r="C145" s="661">
        <v>2303510100</v>
      </c>
      <c r="D145" s="661">
        <v>5344382900</v>
      </c>
      <c r="E145" s="663">
        <v>7647893000</v>
      </c>
      <c r="F145" s="663">
        <v>7647893000</v>
      </c>
      <c r="G145" s="661">
        <v>72654983.5</v>
      </c>
      <c r="H145" s="656">
        <v>2019</v>
      </c>
      <c r="I145" s="431"/>
      <c r="J145" s="431"/>
      <c r="M145" s="437"/>
      <c r="N145" s="437"/>
      <c r="O145" s="437"/>
      <c r="P145" s="437"/>
      <c r="Q145" s="437"/>
      <c r="R145" s="437"/>
      <c r="S145" s="433"/>
      <c r="V145" s="434"/>
      <c r="W145" s="434"/>
      <c r="X145" s="434"/>
      <c r="Y145" s="434"/>
      <c r="Z145" s="434"/>
      <c r="AA145" s="434"/>
      <c r="AB145" s="434"/>
    </row>
    <row r="146" spans="1:28" ht="12" customHeight="1">
      <c r="A146" s="428" t="s">
        <v>119</v>
      </c>
      <c r="B146" s="661">
        <v>9766422100</v>
      </c>
      <c r="C146" s="661">
        <v>9580798600</v>
      </c>
      <c r="D146" s="661">
        <v>18295634300</v>
      </c>
      <c r="E146" s="663">
        <v>28062056400</v>
      </c>
      <c r="F146" s="663">
        <v>27876432900</v>
      </c>
      <c r="G146" s="661">
        <v>292702545.44999999</v>
      </c>
      <c r="H146" s="656" t="s">
        <v>883</v>
      </c>
      <c r="I146" s="431"/>
      <c r="J146" s="431"/>
      <c r="M146" s="437"/>
      <c r="N146" s="437"/>
      <c r="O146" s="437"/>
      <c r="P146" s="437"/>
      <c r="Q146" s="437"/>
      <c r="R146" s="437"/>
      <c r="S146" s="433"/>
      <c r="V146" s="434"/>
      <c r="W146" s="434"/>
      <c r="X146" s="434"/>
      <c r="Y146" s="434"/>
      <c r="Z146" s="434"/>
      <c r="AA146" s="434"/>
      <c r="AB146" s="434"/>
    </row>
    <row r="147" spans="1:28" ht="9" customHeight="1">
      <c r="B147" s="661"/>
      <c r="C147" s="661"/>
      <c r="D147" s="661"/>
      <c r="E147" s="663"/>
      <c r="F147" s="663"/>
      <c r="G147" s="661"/>
      <c r="H147" s="656"/>
      <c r="M147" s="437"/>
      <c r="N147" s="437"/>
      <c r="O147" s="437"/>
      <c r="P147" s="437"/>
      <c r="Q147" s="437"/>
      <c r="R147" s="437"/>
      <c r="S147" s="433"/>
      <c r="V147" s="434"/>
      <c r="W147" s="434"/>
      <c r="X147" s="434"/>
      <c r="Y147" s="434"/>
      <c r="Z147" s="434"/>
      <c r="AA147" s="434"/>
      <c r="AB147" s="434"/>
    </row>
    <row r="148" spans="1:28" ht="12" customHeight="1">
      <c r="A148" s="428" t="s">
        <v>121</v>
      </c>
      <c r="B148" s="661">
        <v>566338400</v>
      </c>
      <c r="C148" s="661">
        <v>566338400</v>
      </c>
      <c r="D148" s="661">
        <v>1128123470</v>
      </c>
      <c r="E148" s="663">
        <v>1694461870</v>
      </c>
      <c r="F148" s="663">
        <v>1694461870</v>
      </c>
      <c r="G148" s="661">
        <v>20333542.439999998</v>
      </c>
      <c r="H148" s="656">
        <v>2019</v>
      </c>
      <c r="I148" s="431"/>
      <c r="J148" s="431"/>
      <c r="M148" s="437"/>
      <c r="N148" s="437"/>
      <c r="O148" s="437"/>
      <c r="P148" s="437"/>
      <c r="Q148" s="437"/>
      <c r="R148" s="437"/>
      <c r="S148" s="433"/>
      <c r="V148" s="434"/>
      <c r="W148" s="434"/>
      <c r="X148" s="434"/>
      <c r="Y148" s="434"/>
      <c r="Z148" s="434"/>
      <c r="AA148" s="434"/>
      <c r="AB148" s="434"/>
    </row>
    <row r="149" spans="1:28" ht="12" customHeight="1">
      <c r="A149" s="428" t="s">
        <v>123</v>
      </c>
      <c r="B149" s="661">
        <v>57225924</v>
      </c>
      <c r="C149" s="661">
        <v>57225924</v>
      </c>
      <c r="D149" s="661">
        <v>241889044</v>
      </c>
      <c r="E149" s="663">
        <v>299114968</v>
      </c>
      <c r="F149" s="663">
        <v>299114968</v>
      </c>
      <c r="G149" s="661">
        <v>2392919.7440000004</v>
      </c>
      <c r="H149" s="656" t="s">
        <v>883</v>
      </c>
      <c r="I149" s="431"/>
      <c r="J149" s="431"/>
      <c r="M149" s="437"/>
      <c r="N149" s="437"/>
      <c r="O149" s="437"/>
      <c r="P149" s="437"/>
      <c r="Q149" s="437"/>
      <c r="R149" s="437"/>
      <c r="S149" s="433"/>
      <c r="V149" s="434"/>
      <c r="W149" s="434"/>
      <c r="X149" s="434"/>
      <c r="Y149" s="434"/>
      <c r="Z149" s="434"/>
      <c r="AA149" s="434"/>
      <c r="AB149" s="434"/>
    </row>
    <row r="150" spans="1:28" ht="12" customHeight="1">
      <c r="A150" s="428" t="s">
        <v>125</v>
      </c>
      <c r="B150" s="661">
        <v>313563500</v>
      </c>
      <c r="C150" s="661">
        <v>312348900</v>
      </c>
      <c r="D150" s="661">
        <v>1950610400</v>
      </c>
      <c r="E150" s="663">
        <v>2264173900</v>
      </c>
      <c r="F150" s="663">
        <v>2262959300</v>
      </c>
      <c r="G150" s="661">
        <v>19008858.120000001</v>
      </c>
      <c r="H150" s="656" t="s">
        <v>883</v>
      </c>
      <c r="I150" s="431"/>
      <c r="J150" s="431"/>
      <c r="M150" s="437"/>
      <c r="N150" s="437"/>
      <c r="O150" s="437"/>
      <c r="P150" s="437"/>
      <c r="Q150" s="437"/>
      <c r="R150" s="437"/>
      <c r="S150" s="433"/>
      <c r="V150" s="434"/>
      <c r="W150" s="434"/>
      <c r="X150" s="434"/>
      <c r="Y150" s="434"/>
      <c r="Z150" s="434"/>
      <c r="AA150" s="434"/>
      <c r="AB150" s="434"/>
    </row>
    <row r="151" spans="1:28" ht="12" customHeight="1">
      <c r="A151" s="428" t="s">
        <v>127</v>
      </c>
      <c r="B151" s="661">
        <v>64209000</v>
      </c>
      <c r="C151" s="661">
        <v>64209000</v>
      </c>
      <c r="D151" s="661">
        <v>283294600</v>
      </c>
      <c r="E151" s="663">
        <v>347503600</v>
      </c>
      <c r="F151" s="663">
        <v>347503600</v>
      </c>
      <c r="G151" s="661">
        <v>3301284.1999999997</v>
      </c>
      <c r="H151" s="656">
        <v>2019</v>
      </c>
      <c r="I151" s="431"/>
      <c r="J151" s="431"/>
      <c r="M151" s="437"/>
      <c r="N151" s="437"/>
      <c r="O151" s="437"/>
      <c r="P151" s="437"/>
      <c r="Q151" s="437"/>
      <c r="R151" s="437"/>
      <c r="S151" s="433"/>
      <c r="V151" s="434"/>
      <c r="W151" s="434"/>
      <c r="X151" s="434"/>
      <c r="Y151" s="434"/>
      <c r="Z151" s="434"/>
      <c r="AA151" s="434"/>
      <c r="AB151" s="434"/>
    </row>
    <row r="152" spans="1:28" ht="12" customHeight="1">
      <c r="A152" s="428" t="s">
        <v>884</v>
      </c>
      <c r="B152" s="661">
        <v>2431393300</v>
      </c>
      <c r="C152" s="661">
        <v>2431393300</v>
      </c>
      <c r="D152" s="661">
        <v>3807791400</v>
      </c>
      <c r="E152" s="663">
        <v>6239184700</v>
      </c>
      <c r="F152" s="663">
        <v>6239184700</v>
      </c>
      <c r="G152" s="661">
        <v>67071235.524999999</v>
      </c>
      <c r="H152" s="656">
        <v>2019</v>
      </c>
      <c r="I152" s="431"/>
      <c r="J152" s="431"/>
      <c r="M152" s="437"/>
      <c r="N152" s="437"/>
      <c r="O152" s="437"/>
      <c r="P152" s="437"/>
      <c r="Q152" s="437"/>
      <c r="R152" s="437"/>
      <c r="S152" s="433"/>
      <c r="V152" s="434"/>
      <c r="W152" s="434"/>
      <c r="X152" s="434"/>
      <c r="Y152" s="434"/>
      <c r="Z152" s="434"/>
      <c r="AA152" s="434"/>
      <c r="AB152" s="434"/>
    </row>
    <row r="153" spans="1:28" ht="9" customHeight="1">
      <c r="B153" s="661"/>
      <c r="C153" s="661"/>
      <c r="D153" s="661"/>
      <c r="E153" s="663"/>
      <c r="F153" s="663"/>
      <c r="G153" s="661"/>
      <c r="H153" s="656"/>
      <c r="M153" s="437"/>
      <c r="N153" s="437"/>
      <c r="O153" s="437"/>
      <c r="P153" s="437"/>
      <c r="Q153" s="437"/>
      <c r="R153" s="437"/>
      <c r="S153" s="433"/>
      <c r="V153" s="434"/>
      <c r="W153" s="434"/>
      <c r="X153" s="434"/>
      <c r="Y153" s="434"/>
      <c r="Z153" s="434"/>
      <c r="AA153" s="434"/>
      <c r="AB153" s="434"/>
    </row>
    <row r="154" spans="1:28" ht="12" customHeight="1">
      <c r="A154" s="428" t="s">
        <v>870</v>
      </c>
      <c r="B154" s="661">
        <v>1985851500</v>
      </c>
      <c r="C154" s="661">
        <v>1985851500</v>
      </c>
      <c r="D154" s="661">
        <v>2158668300</v>
      </c>
      <c r="E154" s="663">
        <v>4144519800</v>
      </c>
      <c r="F154" s="663">
        <v>4144519800</v>
      </c>
      <c r="G154" s="661">
        <v>55329339.329999998</v>
      </c>
      <c r="H154" s="656">
        <v>2018</v>
      </c>
      <c r="I154" s="431"/>
      <c r="J154" s="431"/>
      <c r="M154" s="437"/>
      <c r="N154" s="437"/>
      <c r="O154" s="437"/>
      <c r="P154" s="437"/>
      <c r="Q154" s="437"/>
      <c r="R154" s="437"/>
      <c r="S154" s="433"/>
      <c r="V154" s="434"/>
      <c r="W154" s="434"/>
      <c r="X154" s="434"/>
      <c r="Y154" s="434"/>
      <c r="Z154" s="434"/>
      <c r="AA154" s="434"/>
      <c r="AB154" s="434"/>
    </row>
    <row r="155" spans="1:28" ht="12" customHeight="1">
      <c r="A155" s="428" t="s">
        <v>24</v>
      </c>
      <c r="B155" s="661">
        <v>152853600</v>
      </c>
      <c r="C155" s="661">
        <v>147961305</v>
      </c>
      <c r="D155" s="661">
        <v>418339390</v>
      </c>
      <c r="E155" s="663">
        <v>571192990</v>
      </c>
      <c r="F155" s="663">
        <v>566300695</v>
      </c>
      <c r="G155" s="661">
        <v>5832897.1584999999</v>
      </c>
      <c r="H155" s="656" t="s">
        <v>883</v>
      </c>
      <c r="I155" s="431"/>
      <c r="J155" s="431"/>
      <c r="M155" s="437"/>
      <c r="N155" s="437"/>
      <c r="O155" s="437"/>
      <c r="P155" s="437"/>
      <c r="Q155" s="437"/>
      <c r="R155" s="437"/>
      <c r="S155" s="433"/>
      <c r="V155" s="434"/>
      <c r="W155" s="434"/>
      <c r="X155" s="434"/>
      <c r="Y155" s="434"/>
      <c r="Z155" s="434"/>
      <c r="AA155" s="434"/>
      <c r="AB155" s="434"/>
    </row>
    <row r="156" spans="1:28" ht="12" customHeight="1">
      <c r="A156" s="428" t="s">
        <v>132</v>
      </c>
      <c r="B156" s="661">
        <v>1507284100</v>
      </c>
      <c r="C156" s="661">
        <v>1477195000</v>
      </c>
      <c r="D156" s="661">
        <v>2591953600</v>
      </c>
      <c r="E156" s="663">
        <v>4099237700</v>
      </c>
      <c r="F156" s="663">
        <v>4069148600</v>
      </c>
      <c r="G156" s="661">
        <v>34587763.100000001</v>
      </c>
      <c r="H156" s="656" t="s">
        <v>883</v>
      </c>
      <c r="I156" s="431"/>
      <c r="J156" s="431"/>
      <c r="M156" s="437"/>
      <c r="N156" s="437"/>
      <c r="O156" s="437"/>
      <c r="P156" s="437"/>
      <c r="Q156" s="437"/>
      <c r="R156" s="437"/>
      <c r="S156" s="433"/>
      <c r="V156" s="434"/>
      <c r="W156" s="434"/>
      <c r="X156" s="434"/>
      <c r="Y156" s="434"/>
      <c r="Z156" s="434"/>
      <c r="AA156" s="434"/>
      <c r="AB156" s="434"/>
    </row>
    <row r="157" spans="1:28" ht="12" customHeight="1">
      <c r="A157" s="428" t="s">
        <v>134</v>
      </c>
      <c r="B157" s="661">
        <v>87493600</v>
      </c>
      <c r="C157" s="661">
        <v>87493600</v>
      </c>
      <c r="D157" s="661">
        <v>357398750</v>
      </c>
      <c r="E157" s="663">
        <v>444892350</v>
      </c>
      <c r="F157" s="663">
        <v>444892350</v>
      </c>
      <c r="G157" s="661">
        <v>3759340.3574999999</v>
      </c>
      <c r="H157" s="656">
        <v>2019</v>
      </c>
      <c r="I157" s="431"/>
      <c r="J157" s="431"/>
      <c r="M157" s="437"/>
      <c r="N157" s="437"/>
      <c r="O157" s="437"/>
      <c r="P157" s="437"/>
      <c r="Q157" s="437"/>
      <c r="R157" s="437"/>
      <c r="S157" s="433"/>
      <c r="V157" s="434"/>
      <c r="W157" s="434"/>
      <c r="X157" s="434"/>
      <c r="Y157" s="434"/>
      <c r="Z157" s="434"/>
      <c r="AA157" s="434"/>
      <c r="AB157" s="434"/>
    </row>
    <row r="158" spans="1:28" ht="12" customHeight="1">
      <c r="A158" s="428" t="s">
        <v>888</v>
      </c>
      <c r="B158" s="661">
        <v>3343234000</v>
      </c>
      <c r="C158" s="661">
        <v>3327904300</v>
      </c>
      <c r="D158" s="661">
        <v>7527322100</v>
      </c>
      <c r="E158" s="663">
        <v>10870556100</v>
      </c>
      <c r="F158" s="663">
        <v>10855226400</v>
      </c>
      <c r="G158" s="661">
        <v>134604807.35999998</v>
      </c>
      <c r="H158" s="656" t="s">
        <v>868</v>
      </c>
      <c r="I158" s="431"/>
      <c r="J158" s="431"/>
      <c r="M158" s="437"/>
      <c r="N158" s="437"/>
      <c r="O158" s="437"/>
      <c r="P158" s="437"/>
      <c r="Q158" s="437"/>
      <c r="R158" s="437"/>
      <c r="S158" s="433"/>
      <c r="V158" s="434"/>
      <c r="W158" s="434"/>
      <c r="X158" s="434"/>
      <c r="Y158" s="434"/>
      <c r="Z158" s="434"/>
      <c r="AA158" s="434"/>
      <c r="AB158" s="434"/>
    </row>
    <row r="159" spans="1:28" ht="9" customHeight="1">
      <c r="B159" s="661"/>
      <c r="C159" s="661"/>
      <c r="D159" s="661"/>
      <c r="E159" s="663"/>
      <c r="F159" s="663"/>
      <c r="G159" s="661"/>
      <c r="H159" s="656"/>
      <c r="M159" s="437"/>
      <c r="N159" s="437"/>
      <c r="O159" s="437"/>
      <c r="P159" s="437"/>
      <c r="Q159" s="437"/>
      <c r="R159" s="437"/>
      <c r="S159" s="433"/>
      <c r="V159" s="434"/>
      <c r="W159" s="434"/>
      <c r="X159" s="434"/>
      <c r="Y159" s="434"/>
      <c r="Z159" s="434"/>
      <c r="AA159" s="434"/>
      <c r="AB159" s="434"/>
    </row>
    <row r="160" spans="1:28" ht="12" customHeight="1">
      <c r="A160" s="428" t="s">
        <v>811</v>
      </c>
      <c r="B160" s="661">
        <v>1384993100</v>
      </c>
      <c r="C160" s="661">
        <v>1329558500</v>
      </c>
      <c r="D160" s="661">
        <v>2987285353</v>
      </c>
      <c r="E160" s="663">
        <v>4372278453</v>
      </c>
      <c r="F160" s="663">
        <v>4316843853</v>
      </c>
      <c r="G160" s="661">
        <v>37124857.135800004</v>
      </c>
      <c r="H160" s="656" t="s">
        <v>883</v>
      </c>
      <c r="I160" s="431"/>
      <c r="J160" s="431"/>
      <c r="M160" s="437"/>
      <c r="N160" s="437"/>
      <c r="O160" s="437"/>
      <c r="P160" s="437"/>
      <c r="Q160" s="437"/>
      <c r="R160" s="437"/>
      <c r="S160" s="433"/>
      <c r="V160" s="434"/>
      <c r="W160" s="434"/>
      <c r="X160" s="434"/>
      <c r="Y160" s="434"/>
      <c r="Z160" s="434"/>
      <c r="AA160" s="434"/>
      <c r="AB160" s="434"/>
    </row>
    <row r="161" spans="1:28" ht="12" customHeight="1">
      <c r="A161" s="428" t="s">
        <v>140</v>
      </c>
      <c r="B161" s="661">
        <v>340836000</v>
      </c>
      <c r="C161" s="661">
        <v>340836000</v>
      </c>
      <c r="D161" s="661">
        <v>1023662700</v>
      </c>
      <c r="E161" s="663">
        <v>1364498700</v>
      </c>
      <c r="F161" s="663">
        <v>1364498700</v>
      </c>
      <c r="G161" s="661">
        <v>15418835.309999999</v>
      </c>
      <c r="H161" s="656">
        <v>2019</v>
      </c>
      <c r="I161" s="431"/>
      <c r="J161" s="431"/>
      <c r="M161" s="437"/>
      <c r="N161" s="437"/>
      <c r="O161" s="437"/>
      <c r="P161" s="437"/>
      <c r="Q161" s="437"/>
      <c r="R161" s="437"/>
      <c r="S161" s="433"/>
      <c r="V161" s="434"/>
      <c r="W161" s="434"/>
      <c r="X161" s="434"/>
      <c r="Y161" s="434"/>
      <c r="Z161" s="434"/>
      <c r="AA161" s="434"/>
      <c r="AB161" s="434"/>
    </row>
    <row r="162" spans="1:28" ht="12" customHeight="1">
      <c r="A162" s="428" t="s">
        <v>812</v>
      </c>
      <c r="B162" s="661">
        <v>171720700</v>
      </c>
      <c r="C162" s="661">
        <v>171720700</v>
      </c>
      <c r="D162" s="661">
        <v>403559700</v>
      </c>
      <c r="E162" s="663">
        <v>575280400</v>
      </c>
      <c r="F162" s="663">
        <v>575280400</v>
      </c>
      <c r="G162" s="661">
        <v>6097972.2400000002</v>
      </c>
      <c r="H162" s="656" t="s">
        <v>883</v>
      </c>
      <c r="I162" s="431"/>
      <c r="J162" s="431"/>
      <c r="M162" s="437"/>
      <c r="N162" s="437"/>
      <c r="O162" s="437"/>
      <c r="P162" s="437"/>
      <c r="Q162" s="437"/>
      <c r="R162" s="437"/>
      <c r="S162" s="433"/>
      <c r="V162" s="434"/>
      <c r="W162" s="434"/>
      <c r="X162" s="434"/>
      <c r="Y162" s="434"/>
      <c r="Z162" s="434"/>
      <c r="AA162" s="434"/>
      <c r="AB162" s="434"/>
    </row>
    <row r="163" spans="1:28" ht="12" customHeight="1">
      <c r="A163" s="428" t="s">
        <v>144</v>
      </c>
      <c r="B163" s="661">
        <v>1289705000</v>
      </c>
      <c r="C163" s="661">
        <v>1275799600</v>
      </c>
      <c r="D163" s="661">
        <v>4336870300</v>
      </c>
      <c r="E163" s="768">
        <v>5626575300</v>
      </c>
      <c r="F163" s="768">
        <v>5612669900</v>
      </c>
      <c r="G163" s="661">
        <v>62300635.890000008</v>
      </c>
      <c r="H163" s="656" t="s">
        <v>883</v>
      </c>
      <c r="I163" s="431"/>
      <c r="J163" s="431"/>
      <c r="M163" s="437"/>
      <c r="N163" s="437"/>
      <c r="O163" s="437"/>
      <c r="P163" s="437"/>
      <c r="Q163" s="437"/>
      <c r="R163" s="437"/>
      <c r="S163" s="433"/>
      <c r="V163" s="434"/>
      <c r="W163" s="434"/>
      <c r="X163" s="434"/>
      <c r="Y163" s="434"/>
      <c r="Z163" s="434"/>
      <c r="AA163" s="434"/>
      <c r="AB163" s="434"/>
    </row>
    <row r="164" spans="1:28" ht="12" customHeight="1">
      <c r="A164" s="428" t="s">
        <v>813</v>
      </c>
      <c r="B164" s="661">
        <v>1761136900</v>
      </c>
      <c r="C164" s="661">
        <v>1761136900</v>
      </c>
      <c r="D164" s="661">
        <v>3302609100</v>
      </c>
      <c r="E164" s="663">
        <v>5063746000</v>
      </c>
      <c r="F164" s="663">
        <v>5063746000</v>
      </c>
      <c r="G164" s="661">
        <v>74943440.799999997</v>
      </c>
      <c r="H164" s="656" t="s">
        <v>883</v>
      </c>
      <c r="I164" s="431"/>
      <c r="J164" s="431"/>
      <c r="M164" s="432"/>
      <c r="N164" s="432"/>
      <c r="O164" s="432"/>
      <c r="P164" s="432"/>
      <c r="Q164" s="432"/>
      <c r="R164" s="432"/>
      <c r="S164" s="433"/>
      <c r="V164" s="434"/>
      <c r="W164" s="434"/>
      <c r="X164" s="434"/>
      <c r="Y164" s="434"/>
      <c r="Z164" s="434"/>
      <c r="AA164" s="434"/>
      <c r="AB164" s="434"/>
    </row>
    <row r="165" spans="1:28" ht="14">
      <c r="A165" s="427" t="s">
        <v>810</v>
      </c>
      <c r="L165" s="440"/>
      <c r="V165" s="434"/>
      <c r="W165" s="434"/>
      <c r="X165" s="434"/>
      <c r="Y165" s="434"/>
      <c r="Z165" s="434"/>
      <c r="AA165" s="434"/>
      <c r="AB165" s="434"/>
    </row>
    <row r="166" spans="1:28" ht="13">
      <c r="A166" s="1643" t="str">
        <f>A125</f>
        <v>Real Estate Fair Market Value (FMV), Fair Market Value (Taxable), and Local Levy by Locality - Tax Year 2019</v>
      </c>
      <c r="B166" s="1643"/>
      <c r="C166" s="1643"/>
      <c r="D166" s="1643"/>
      <c r="E166" s="1643"/>
      <c r="F166" s="1643"/>
      <c r="G166" s="1643"/>
      <c r="H166" s="1643"/>
      <c r="L166" s="444"/>
      <c r="M166" s="444"/>
      <c r="N166" s="444"/>
      <c r="O166" s="444"/>
      <c r="P166" s="444"/>
      <c r="Q166" s="444"/>
      <c r="R166" s="444"/>
      <c r="S166" s="444"/>
      <c r="V166" s="434"/>
      <c r="W166" s="434"/>
      <c r="X166" s="434"/>
      <c r="Y166" s="434"/>
      <c r="Z166" s="434"/>
      <c r="AA166" s="434"/>
      <c r="AB166" s="434"/>
    </row>
    <row r="167" spans="1:28" ht="12" thickBot="1">
      <c r="A167" s="443"/>
      <c r="B167" s="443"/>
      <c r="C167" s="443"/>
      <c r="D167" s="443"/>
      <c r="E167" s="443"/>
      <c r="F167" s="443"/>
      <c r="G167" s="443"/>
      <c r="H167" s="443"/>
      <c r="L167" s="444"/>
      <c r="M167" s="444"/>
      <c r="N167" s="444"/>
      <c r="O167" s="444"/>
      <c r="P167" s="444"/>
      <c r="Q167" s="444"/>
      <c r="R167" s="444"/>
      <c r="S167" s="444"/>
      <c r="V167" s="434"/>
      <c r="W167" s="434"/>
      <c r="X167" s="434"/>
      <c r="Y167" s="434"/>
      <c r="Z167" s="434"/>
      <c r="AA167" s="434"/>
      <c r="AB167" s="434"/>
    </row>
    <row r="168" spans="1:28">
      <c r="V168" s="434"/>
      <c r="W168" s="434"/>
      <c r="X168" s="434"/>
      <c r="Y168" s="434"/>
      <c r="Z168" s="434"/>
      <c r="AA168" s="434"/>
      <c r="AB168" s="434"/>
    </row>
    <row r="169" spans="1:28" s="440" customFormat="1">
      <c r="A169" s="448" t="s">
        <v>23</v>
      </c>
      <c r="B169" s="448" t="s">
        <v>802</v>
      </c>
      <c r="C169" s="448" t="s">
        <v>803</v>
      </c>
      <c r="D169" s="448" t="s">
        <v>804</v>
      </c>
      <c r="E169" s="448" t="s">
        <v>805</v>
      </c>
      <c r="F169" s="448" t="s">
        <v>806</v>
      </c>
      <c r="G169" s="448" t="s">
        <v>807</v>
      </c>
      <c r="H169" s="448" t="s">
        <v>808</v>
      </c>
      <c r="L169" s="447"/>
      <c r="M169" s="447"/>
      <c r="N169" s="447"/>
      <c r="O169" s="447"/>
      <c r="P169" s="447"/>
      <c r="Q169" s="447"/>
      <c r="R169" s="447"/>
      <c r="S169" s="447"/>
      <c r="U169" s="428"/>
      <c r="V169" s="434"/>
      <c r="W169" s="434"/>
      <c r="X169" s="434"/>
      <c r="Y169" s="434"/>
      <c r="Z169" s="434"/>
      <c r="AA169" s="434"/>
      <c r="AB169" s="434"/>
    </row>
    <row r="170" spans="1:28" ht="8.25" customHeight="1">
      <c r="V170" s="434"/>
      <c r="W170" s="434"/>
      <c r="X170" s="434"/>
      <c r="Y170" s="434"/>
      <c r="Z170" s="434"/>
      <c r="AA170" s="434"/>
      <c r="AB170" s="434"/>
    </row>
    <row r="171" spans="1:28" ht="12" customHeight="1">
      <c r="A171" s="428" t="s">
        <v>887</v>
      </c>
      <c r="B171" s="429">
        <v>489772400</v>
      </c>
      <c r="C171" s="429">
        <v>489772400</v>
      </c>
      <c r="D171" s="429">
        <v>1135913300</v>
      </c>
      <c r="E171" s="441">
        <v>1625685700</v>
      </c>
      <c r="F171" s="441">
        <v>1625685700</v>
      </c>
      <c r="G171" s="429">
        <v>25198128.350000001</v>
      </c>
      <c r="H171" s="433" t="s">
        <v>868</v>
      </c>
      <c r="I171" s="431"/>
      <c r="J171" s="431"/>
      <c r="M171" s="437"/>
      <c r="N171" s="437"/>
      <c r="O171" s="437"/>
      <c r="P171" s="437"/>
      <c r="Q171" s="437"/>
      <c r="R171" s="437"/>
      <c r="S171" s="433"/>
      <c r="V171" s="434"/>
      <c r="W171" s="434"/>
      <c r="X171" s="434"/>
      <c r="Y171" s="434"/>
      <c r="Z171" s="434"/>
      <c r="AA171" s="434"/>
      <c r="AB171" s="434"/>
    </row>
    <row r="172" spans="1:28" ht="12" customHeight="1">
      <c r="A172" s="428" t="s">
        <v>150</v>
      </c>
      <c r="B172" s="435">
        <v>126506800</v>
      </c>
      <c r="C172" s="435">
        <v>126506800</v>
      </c>
      <c r="D172" s="435">
        <v>511989200</v>
      </c>
      <c r="E172" s="439">
        <v>638496000</v>
      </c>
      <c r="F172" s="439">
        <v>638496000</v>
      </c>
      <c r="G172" s="435">
        <v>6781466.0159999998</v>
      </c>
      <c r="H172" s="433" t="s">
        <v>883</v>
      </c>
      <c r="I172" s="431"/>
      <c r="J172" s="431"/>
      <c r="M172" s="437"/>
      <c r="N172" s="437"/>
      <c r="O172" s="437"/>
      <c r="P172" s="437"/>
      <c r="Q172" s="437"/>
      <c r="R172" s="437"/>
      <c r="S172" s="433"/>
      <c r="V172" s="434"/>
      <c r="W172" s="434"/>
      <c r="X172" s="434"/>
      <c r="Y172" s="434"/>
      <c r="Z172" s="434"/>
      <c r="AA172" s="434"/>
      <c r="AB172" s="434"/>
    </row>
    <row r="173" spans="1:28" ht="12" customHeight="1">
      <c r="A173" s="428" t="s">
        <v>152</v>
      </c>
      <c r="B173" s="435">
        <v>4658073700</v>
      </c>
      <c r="C173" s="435">
        <v>4658073700</v>
      </c>
      <c r="D173" s="435">
        <v>11348126000</v>
      </c>
      <c r="E173" s="439">
        <v>16006199700</v>
      </c>
      <c r="F173" s="439">
        <v>16006199700</v>
      </c>
      <c r="G173" s="435">
        <v>195275636.34</v>
      </c>
      <c r="H173" s="433" t="s">
        <v>883</v>
      </c>
      <c r="I173" s="431"/>
      <c r="J173" s="431"/>
      <c r="M173" s="437"/>
      <c r="N173" s="437"/>
      <c r="O173" s="437"/>
      <c r="P173" s="437"/>
      <c r="Q173" s="437"/>
      <c r="R173" s="437"/>
      <c r="S173" s="433"/>
      <c r="V173" s="434"/>
      <c r="W173" s="434"/>
      <c r="X173" s="434"/>
      <c r="Y173" s="434"/>
      <c r="Z173" s="434"/>
      <c r="AA173" s="434"/>
      <c r="AB173" s="434"/>
    </row>
    <row r="174" spans="1:28" ht="12" customHeight="1">
      <c r="A174" s="428" t="s">
        <v>154</v>
      </c>
      <c r="B174" s="435">
        <v>6193789400</v>
      </c>
      <c r="C174" s="435">
        <v>6193789400</v>
      </c>
      <c r="D174" s="435">
        <v>14882994300</v>
      </c>
      <c r="E174" s="439">
        <v>21076783700</v>
      </c>
      <c r="F174" s="439">
        <v>21076783700</v>
      </c>
      <c r="G174" s="435">
        <v>263459796.25</v>
      </c>
      <c r="H174" s="433" t="s">
        <v>883</v>
      </c>
      <c r="I174" s="431"/>
      <c r="J174" s="431"/>
      <c r="M174" s="437"/>
      <c r="N174" s="437"/>
      <c r="O174" s="437"/>
      <c r="P174" s="437"/>
      <c r="Q174" s="437"/>
      <c r="R174" s="437"/>
      <c r="S174" s="433"/>
      <c r="V174" s="434"/>
      <c r="W174" s="434"/>
      <c r="X174" s="434"/>
      <c r="Y174" s="434"/>
      <c r="Z174" s="434"/>
      <c r="AA174" s="434"/>
      <c r="AB174" s="434"/>
    </row>
    <row r="175" spans="1:28" ht="12" customHeight="1">
      <c r="A175" s="428" t="s">
        <v>814</v>
      </c>
      <c r="B175" s="435">
        <v>59988700</v>
      </c>
      <c r="C175" s="435">
        <v>59988700</v>
      </c>
      <c r="D175" s="435">
        <v>173548500</v>
      </c>
      <c r="E175" s="439">
        <v>233537200</v>
      </c>
      <c r="F175" s="439">
        <v>233537200</v>
      </c>
      <c r="G175" s="435">
        <v>2101834.8000000003</v>
      </c>
      <c r="H175" s="433">
        <v>2019</v>
      </c>
      <c r="I175" s="431"/>
      <c r="J175" s="431"/>
      <c r="M175" s="437"/>
      <c r="N175" s="437"/>
      <c r="O175" s="437"/>
      <c r="P175" s="437"/>
      <c r="Q175" s="437"/>
      <c r="R175" s="437"/>
      <c r="S175" s="433"/>
      <c r="V175" s="434"/>
      <c r="W175" s="434"/>
      <c r="X175" s="434"/>
      <c r="Y175" s="434"/>
      <c r="Z175" s="434"/>
      <c r="AA175" s="434"/>
      <c r="AB175" s="434"/>
    </row>
    <row r="176" spans="1:28" ht="9" customHeight="1">
      <c r="B176" s="435"/>
      <c r="C176" s="435"/>
      <c r="D176" s="435"/>
      <c r="E176" s="439"/>
      <c r="F176" s="439"/>
      <c r="G176" s="435"/>
      <c r="M176" s="437"/>
      <c r="N176" s="437"/>
      <c r="O176" s="437"/>
      <c r="P176" s="437"/>
      <c r="Q176" s="437"/>
      <c r="R176" s="437"/>
      <c r="S176" s="433"/>
      <c r="V176" s="434"/>
      <c r="W176" s="434"/>
      <c r="X176" s="434"/>
      <c r="Y176" s="434"/>
      <c r="Z176" s="434"/>
      <c r="AA176" s="434"/>
      <c r="AB176" s="434"/>
    </row>
    <row r="177" spans="1:28" ht="12" customHeight="1">
      <c r="A177" s="445" t="s">
        <v>886</v>
      </c>
      <c r="B177" s="435">
        <v>417381397</v>
      </c>
      <c r="C177" s="435">
        <v>410790697</v>
      </c>
      <c r="D177" s="435">
        <v>1504699352</v>
      </c>
      <c r="E177" s="439">
        <v>1922080749</v>
      </c>
      <c r="F177" s="439">
        <v>1915490049</v>
      </c>
      <c r="G177" s="435">
        <v>25859115.661499999</v>
      </c>
      <c r="H177" s="433" t="s">
        <v>868</v>
      </c>
      <c r="I177" s="431"/>
      <c r="J177" s="431"/>
      <c r="M177" s="437"/>
      <c r="N177" s="437"/>
      <c r="O177" s="437"/>
      <c r="P177" s="437"/>
      <c r="Q177" s="437"/>
      <c r="R177" s="437"/>
      <c r="S177" s="433"/>
      <c r="V177" s="434"/>
      <c r="W177" s="434"/>
      <c r="X177" s="434"/>
      <c r="Y177" s="434"/>
      <c r="Z177" s="434"/>
      <c r="AA177" s="434"/>
      <c r="AB177" s="434"/>
    </row>
    <row r="178" spans="1:28" ht="12" customHeight="1">
      <c r="A178" s="428" t="s">
        <v>885</v>
      </c>
      <c r="B178" s="435">
        <v>665040100</v>
      </c>
      <c r="C178" s="435">
        <v>665040100</v>
      </c>
      <c r="D178" s="435">
        <v>937009225</v>
      </c>
      <c r="E178" s="439">
        <v>1602049325</v>
      </c>
      <c r="F178" s="439">
        <v>1602049325</v>
      </c>
      <c r="G178" s="435">
        <v>18263362.305</v>
      </c>
      <c r="H178" s="433" t="s">
        <v>868</v>
      </c>
      <c r="I178" s="431"/>
      <c r="J178" s="431"/>
      <c r="M178" s="437"/>
      <c r="N178" s="437"/>
      <c r="O178" s="437"/>
      <c r="P178" s="437"/>
      <c r="Q178" s="437"/>
      <c r="R178" s="437"/>
      <c r="S178" s="433"/>
      <c r="V178" s="434"/>
      <c r="W178" s="434"/>
      <c r="X178" s="434"/>
      <c r="Y178" s="434"/>
      <c r="Z178" s="434"/>
      <c r="AA178" s="434"/>
      <c r="AB178" s="434"/>
    </row>
    <row r="179" spans="1:28" ht="12" customHeight="1">
      <c r="A179" s="428" t="s">
        <v>871</v>
      </c>
      <c r="B179" s="435">
        <v>2117952670</v>
      </c>
      <c r="C179" s="435">
        <v>2117952670</v>
      </c>
      <c r="D179" s="435">
        <v>5376818732</v>
      </c>
      <c r="E179" s="439">
        <v>7494771402</v>
      </c>
      <c r="F179" s="439">
        <v>7494771402</v>
      </c>
      <c r="G179" s="435">
        <v>97432028.225999996</v>
      </c>
      <c r="H179" s="433" t="s">
        <v>868</v>
      </c>
      <c r="I179" s="431"/>
      <c r="J179" s="431"/>
      <c r="M179" s="437"/>
      <c r="N179" s="437"/>
      <c r="O179" s="437"/>
      <c r="P179" s="437"/>
      <c r="Q179" s="437"/>
      <c r="R179" s="437"/>
      <c r="S179" s="433"/>
      <c r="V179" s="434"/>
      <c r="W179" s="434"/>
      <c r="X179" s="434"/>
      <c r="Y179" s="434"/>
      <c r="Z179" s="434"/>
      <c r="AA179" s="434"/>
      <c r="AB179" s="434"/>
    </row>
    <row r="180" spans="1:28" ht="12" customHeight="1">
      <c r="A180" s="428" t="s">
        <v>164</v>
      </c>
      <c r="B180" s="435">
        <v>170166200</v>
      </c>
      <c r="C180" s="435">
        <v>167885450</v>
      </c>
      <c r="D180" s="435">
        <v>652781400</v>
      </c>
      <c r="E180" s="439">
        <v>822947600</v>
      </c>
      <c r="F180" s="439">
        <v>820666850</v>
      </c>
      <c r="G180" s="435">
        <v>6729468.1699999999</v>
      </c>
      <c r="H180" s="433">
        <v>2019</v>
      </c>
      <c r="I180" s="431"/>
      <c r="J180" s="431"/>
      <c r="M180" s="437"/>
      <c r="N180" s="437"/>
      <c r="O180" s="437"/>
      <c r="P180" s="437"/>
      <c r="Q180" s="437"/>
      <c r="R180" s="437"/>
      <c r="S180" s="433"/>
      <c r="V180" s="434"/>
      <c r="W180" s="434"/>
      <c r="X180" s="434"/>
      <c r="Y180" s="434"/>
      <c r="Z180" s="434"/>
      <c r="AA180" s="434"/>
      <c r="AB180" s="434"/>
    </row>
    <row r="181" spans="1:28" ht="12" customHeight="1">
      <c r="A181" s="428" t="s">
        <v>892</v>
      </c>
      <c r="B181" s="435">
        <v>6033262000</v>
      </c>
      <c r="C181" s="435">
        <v>6033262000</v>
      </c>
      <c r="D181" s="435">
        <v>16677621000</v>
      </c>
      <c r="E181" s="439">
        <v>22710883000</v>
      </c>
      <c r="F181" s="439">
        <v>22710883000</v>
      </c>
      <c r="G181" s="435">
        <v>272530596</v>
      </c>
      <c r="H181" s="433">
        <v>2018</v>
      </c>
      <c r="I181" s="431"/>
      <c r="J181" s="431"/>
      <c r="M181" s="437"/>
      <c r="N181" s="437"/>
      <c r="O181" s="437"/>
      <c r="P181" s="437"/>
      <c r="Q181" s="437"/>
      <c r="R181" s="437"/>
      <c r="S181" s="433"/>
      <c r="V181" s="434"/>
      <c r="W181" s="434"/>
      <c r="X181" s="434"/>
      <c r="Y181" s="434"/>
      <c r="Z181" s="434"/>
      <c r="AA181" s="434"/>
      <c r="AB181" s="434"/>
    </row>
    <row r="182" spans="1:28" ht="9" customHeight="1">
      <c r="B182" s="435"/>
      <c r="C182" s="435"/>
      <c r="D182" s="435"/>
      <c r="E182" s="439"/>
      <c r="F182" s="439"/>
      <c r="G182" s="435"/>
      <c r="M182" s="437"/>
      <c r="N182" s="437"/>
      <c r="O182" s="437"/>
      <c r="P182" s="437"/>
      <c r="Q182" s="437"/>
      <c r="R182" s="437"/>
      <c r="S182" s="433"/>
      <c r="V182" s="434"/>
      <c r="W182" s="434"/>
      <c r="X182" s="434"/>
      <c r="Y182" s="434"/>
      <c r="Z182" s="434"/>
      <c r="AA182" s="434"/>
      <c r="AB182" s="434"/>
    </row>
    <row r="183" spans="1:28" ht="12" customHeight="1">
      <c r="A183" s="428" t="s">
        <v>25</v>
      </c>
      <c r="B183" s="435">
        <v>1633867600</v>
      </c>
      <c r="C183" s="435">
        <v>1633867600</v>
      </c>
      <c r="D183" s="435">
        <v>6328248000</v>
      </c>
      <c r="E183" s="439">
        <v>7962115600</v>
      </c>
      <c r="F183" s="439">
        <v>7962115600</v>
      </c>
      <c r="G183" s="435">
        <v>97137810.319999993</v>
      </c>
      <c r="H183" s="433" t="s">
        <v>883</v>
      </c>
      <c r="I183" s="431"/>
      <c r="J183" s="431"/>
      <c r="M183" s="437"/>
      <c r="N183" s="437"/>
      <c r="O183" s="437"/>
      <c r="P183" s="437"/>
      <c r="Q183" s="437"/>
      <c r="R183" s="437"/>
      <c r="S183" s="433"/>
      <c r="V183" s="434"/>
      <c r="W183" s="434"/>
      <c r="X183" s="434"/>
      <c r="Y183" s="434"/>
      <c r="Z183" s="434"/>
      <c r="AA183" s="434"/>
      <c r="AB183" s="434"/>
    </row>
    <row r="184" spans="1:28" ht="12" customHeight="1">
      <c r="A184" s="428" t="s">
        <v>165</v>
      </c>
      <c r="B184" s="435">
        <v>533194900</v>
      </c>
      <c r="C184" s="435">
        <v>533194900</v>
      </c>
      <c r="D184" s="435">
        <v>1744471200</v>
      </c>
      <c r="E184" s="439">
        <v>2277666100</v>
      </c>
      <c r="F184" s="439">
        <v>2277666100</v>
      </c>
      <c r="G184" s="435">
        <v>27331993.199999999</v>
      </c>
      <c r="H184" s="433" t="s">
        <v>883</v>
      </c>
      <c r="I184" s="431"/>
      <c r="J184" s="431"/>
      <c r="M184" s="437"/>
      <c r="N184" s="437"/>
      <c r="O184" s="437"/>
      <c r="P184" s="437"/>
      <c r="Q184" s="437"/>
      <c r="R184" s="437"/>
      <c r="S184" s="433"/>
      <c r="V184" s="434"/>
      <c r="W184" s="434"/>
      <c r="X184" s="434"/>
      <c r="Y184" s="434"/>
      <c r="Z184" s="434"/>
      <c r="AA184" s="434"/>
      <c r="AB184" s="434"/>
    </row>
    <row r="185" spans="1:28" ht="12" customHeight="1">
      <c r="A185" s="428" t="s">
        <v>166</v>
      </c>
      <c r="B185" s="435">
        <v>445096449</v>
      </c>
      <c r="C185" s="435">
        <v>427001165</v>
      </c>
      <c r="D185" s="435">
        <v>1597967620</v>
      </c>
      <c r="E185" s="439">
        <v>2043064069</v>
      </c>
      <c r="F185" s="439">
        <v>2024968785</v>
      </c>
      <c r="G185" s="435">
        <v>19237203.4575</v>
      </c>
      <c r="H185" s="433">
        <v>2019</v>
      </c>
      <c r="I185" s="431"/>
      <c r="J185" s="431"/>
      <c r="M185" s="437"/>
      <c r="N185" s="437"/>
      <c r="O185" s="437"/>
      <c r="P185" s="437"/>
      <c r="Q185" s="437"/>
      <c r="R185" s="437"/>
      <c r="S185" s="433"/>
      <c r="V185" s="434"/>
      <c r="W185" s="434"/>
      <c r="X185" s="434"/>
      <c r="Y185" s="434"/>
      <c r="Z185" s="434"/>
      <c r="AA185" s="434"/>
      <c r="AB185" s="434"/>
    </row>
    <row r="186" spans="1:28" ht="12" customHeight="1">
      <c r="A186" s="428" t="s">
        <v>167</v>
      </c>
      <c r="B186" s="435">
        <v>3533055200</v>
      </c>
      <c r="C186" s="435">
        <v>3074878700</v>
      </c>
      <c r="D186" s="435">
        <v>6980072200</v>
      </c>
      <c r="E186" s="439">
        <v>10513127400</v>
      </c>
      <c r="F186" s="439">
        <v>10054950900</v>
      </c>
      <c r="G186" s="435">
        <v>111609954.99000001</v>
      </c>
      <c r="H186" s="433" t="s">
        <v>883</v>
      </c>
      <c r="I186" s="431"/>
      <c r="J186" s="431"/>
      <c r="M186" s="437"/>
      <c r="N186" s="437"/>
      <c r="O186" s="437"/>
      <c r="P186" s="437"/>
      <c r="Q186" s="437"/>
      <c r="R186" s="437"/>
      <c r="S186" s="433"/>
      <c r="V186" s="434"/>
      <c r="W186" s="434"/>
      <c r="X186" s="434"/>
      <c r="Y186" s="434"/>
      <c r="Z186" s="434"/>
      <c r="AA186" s="434"/>
      <c r="AB186" s="434"/>
    </row>
    <row r="187" spans="1:28" ht="12" customHeight="1">
      <c r="A187" s="428" t="s">
        <v>592</v>
      </c>
      <c r="B187" s="435">
        <v>24684935400</v>
      </c>
      <c r="C187" s="435">
        <v>24413593800</v>
      </c>
      <c r="D187" s="435">
        <v>34873616300</v>
      </c>
      <c r="E187" s="439">
        <v>59558551700</v>
      </c>
      <c r="F187" s="439">
        <v>59287210100</v>
      </c>
      <c r="G187" s="435">
        <v>603247362.76750004</v>
      </c>
      <c r="H187" s="433" t="s">
        <v>883</v>
      </c>
      <c r="I187" s="431"/>
      <c r="J187" s="431"/>
      <c r="M187" s="437"/>
      <c r="N187" s="437"/>
      <c r="O187" s="437"/>
      <c r="P187" s="437"/>
      <c r="Q187" s="437"/>
      <c r="R187" s="437"/>
      <c r="S187" s="433"/>
      <c r="V187" s="434"/>
      <c r="W187" s="434"/>
      <c r="X187" s="434"/>
      <c r="Y187" s="434"/>
      <c r="Z187" s="434"/>
      <c r="AA187" s="434"/>
      <c r="AB187" s="434"/>
    </row>
    <row r="188" spans="1:28" ht="9" customHeight="1">
      <c r="B188" s="435"/>
      <c r="C188" s="435"/>
      <c r="D188" s="435"/>
      <c r="E188" s="439"/>
      <c r="F188" s="439"/>
      <c r="G188" s="435"/>
      <c r="M188" s="437"/>
      <c r="N188" s="437"/>
      <c r="O188" s="437"/>
      <c r="P188" s="437"/>
      <c r="Q188" s="437"/>
      <c r="R188" s="437"/>
      <c r="S188" s="433"/>
      <c r="V188" s="434"/>
      <c r="W188" s="434"/>
      <c r="X188" s="434"/>
      <c r="Y188" s="434"/>
      <c r="Z188" s="434"/>
      <c r="AA188" s="434"/>
      <c r="AB188" s="434"/>
    </row>
    <row r="189" spans="1:28" ht="12" customHeight="1">
      <c r="A189" s="428" t="s">
        <v>169</v>
      </c>
      <c r="B189" s="435">
        <v>606496100</v>
      </c>
      <c r="C189" s="435">
        <v>594592100</v>
      </c>
      <c r="D189" s="435">
        <v>1301983600</v>
      </c>
      <c r="E189" s="439">
        <v>1908479700</v>
      </c>
      <c r="F189" s="439">
        <v>1896575700</v>
      </c>
      <c r="G189" s="435">
        <v>17069181.300000001</v>
      </c>
      <c r="H189" s="433">
        <v>2019</v>
      </c>
      <c r="I189" s="431"/>
      <c r="J189" s="431"/>
      <c r="M189" s="437"/>
      <c r="N189" s="437"/>
      <c r="O189" s="437"/>
      <c r="P189" s="437"/>
      <c r="Q189" s="437"/>
      <c r="R189" s="437"/>
      <c r="S189" s="433"/>
      <c r="V189" s="434"/>
      <c r="W189" s="434"/>
      <c r="X189" s="434"/>
      <c r="Y189" s="434"/>
      <c r="Z189" s="434"/>
      <c r="AA189" s="434"/>
      <c r="AB189" s="434"/>
    </row>
    <row r="190" spans="1:28" ht="12" customHeight="1">
      <c r="A190" s="428" t="s">
        <v>815</v>
      </c>
      <c r="B190" s="435">
        <v>678557200</v>
      </c>
      <c r="C190" s="435">
        <v>678557200</v>
      </c>
      <c r="D190" s="435">
        <v>1318127100</v>
      </c>
      <c r="E190" s="439">
        <v>1996684300</v>
      </c>
      <c r="F190" s="439">
        <v>1996684300</v>
      </c>
      <c r="G190" s="435">
        <v>11980105.799999999</v>
      </c>
      <c r="H190" s="433" t="s">
        <v>883</v>
      </c>
      <c r="I190" s="431"/>
      <c r="J190" s="431"/>
      <c r="M190" s="437"/>
      <c r="N190" s="437"/>
      <c r="O190" s="437"/>
      <c r="P190" s="437"/>
      <c r="Q190" s="437"/>
      <c r="R190" s="437"/>
      <c r="S190" s="433"/>
      <c r="V190" s="434"/>
      <c r="W190" s="434"/>
      <c r="X190" s="434"/>
      <c r="Y190" s="434"/>
      <c r="Z190" s="434"/>
      <c r="AA190" s="434"/>
      <c r="AB190" s="434"/>
    </row>
    <row r="191" spans="1:28" ht="12" customHeight="1">
      <c r="A191" s="428" t="s">
        <v>173</v>
      </c>
      <c r="B191" s="435">
        <v>1047251364</v>
      </c>
      <c r="C191" s="435">
        <v>1045551536</v>
      </c>
      <c r="D191" s="435">
        <v>2144397125</v>
      </c>
      <c r="E191" s="439">
        <v>3191648489</v>
      </c>
      <c r="F191" s="439">
        <v>3189948661</v>
      </c>
      <c r="G191" s="435">
        <v>29666522.5473</v>
      </c>
      <c r="H191" s="433">
        <v>2019</v>
      </c>
      <c r="I191" s="431"/>
      <c r="J191" s="431"/>
      <c r="M191" s="437"/>
      <c r="N191" s="437"/>
      <c r="O191" s="437"/>
      <c r="P191" s="437"/>
      <c r="Q191" s="437"/>
      <c r="R191" s="437"/>
      <c r="S191" s="433"/>
      <c r="V191" s="434"/>
      <c r="W191" s="434"/>
      <c r="X191" s="434"/>
      <c r="Y191" s="434"/>
      <c r="Z191" s="434"/>
      <c r="AA191" s="434"/>
      <c r="AB191" s="434"/>
    </row>
    <row r="192" spans="1:28">
      <c r="I192" s="431"/>
      <c r="J192" s="431"/>
    </row>
    <row r="193" spans="1:19" s="442" customFormat="1" ht="12.75" customHeight="1">
      <c r="A193" s="504" t="s">
        <v>27</v>
      </c>
      <c r="B193" s="450">
        <f t="shared" ref="B193:G193" si="1">SUM(B142:B164,B171:B191)</f>
        <v>98290338560</v>
      </c>
      <c r="C193" s="450">
        <f t="shared" si="1"/>
        <v>97213583803</v>
      </c>
      <c r="D193" s="450">
        <f t="shared" si="1"/>
        <v>189998190846</v>
      </c>
      <c r="E193" s="450">
        <f t="shared" si="1"/>
        <v>288288529406</v>
      </c>
      <c r="F193" s="450">
        <f t="shared" si="1"/>
        <v>287211774649</v>
      </c>
      <c r="G193" s="450">
        <f t="shared" si="1"/>
        <v>3202599798.3828998</v>
      </c>
      <c r="H193" s="495"/>
      <c r="M193" s="444"/>
      <c r="N193" s="444"/>
      <c r="O193" s="444"/>
      <c r="P193" s="444"/>
      <c r="Q193" s="444"/>
      <c r="R193" s="444"/>
    </row>
    <row r="194" spans="1:19" s="442" customFormat="1" ht="12.75" customHeight="1">
      <c r="A194" s="504" t="s">
        <v>22</v>
      </c>
      <c r="B194" s="450">
        <f t="shared" ref="B194:G194" si="2">B136</f>
        <v>323259486973</v>
      </c>
      <c r="C194" s="450">
        <f t="shared" si="2"/>
        <v>298221486450</v>
      </c>
      <c r="D194" s="450">
        <f t="shared" si="2"/>
        <v>587016530456</v>
      </c>
      <c r="E194" s="450">
        <f t="shared" si="2"/>
        <v>910276017429</v>
      </c>
      <c r="F194" s="450">
        <f t="shared" si="2"/>
        <v>885238016906</v>
      </c>
      <c r="G194" s="450">
        <f t="shared" si="2"/>
        <v>8451984600.3172655</v>
      </c>
      <c r="H194" s="495"/>
      <c r="M194" s="444"/>
      <c r="N194" s="444"/>
      <c r="O194" s="444"/>
      <c r="P194" s="444"/>
      <c r="Q194" s="444"/>
      <c r="R194" s="444"/>
    </row>
    <row r="195" spans="1:19">
      <c r="A195" s="505"/>
      <c r="B195" s="506"/>
      <c r="C195" s="506"/>
      <c r="D195" s="506"/>
      <c r="E195" s="506"/>
      <c r="F195" s="506"/>
      <c r="G195" s="506"/>
      <c r="H195" s="497"/>
      <c r="M195" s="429"/>
      <c r="N195" s="429"/>
      <c r="O195" s="429"/>
      <c r="P195" s="429"/>
      <c r="Q195" s="429"/>
      <c r="R195" s="429"/>
    </row>
    <row r="196" spans="1:19" s="442" customFormat="1" ht="12.75" customHeight="1">
      <c r="A196" s="504" t="s">
        <v>28</v>
      </c>
      <c r="B196" s="450">
        <f t="shared" ref="B196:G196" si="3">B193+B194</f>
        <v>421549825533</v>
      </c>
      <c r="C196" s="450">
        <f t="shared" si="3"/>
        <v>395435070253</v>
      </c>
      <c r="D196" s="450">
        <f>D193+D194</f>
        <v>777014721302</v>
      </c>
      <c r="E196" s="450">
        <f t="shared" si="3"/>
        <v>1198564546835</v>
      </c>
      <c r="F196" s="450">
        <f t="shared" si="3"/>
        <v>1172449791555</v>
      </c>
      <c r="G196" s="450">
        <f t="shared" si="3"/>
        <v>11654584398.700165</v>
      </c>
      <c r="H196" s="495"/>
      <c r="M196" s="444"/>
      <c r="N196" s="444"/>
      <c r="O196" s="444"/>
      <c r="P196" s="444"/>
      <c r="Q196" s="444"/>
      <c r="R196" s="444"/>
    </row>
    <row r="197" spans="1:19">
      <c r="A197" s="445"/>
      <c r="B197" s="507"/>
      <c r="C197" s="507"/>
      <c r="D197" s="507"/>
      <c r="E197" s="507"/>
      <c r="F197" s="507"/>
      <c r="G197" s="507"/>
      <c r="H197" s="498"/>
    </row>
    <row r="198" spans="1:19">
      <c r="A198" s="428" t="s">
        <v>1</v>
      </c>
      <c r="B198" s="508"/>
      <c r="C198" s="508"/>
      <c r="D198" s="508"/>
      <c r="E198" s="508"/>
      <c r="F198" s="508"/>
      <c r="G198" s="508"/>
      <c r="H198" s="498"/>
      <c r="L198" s="1642"/>
      <c r="M198" s="1642"/>
      <c r="N198" s="1642"/>
      <c r="O198" s="1642"/>
      <c r="P198" s="1642"/>
      <c r="Q198" s="1642"/>
      <c r="R198" s="1642"/>
      <c r="S198" s="1642"/>
    </row>
    <row r="199" spans="1:19">
      <c r="A199" s="1642" t="s">
        <v>816</v>
      </c>
      <c r="B199" s="1642"/>
      <c r="C199" s="1642"/>
      <c r="D199" s="1642"/>
      <c r="E199" s="1642"/>
      <c r="F199" s="1642"/>
      <c r="G199" s="1642"/>
      <c r="H199" s="1642"/>
      <c r="L199" s="1642"/>
      <c r="M199" s="1642"/>
      <c r="N199" s="1642"/>
      <c r="O199" s="1642"/>
      <c r="P199" s="1642"/>
      <c r="Q199" s="1642"/>
      <c r="R199" s="1642"/>
      <c r="S199" s="1642"/>
    </row>
    <row r="200" spans="1:19">
      <c r="A200" s="1642" t="s">
        <v>817</v>
      </c>
      <c r="B200" s="1642"/>
      <c r="C200" s="1642"/>
      <c r="D200" s="1642"/>
      <c r="E200" s="1642"/>
      <c r="F200" s="1642"/>
      <c r="G200" s="1642"/>
      <c r="H200" s="1642"/>
      <c r="L200" s="1642"/>
      <c r="M200" s="1642"/>
      <c r="N200" s="1642"/>
      <c r="O200" s="1642"/>
      <c r="P200" s="1642"/>
      <c r="Q200" s="1642"/>
      <c r="R200" s="1642"/>
      <c r="S200" s="1642"/>
    </row>
    <row r="201" spans="1:19" ht="12">
      <c r="A201" s="1642" t="s">
        <v>818</v>
      </c>
      <c r="B201" s="1642"/>
      <c r="C201" s="1642"/>
      <c r="D201" s="1642"/>
      <c r="E201" s="1642"/>
      <c r="F201" s="1642"/>
      <c r="G201" s="1642"/>
      <c r="H201" s="1642"/>
      <c r="L201" s="1642"/>
      <c r="M201" s="1642"/>
      <c r="N201" s="1642"/>
      <c r="O201" s="1642"/>
      <c r="P201" s="1642"/>
      <c r="Q201" s="1642"/>
      <c r="R201" s="1642"/>
      <c r="S201" s="1642"/>
    </row>
    <row r="202" spans="1:19">
      <c r="A202" s="1642" t="s">
        <v>819</v>
      </c>
      <c r="B202" s="1642"/>
      <c r="C202" s="1642"/>
      <c r="D202" s="1642"/>
      <c r="E202" s="1642"/>
      <c r="F202" s="1642"/>
      <c r="G202" s="1642"/>
      <c r="H202" s="1642"/>
    </row>
    <row r="203" spans="1:19">
      <c r="A203" s="445" t="s">
        <v>820</v>
      </c>
    </row>
    <row r="204" spans="1:19">
      <c r="A204" s="445" t="s">
        <v>821</v>
      </c>
    </row>
    <row r="205" spans="1:19">
      <c r="A205" s="510" t="s">
        <v>882</v>
      </c>
      <c r="B205" s="451"/>
      <c r="C205" s="451"/>
      <c r="D205" s="451"/>
      <c r="E205" s="451"/>
      <c r="F205" s="451"/>
      <c r="G205" s="451"/>
      <c r="L205" s="440"/>
    </row>
    <row r="206" spans="1:19">
      <c r="A206" s="451"/>
      <c r="B206" s="451"/>
      <c r="C206" s="451"/>
      <c r="D206" s="451"/>
      <c r="E206" s="451"/>
      <c r="F206" s="451"/>
      <c r="G206" s="451"/>
    </row>
    <row r="207" spans="1:19">
      <c r="A207" s="451"/>
      <c r="B207" s="482">
        <v>421298038880</v>
      </c>
      <c r="C207" s="482">
        <v>394845999139</v>
      </c>
      <c r="D207" s="482">
        <v>776184648449</v>
      </c>
      <c r="E207" s="482">
        <v>1197482687329</v>
      </c>
      <c r="F207" s="482">
        <v>1171030647588</v>
      </c>
      <c r="G207" s="482">
        <v>11259611998.497469</v>
      </c>
    </row>
    <row r="208" spans="1:19">
      <c r="B208" s="509">
        <f>B196-B207</f>
        <v>251786653</v>
      </c>
      <c r="C208" s="509">
        <f t="shared" ref="C208:G208" si="4">C196-C207</f>
        <v>589071114</v>
      </c>
      <c r="D208" s="509">
        <f t="shared" si="4"/>
        <v>830072853</v>
      </c>
      <c r="E208" s="509">
        <f t="shared" si="4"/>
        <v>1081859506</v>
      </c>
      <c r="F208" s="509">
        <f t="shared" si="4"/>
        <v>1419143967</v>
      </c>
      <c r="G208" s="509">
        <f t="shared" si="4"/>
        <v>394972400.20269585</v>
      </c>
    </row>
    <row r="209" spans="2:7">
      <c r="B209" s="452"/>
      <c r="C209" s="452"/>
      <c r="D209" s="452"/>
      <c r="E209" s="452"/>
      <c r="F209" s="452"/>
      <c r="G209" s="452"/>
    </row>
    <row r="210" spans="2:7">
      <c r="B210" s="452"/>
      <c r="C210" s="452"/>
      <c r="D210" s="452"/>
      <c r="E210" s="452"/>
      <c r="F210" s="452"/>
      <c r="G210" s="452"/>
    </row>
    <row r="211" spans="2:7">
      <c r="B211" s="429"/>
      <c r="C211" s="429"/>
      <c r="D211" s="429"/>
      <c r="E211" s="429"/>
      <c r="F211" s="429"/>
      <c r="G211" s="429"/>
    </row>
    <row r="212" spans="2:7">
      <c r="B212" s="429"/>
      <c r="C212" s="429"/>
      <c r="D212" s="429"/>
      <c r="E212" s="429"/>
      <c r="F212" s="429"/>
      <c r="G212" s="429"/>
    </row>
    <row r="214" spans="2:7">
      <c r="B214" s="429"/>
      <c r="C214" s="429"/>
      <c r="D214" s="429"/>
      <c r="E214" s="429"/>
      <c r="F214" s="429"/>
      <c r="G214" s="429"/>
    </row>
  </sheetData>
  <mergeCells count="19">
    <mergeCell ref="L198:S198"/>
    <mergeCell ref="A2:H2"/>
    <mergeCell ref="L2:S2"/>
    <mergeCell ref="A43:H43"/>
    <mergeCell ref="L55:S55"/>
    <mergeCell ref="L57:S57"/>
    <mergeCell ref="M77:R77"/>
    <mergeCell ref="A84:H84"/>
    <mergeCell ref="L108:S108"/>
    <mergeCell ref="L110:S110"/>
    <mergeCell ref="A125:H125"/>
    <mergeCell ref="A166:H166"/>
    <mergeCell ref="A202:H202"/>
    <mergeCell ref="A199:H199"/>
    <mergeCell ref="L199:S199"/>
    <mergeCell ref="A200:H200"/>
    <mergeCell ref="L200:S200"/>
    <mergeCell ref="A201:H201"/>
    <mergeCell ref="L201:S201"/>
  </mergeCells>
  <printOptions horizontalCentered="1"/>
  <pageMargins left="0.25" right="0.25" top="0.7" bottom="1.18" header="0.25" footer="0.4"/>
  <pageSetup fitToHeight="5"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175"/>
  <sheetViews>
    <sheetView zoomScaleNormal="100" workbookViewId="0"/>
  </sheetViews>
  <sheetFormatPr defaultColWidth="8.7265625" defaultRowHeight="11.5"/>
  <cols>
    <col min="1" max="1" width="14.7265625" style="655" customWidth="1"/>
    <col min="2" max="2" width="17.7265625" style="655" customWidth="1"/>
    <col min="3" max="3" width="16.7265625" style="655" customWidth="1"/>
    <col min="4" max="4" width="15.7265625" style="655" customWidth="1"/>
    <col min="5" max="5" width="16.7265625" style="655" customWidth="1"/>
    <col min="6" max="6" width="21.54296875" style="655" bestFit="1" customWidth="1"/>
    <col min="7" max="7" width="11.7265625" style="655" customWidth="1"/>
    <col min="8" max="8" width="15.453125" style="655" bestFit="1" customWidth="1"/>
    <col min="9" max="9" width="7" style="746" bestFit="1" customWidth="1"/>
    <col min="10" max="16384" width="8.7265625" style="655"/>
  </cols>
  <sheetData>
    <row r="1" spans="1:9" s="669" customFormat="1" ht="15.5">
      <c r="A1" s="825" t="s">
        <v>822</v>
      </c>
      <c r="I1" s="855" t="s">
        <v>984</v>
      </c>
    </row>
    <row r="2" spans="1:9" s="677" customFormat="1" ht="13">
      <c r="A2" s="854" t="s">
        <v>1309</v>
      </c>
      <c r="B2" s="854"/>
      <c r="C2" s="854"/>
      <c r="D2" s="854"/>
      <c r="E2" s="854"/>
      <c r="F2" s="854"/>
      <c r="G2" s="854"/>
      <c r="H2" s="854"/>
      <c r="I2" s="772"/>
    </row>
    <row r="3" spans="1:9" s="669" customFormat="1" ht="6" customHeight="1" thickBot="1">
      <c r="A3" s="658"/>
      <c r="B3" s="657"/>
      <c r="C3" s="657"/>
      <c r="D3" s="657"/>
      <c r="E3" s="657"/>
      <c r="F3" s="657"/>
      <c r="G3" s="657"/>
      <c r="H3" s="657"/>
      <c r="I3" s="771"/>
    </row>
    <row r="4" spans="1:9" ht="12" customHeight="1">
      <c r="A4" s="777"/>
      <c r="B4" s="778"/>
      <c r="C4" s="933" t="s">
        <v>825</v>
      </c>
      <c r="D4" s="927"/>
      <c r="E4" s="927"/>
      <c r="F4" s="778"/>
      <c r="G4" s="778"/>
      <c r="H4" s="778"/>
    </row>
    <row r="5" spans="1:9" ht="24" customHeight="1">
      <c r="A5" s="1324" t="s">
        <v>21</v>
      </c>
      <c r="B5" s="1325" t="s">
        <v>1018</v>
      </c>
      <c r="C5" s="776" t="s">
        <v>830</v>
      </c>
      <c r="D5" s="776" t="s">
        <v>831</v>
      </c>
      <c r="E5" s="776" t="s">
        <v>832</v>
      </c>
      <c r="F5" s="1325" t="s">
        <v>1019</v>
      </c>
      <c r="G5" s="1325" t="s">
        <v>1017</v>
      </c>
      <c r="H5" s="1325" t="s">
        <v>1020</v>
      </c>
    </row>
    <row r="6" spans="1:9" ht="18" customHeight="1">
      <c r="A6" s="655" t="s">
        <v>50</v>
      </c>
      <c r="B6" s="1461">
        <f>IF('6.2'!E6=0,"",'6.2'!E6)</f>
        <v>4292922100</v>
      </c>
      <c r="C6" s="660">
        <v>513127800</v>
      </c>
      <c r="D6" s="660">
        <v>229719100</v>
      </c>
      <c r="E6" s="1461">
        <f>IF(SUM(C6:D6)=0,"",SUM(C6:D6))</f>
        <v>742846900</v>
      </c>
      <c r="F6" s="1462">
        <f>IFERROR(B6+E6,"")</f>
        <v>5035769000</v>
      </c>
      <c r="G6" s="1465">
        <f>IFERROR(E6/F6,"")</f>
        <v>0.14751409367665594</v>
      </c>
      <c r="H6" s="660">
        <v>4419939.0549999997</v>
      </c>
      <c r="I6" s="773"/>
    </row>
    <row r="7" spans="1:9" ht="11.25" customHeight="1">
      <c r="A7" s="655" t="s">
        <v>52</v>
      </c>
      <c r="B7" s="1463">
        <f>IF('6.2'!E7=0,"",'6.2'!E7)</f>
        <v>24425923007</v>
      </c>
      <c r="C7" s="661">
        <v>3015553600</v>
      </c>
      <c r="D7" s="661">
        <v>1039234900</v>
      </c>
      <c r="E7" s="1463">
        <f>IF(SUM(C7:D7)=0,"",SUM(C7:D7))</f>
        <v>4054788500</v>
      </c>
      <c r="F7" s="1464">
        <f>IFERROR(B7+E7,"")</f>
        <v>28480711507</v>
      </c>
      <c r="G7" s="1465">
        <f t="shared" ref="G7:G35" si="0">IFERROR(E7/F7,"")</f>
        <v>0.1423696349370841</v>
      </c>
      <c r="H7" s="661">
        <v>34627893.789999999</v>
      </c>
      <c r="I7" s="773"/>
    </row>
    <row r="8" spans="1:9" ht="11.25" customHeight="1">
      <c r="A8" s="655" t="s">
        <v>54</v>
      </c>
      <c r="B8" s="1463">
        <f>IF('6.2'!E8=0,"",'6.2'!E8)</f>
        <v>1134888700</v>
      </c>
      <c r="C8" s="661">
        <v>188319500</v>
      </c>
      <c r="D8" s="661">
        <v>105250100</v>
      </c>
      <c r="E8" s="1463">
        <f t="shared" ref="E8:E35" si="1">IF(SUM(C8:D8)=0,"",SUM(C8:D8))</f>
        <v>293569600</v>
      </c>
      <c r="F8" s="1464">
        <f t="shared" ref="F8:F35" si="2">IFERROR(B8+E8,"")</f>
        <v>1428458300</v>
      </c>
      <c r="G8" s="1465">
        <f t="shared" si="0"/>
        <v>0.20551499473243287</v>
      </c>
      <c r="H8" s="661">
        <v>2143058.08</v>
      </c>
      <c r="I8" s="773"/>
    </row>
    <row r="9" spans="1:9" ht="11.25" customHeight="1">
      <c r="A9" s="655" t="s">
        <v>56</v>
      </c>
      <c r="B9" s="1463">
        <f>IF('6.2'!E9=0,"",'6.2'!E9)</f>
        <v>1328203822</v>
      </c>
      <c r="C9" s="661">
        <v>26000400</v>
      </c>
      <c r="D9" s="661">
        <v>33231300</v>
      </c>
      <c r="E9" s="1463">
        <f t="shared" si="1"/>
        <v>59231700</v>
      </c>
      <c r="F9" s="1464">
        <f t="shared" si="2"/>
        <v>1387435522</v>
      </c>
      <c r="G9" s="1465">
        <f t="shared" si="0"/>
        <v>4.269149741432092E-2</v>
      </c>
      <c r="H9" s="661">
        <v>302081.67</v>
      </c>
      <c r="I9" s="773"/>
    </row>
    <row r="10" spans="1:9" ht="11.25" customHeight="1">
      <c r="A10" s="655" t="s">
        <v>58</v>
      </c>
      <c r="B10" s="1463">
        <f>IF('6.2'!E10=0,"",'6.2'!E10)</f>
        <v>2797867400</v>
      </c>
      <c r="C10" s="661">
        <v>245131800</v>
      </c>
      <c r="D10" s="661">
        <v>341869300</v>
      </c>
      <c r="E10" s="1463">
        <f t="shared" si="1"/>
        <v>587001100</v>
      </c>
      <c r="F10" s="1464">
        <f t="shared" si="2"/>
        <v>3384868500</v>
      </c>
      <c r="G10" s="1465">
        <f t="shared" si="0"/>
        <v>0.17341917418653044</v>
      </c>
      <c r="H10" s="661">
        <v>3580706.71</v>
      </c>
      <c r="I10" s="773"/>
    </row>
    <row r="11" spans="1:9" ht="18" customHeight="1">
      <c r="A11" s="655" t="s">
        <v>60</v>
      </c>
      <c r="B11" s="1463">
        <f>IF('6.2'!E11=0,"",'6.2'!E11)</f>
        <v>1485395900</v>
      </c>
      <c r="C11" s="661">
        <v>93440800</v>
      </c>
      <c r="D11" s="661">
        <v>87579700</v>
      </c>
      <c r="E11" s="1463">
        <f t="shared" si="1"/>
        <v>181020500</v>
      </c>
      <c r="F11" s="1464">
        <f t="shared" si="2"/>
        <v>1666416400</v>
      </c>
      <c r="G11" s="1465">
        <f t="shared" si="0"/>
        <v>0.10862861167232872</v>
      </c>
      <c r="H11" s="661">
        <v>1140429.1499999999</v>
      </c>
      <c r="I11" s="773"/>
    </row>
    <row r="12" spans="1:9" ht="11.25" customHeight="1">
      <c r="A12" s="655" t="s">
        <v>341</v>
      </c>
      <c r="B12" s="1463">
        <f>IF('6.2'!E12=0,"",'6.2'!E12)</f>
        <v>89197941100</v>
      </c>
      <c r="C12" s="661">
        <v>8668348700</v>
      </c>
      <c r="D12" s="661">
        <v>1375730700</v>
      </c>
      <c r="E12" s="1463">
        <f t="shared" si="1"/>
        <v>10044079400</v>
      </c>
      <c r="F12" s="1464">
        <f t="shared" si="2"/>
        <v>99242020500</v>
      </c>
      <c r="G12" s="1465">
        <f t="shared" si="0"/>
        <v>0.10120792935689978</v>
      </c>
      <c r="H12" s="661">
        <v>103454017.81999999</v>
      </c>
      <c r="I12" s="773"/>
    </row>
    <row r="13" spans="1:9" ht="11.25" customHeight="1">
      <c r="A13" s="655" t="s">
        <v>64</v>
      </c>
      <c r="B13" s="1463">
        <f>IF('6.2'!E13=0,"",'6.2'!E13)</f>
        <v>9002478600</v>
      </c>
      <c r="C13" s="661">
        <v>596813000</v>
      </c>
      <c r="D13" s="661">
        <v>789603200</v>
      </c>
      <c r="E13" s="1463">
        <f t="shared" si="1"/>
        <v>1386416200</v>
      </c>
      <c r="F13" s="1464">
        <f t="shared" si="2"/>
        <v>10388894800</v>
      </c>
      <c r="G13" s="1465">
        <f t="shared" si="0"/>
        <v>0.13345175080606264</v>
      </c>
      <c r="H13" s="661">
        <v>8734422.0600000005</v>
      </c>
      <c r="I13" s="773"/>
    </row>
    <row r="14" spans="1:9" ht="11.25" customHeight="1">
      <c r="A14" s="655" t="s">
        <v>66</v>
      </c>
      <c r="B14" s="1463">
        <f>IF('6.2'!E14=0,"",'6.2'!E14)</f>
        <v>890063000</v>
      </c>
      <c r="C14" s="661">
        <v>249252500</v>
      </c>
      <c r="D14" s="661">
        <v>52213600</v>
      </c>
      <c r="E14" s="1463">
        <f t="shared" si="1"/>
        <v>301466100</v>
      </c>
      <c r="F14" s="1464">
        <f t="shared" si="2"/>
        <v>1191529100</v>
      </c>
      <c r="G14" s="1465">
        <f t="shared" si="0"/>
        <v>0.25300775281107274</v>
      </c>
      <c r="H14" s="661">
        <v>1658063.55</v>
      </c>
      <c r="I14" s="773"/>
    </row>
    <row r="15" spans="1:9" ht="11.25" customHeight="1">
      <c r="A15" s="655" t="s">
        <v>809</v>
      </c>
      <c r="B15" s="1463">
        <f>IF('6.2'!E15=0,"",'6.2'!E15)</f>
        <v>10580147500</v>
      </c>
      <c r="C15" s="661">
        <v>325443300</v>
      </c>
      <c r="D15" s="661">
        <v>540478000</v>
      </c>
      <c r="E15" s="1463">
        <f t="shared" si="1"/>
        <v>865921300</v>
      </c>
      <c r="F15" s="1464">
        <f t="shared" si="2"/>
        <v>11446068800</v>
      </c>
      <c r="G15" s="1465">
        <f t="shared" si="0"/>
        <v>7.5652288583133456E-2</v>
      </c>
      <c r="H15" s="661">
        <v>4329606.5</v>
      </c>
      <c r="I15" s="773"/>
    </row>
    <row r="16" spans="1:9" ht="18" customHeight="1">
      <c r="A16" s="655" t="s">
        <v>69</v>
      </c>
      <c r="B16" s="1463">
        <f>IF('6.2'!E16=0,"",'6.2'!E16)</f>
        <v>623269900</v>
      </c>
      <c r="C16" s="661">
        <v>132279200</v>
      </c>
      <c r="D16" s="661">
        <v>29794700</v>
      </c>
      <c r="E16" s="1463">
        <f t="shared" si="1"/>
        <v>162073900</v>
      </c>
      <c r="F16" s="1464">
        <f t="shared" si="2"/>
        <v>785343800</v>
      </c>
      <c r="G16" s="1465">
        <f t="shared" si="0"/>
        <v>0.20637318331156368</v>
      </c>
      <c r="H16" s="661">
        <v>972443.4</v>
      </c>
      <c r="I16" s="773"/>
    </row>
    <row r="17" spans="1:9" ht="11.25" customHeight="1">
      <c r="A17" s="655" t="s">
        <v>71</v>
      </c>
      <c r="B17" s="1463">
        <f>IF('6.2'!E17=0,"",'6.2'!E17)</f>
        <v>4241786420</v>
      </c>
      <c r="C17" s="661">
        <v>201024500</v>
      </c>
      <c r="D17" s="661">
        <v>247726800</v>
      </c>
      <c r="E17" s="1463">
        <f t="shared" si="1"/>
        <v>448751300</v>
      </c>
      <c r="F17" s="1464">
        <f t="shared" si="2"/>
        <v>4690537720</v>
      </c>
      <c r="G17" s="1465">
        <f t="shared" si="0"/>
        <v>9.5671610972568835E-2</v>
      </c>
      <c r="H17" s="661">
        <v>3545135.27</v>
      </c>
      <c r="I17" s="773"/>
    </row>
    <row r="18" spans="1:9" ht="11.25" customHeight="1">
      <c r="A18" s="655" t="s">
        <v>73</v>
      </c>
      <c r="B18" s="1463">
        <f>IF('6.2'!E18=0,"",'6.2'!E18)</f>
        <v>1331564333</v>
      </c>
      <c r="C18" s="661">
        <v>193377800</v>
      </c>
      <c r="D18" s="661">
        <v>46583100</v>
      </c>
      <c r="E18" s="1463">
        <f t="shared" si="1"/>
        <v>239960900</v>
      </c>
      <c r="F18" s="1464">
        <f t="shared" si="2"/>
        <v>1571525233</v>
      </c>
      <c r="G18" s="1465">
        <f t="shared" si="0"/>
        <v>0.15269299847125012</v>
      </c>
      <c r="H18" s="661">
        <v>1559745.85</v>
      </c>
      <c r="I18" s="773"/>
    </row>
    <row r="19" spans="1:9" ht="11.25" customHeight="1">
      <c r="A19" s="655" t="s">
        <v>75</v>
      </c>
      <c r="B19" s="1463">
        <f>IF('6.2'!E19=0,"",'6.2'!E19)</f>
        <v>2139789591</v>
      </c>
      <c r="C19" s="661">
        <v>408482166</v>
      </c>
      <c r="D19" s="661">
        <v>120831651</v>
      </c>
      <c r="E19" s="1463">
        <f t="shared" si="1"/>
        <v>529313817</v>
      </c>
      <c r="F19" s="1464">
        <f t="shared" si="2"/>
        <v>2669103408</v>
      </c>
      <c r="G19" s="1465">
        <f t="shared" si="0"/>
        <v>0.19831146871773805</v>
      </c>
      <c r="H19" s="661">
        <v>2064323.89</v>
      </c>
      <c r="I19" s="773"/>
    </row>
    <row r="20" spans="1:9" ht="11.25" customHeight="1">
      <c r="A20" s="655" t="s">
        <v>77</v>
      </c>
      <c r="B20" s="1463">
        <f>IF('6.2'!E20=0,"",'6.2'!E20)</f>
        <v>1609158099</v>
      </c>
      <c r="C20" s="661">
        <v>235401500</v>
      </c>
      <c r="D20" s="661">
        <v>132743100</v>
      </c>
      <c r="E20" s="1463">
        <f t="shared" si="1"/>
        <v>368144600</v>
      </c>
      <c r="F20" s="1464">
        <f t="shared" si="2"/>
        <v>1977302699</v>
      </c>
      <c r="G20" s="1465">
        <f t="shared" si="0"/>
        <v>0.18618525134577787</v>
      </c>
      <c r="H20" s="661">
        <v>1914351.92</v>
      </c>
      <c r="I20" s="773"/>
    </row>
    <row r="21" spans="1:9" ht="18" customHeight="1">
      <c r="A21" s="655" t="s">
        <v>79</v>
      </c>
      <c r="B21" s="1463">
        <f>IF('6.2'!E21=0,"",'6.2'!E21)</f>
        <v>4586281448</v>
      </c>
      <c r="C21" s="661">
        <v>128800545</v>
      </c>
      <c r="D21" s="661">
        <v>332695700</v>
      </c>
      <c r="E21" s="1463">
        <f t="shared" si="1"/>
        <v>461496245</v>
      </c>
      <c r="F21" s="1464">
        <f t="shared" si="2"/>
        <v>5047777693</v>
      </c>
      <c r="G21" s="1465">
        <f t="shared" si="0"/>
        <v>9.1425627883727809E-2</v>
      </c>
      <c r="H21" s="661">
        <v>2399780.4739999999</v>
      </c>
      <c r="I21" s="773"/>
    </row>
    <row r="22" spans="1:9" ht="11.25" customHeight="1">
      <c r="A22" s="655" t="s">
        <v>81</v>
      </c>
      <c r="B22" s="1463">
        <f>IF('6.2'!E22=0,"",'6.2'!E22)</f>
        <v>3547970436</v>
      </c>
      <c r="C22" s="661">
        <v>454262600</v>
      </c>
      <c r="D22" s="661">
        <v>180776900</v>
      </c>
      <c r="E22" s="1463">
        <f t="shared" si="1"/>
        <v>635039500</v>
      </c>
      <c r="F22" s="1464">
        <f t="shared" si="2"/>
        <v>4183009936</v>
      </c>
      <c r="G22" s="1465">
        <f t="shared" si="0"/>
        <v>0.15181400707052969</v>
      </c>
      <c r="H22" s="661">
        <v>4889804.1500000004</v>
      </c>
      <c r="I22" s="773"/>
    </row>
    <row r="23" spans="1:9" ht="11.25" customHeight="1">
      <c r="A23" s="655" t="s">
        <v>83</v>
      </c>
      <c r="B23" s="1463">
        <f>IF('6.2'!E23=0,"",'6.2'!E23)</f>
        <v>2598877300</v>
      </c>
      <c r="C23" s="661">
        <v>140422700</v>
      </c>
      <c r="D23" s="661">
        <v>73241500</v>
      </c>
      <c r="E23" s="1463">
        <f t="shared" si="1"/>
        <v>213664200</v>
      </c>
      <c r="F23" s="1464">
        <f t="shared" si="2"/>
        <v>2812541500</v>
      </c>
      <c r="G23" s="1465">
        <f t="shared" si="0"/>
        <v>7.5968372377794247E-2</v>
      </c>
      <c r="H23" s="661">
        <v>1367450.88</v>
      </c>
      <c r="I23" s="773"/>
    </row>
    <row r="24" spans="1:9" ht="11.25" customHeight="1">
      <c r="A24" s="655" t="s">
        <v>85</v>
      </c>
      <c r="B24" s="1463">
        <f>IF('6.2'!E24=0,"",'6.2'!E24)</f>
        <v>881952979</v>
      </c>
      <c r="C24" s="661">
        <v>65781700</v>
      </c>
      <c r="D24" s="661">
        <v>16469300</v>
      </c>
      <c r="E24" s="1463">
        <f t="shared" si="1"/>
        <v>82251000</v>
      </c>
      <c r="F24" s="1464">
        <f t="shared" si="2"/>
        <v>964203979</v>
      </c>
      <c r="G24" s="1465">
        <f t="shared" si="0"/>
        <v>8.5304563963015959E-2</v>
      </c>
      <c r="H24" s="661">
        <v>625107.6</v>
      </c>
      <c r="I24" s="773"/>
    </row>
    <row r="25" spans="1:9" ht="11.25" customHeight="1">
      <c r="A25" s="655" t="s">
        <v>87</v>
      </c>
      <c r="B25" s="1463">
        <f>IF('6.2'!E25=0,"",'6.2'!E25)</f>
        <v>1015358066</v>
      </c>
      <c r="C25" s="661">
        <v>34942974</v>
      </c>
      <c r="D25" s="661">
        <v>66245452</v>
      </c>
      <c r="E25" s="1463">
        <f t="shared" si="1"/>
        <v>101188426</v>
      </c>
      <c r="F25" s="1464">
        <f t="shared" si="2"/>
        <v>1116546492</v>
      </c>
      <c r="G25" s="1465">
        <f t="shared" si="0"/>
        <v>9.0626254011821297E-2</v>
      </c>
      <c r="H25" s="661">
        <v>627368.24120000005</v>
      </c>
      <c r="I25" s="773"/>
    </row>
    <row r="26" spans="1:9" ht="18" customHeight="1">
      <c r="A26" s="655" t="s">
        <v>89</v>
      </c>
      <c r="B26" s="1463">
        <f>IF('6.2'!E26=0,"",'6.2'!E26)</f>
        <v>50583498900</v>
      </c>
      <c r="C26" s="661">
        <v>2687122100</v>
      </c>
      <c r="D26" s="661">
        <v>719892800</v>
      </c>
      <c r="E26" s="1463">
        <f t="shared" si="1"/>
        <v>3407014900</v>
      </c>
      <c r="F26" s="1464">
        <f t="shared" si="2"/>
        <v>53990513800</v>
      </c>
      <c r="G26" s="1465">
        <f t="shared" si="0"/>
        <v>6.3103954013491906E-2</v>
      </c>
      <c r="H26" s="661">
        <v>31344537.079999998</v>
      </c>
      <c r="I26" s="773"/>
    </row>
    <row r="27" spans="1:9" ht="11.25" customHeight="1">
      <c r="A27" s="655" t="s">
        <v>91</v>
      </c>
      <c r="B27" s="1463">
        <f>IF('6.2'!E27=0,"",'6.2'!E27)</f>
        <v>2513963000</v>
      </c>
      <c r="C27" s="661">
        <v>71868100</v>
      </c>
      <c r="D27" s="661">
        <v>115774600</v>
      </c>
      <c r="E27" s="1463">
        <f t="shared" si="1"/>
        <v>187642700</v>
      </c>
      <c r="F27" s="1464">
        <f t="shared" si="2"/>
        <v>2701605700</v>
      </c>
      <c r="G27" s="1465">
        <f t="shared" si="0"/>
        <v>6.9455990561464981E-2</v>
      </c>
      <c r="H27" s="661">
        <v>1144620.47</v>
      </c>
      <c r="I27" s="773"/>
    </row>
    <row r="28" spans="1:9" ht="11.25" customHeight="1">
      <c r="A28" s="655" t="s">
        <v>93</v>
      </c>
      <c r="B28" s="1463">
        <f>IF('6.2'!E28=0,"",'6.2'!E28)</f>
        <v>529214700</v>
      </c>
      <c r="C28" s="661">
        <v>94965700</v>
      </c>
      <c r="D28" s="661">
        <v>30866300</v>
      </c>
      <c r="E28" s="1463">
        <f t="shared" si="1"/>
        <v>125832000</v>
      </c>
      <c r="F28" s="1464">
        <f t="shared" si="2"/>
        <v>655046700</v>
      </c>
      <c r="G28" s="1465">
        <f t="shared" si="0"/>
        <v>0.19209622764300621</v>
      </c>
      <c r="H28" s="661">
        <v>792741.6</v>
      </c>
      <c r="I28" s="773"/>
    </row>
    <row r="29" spans="1:9" ht="11.25" customHeight="1">
      <c r="A29" s="655" t="s">
        <v>95</v>
      </c>
      <c r="B29" s="1463">
        <f>IF('6.2'!E29=0,"",'6.2'!E29)</f>
        <v>7068298728</v>
      </c>
      <c r="C29" s="661">
        <v>303566600</v>
      </c>
      <c r="D29" s="661">
        <v>320030300</v>
      </c>
      <c r="E29" s="1463">
        <f t="shared" si="1"/>
        <v>623596900</v>
      </c>
      <c r="F29" s="1464">
        <f t="shared" si="2"/>
        <v>7691895628</v>
      </c>
      <c r="G29" s="1465">
        <f t="shared" si="0"/>
        <v>8.1071939890861977E-2</v>
      </c>
      <c r="H29" s="661">
        <v>3429782.95</v>
      </c>
      <c r="I29" s="773"/>
    </row>
    <row r="30" spans="1:9" ht="11.25" customHeight="1">
      <c r="A30" s="655" t="s">
        <v>97</v>
      </c>
      <c r="B30" s="1463">
        <f>IF('6.2'!E30=0,"",'6.2'!E30)</f>
        <v>979529510</v>
      </c>
      <c r="C30" s="661">
        <v>64822760</v>
      </c>
      <c r="D30" s="661">
        <v>74754420</v>
      </c>
      <c r="E30" s="1463">
        <f t="shared" si="1"/>
        <v>139577180</v>
      </c>
      <c r="F30" s="1464">
        <f t="shared" si="2"/>
        <v>1119106690</v>
      </c>
      <c r="G30" s="1465">
        <f t="shared" si="0"/>
        <v>0.12472196015555943</v>
      </c>
      <c r="H30" s="661">
        <v>1046828.85</v>
      </c>
      <c r="I30" s="773"/>
    </row>
    <row r="31" spans="1:9" ht="18" customHeight="1">
      <c r="A31" s="655" t="s">
        <v>99</v>
      </c>
      <c r="B31" s="1463">
        <f>IF('6.2'!E31=0,"",'6.2'!E31)</f>
        <v>1229752177</v>
      </c>
      <c r="C31" s="661">
        <v>163835500</v>
      </c>
      <c r="D31" s="661">
        <v>47145200</v>
      </c>
      <c r="E31" s="1463">
        <f t="shared" si="1"/>
        <v>210980700</v>
      </c>
      <c r="F31" s="1464">
        <f t="shared" si="2"/>
        <v>1440732877</v>
      </c>
      <c r="G31" s="1465">
        <f t="shared" si="0"/>
        <v>0.14643984555924033</v>
      </c>
      <c r="H31" s="661">
        <v>1265884.2</v>
      </c>
      <c r="I31" s="773"/>
    </row>
    <row r="32" spans="1:9" ht="11.25" customHeight="1">
      <c r="A32" s="655" t="s">
        <v>407</v>
      </c>
      <c r="B32" s="1463">
        <f>IF('6.2'!E32=0,"",'6.2'!E32)</f>
        <v>2843337914</v>
      </c>
      <c r="C32" s="661">
        <v>219237300</v>
      </c>
      <c r="D32" s="661">
        <v>179564300</v>
      </c>
      <c r="E32" s="1463">
        <f t="shared" si="1"/>
        <v>398801600</v>
      </c>
      <c r="F32" s="1464">
        <f t="shared" si="2"/>
        <v>3242139514</v>
      </c>
      <c r="G32" s="1465">
        <f t="shared" si="0"/>
        <v>0.12300568753377836</v>
      </c>
      <c r="H32" s="661">
        <v>3150532.64</v>
      </c>
      <c r="I32" s="773"/>
    </row>
    <row r="33" spans="1:9" ht="11.25" customHeight="1">
      <c r="A33" s="655" t="s">
        <v>103</v>
      </c>
      <c r="B33" s="1463">
        <f>IF('6.2'!E33=0,"",'6.2'!E33)</f>
        <v>1620771875</v>
      </c>
      <c r="C33" s="661">
        <v>35310568</v>
      </c>
      <c r="D33" s="661">
        <v>76950688</v>
      </c>
      <c r="E33" s="1463">
        <f t="shared" si="1"/>
        <v>112261256</v>
      </c>
      <c r="F33" s="1464">
        <f t="shared" si="2"/>
        <v>1733033131</v>
      </c>
      <c r="G33" s="1465">
        <f t="shared" si="0"/>
        <v>6.4777328252935751E-2</v>
      </c>
      <c r="H33" s="661">
        <v>819507.16879999998</v>
      </c>
      <c r="I33" s="773"/>
    </row>
    <row r="34" spans="1:9" ht="11.25" customHeight="1">
      <c r="A34" s="655" t="s">
        <v>105</v>
      </c>
      <c r="B34" s="1463">
        <f>IF('6.2'!E34=0,"",'6.2'!E34)</f>
        <v>295770449300</v>
      </c>
      <c r="C34" s="661">
        <v>15597039910</v>
      </c>
      <c r="D34" s="661">
        <v>5646397060</v>
      </c>
      <c r="E34" s="1463">
        <f t="shared" si="1"/>
        <v>21243436970</v>
      </c>
      <c r="F34" s="1464">
        <f t="shared" si="2"/>
        <v>317013886270</v>
      </c>
      <c r="G34" s="1465">
        <f t="shared" si="0"/>
        <v>6.7011061313279552E-2</v>
      </c>
      <c r="H34" s="661">
        <v>235802150.36700001</v>
      </c>
      <c r="I34" s="773"/>
    </row>
    <row r="35" spans="1:9" ht="11.25" customHeight="1">
      <c r="A35" s="655" t="s">
        <v>107</v>
      </c>
      <c r="B35" s="1463">
        <f>IF('6.2'!E35=0,"",'6.2'!E35)</f>
        <v>16884504600</v>
      </c>
      <c r="C35" s="661">
        <v>784562500</v>
      </c>
      <c r="D35" s="661">
        <v>328439600</v>
      </c>
      <c r="E35" s="1463">
        <f t="shared" si="1"/>
        <v>1113002100</v>
      </c>
      <c r="F35" s="1464">
        <f t="shared" si="2"/>
        <v>17997506700</v>
      </c>
      <c r="G35" s="1465">
        <f t="shared" si="0"/>
        <v>6.1842016149937035E-2</v>
      </c>
      <c r="H35" s="661">
        <v>10050408.963</v>
      </c>
      <c r="I35" s="773"/>
    </row>
    <row r="36" spans="1:9" ht="15.5">
      <c r="A36" s="825" t="s">
        <v>834</v>
      </c>
      <c r="B36" s="669"/>
      <c r="C36" s="669"/>
      <c r="D36" s="669"/>
      <c r="E36" s="669"/>
      <c r="F36" s="928"/>
      <c r="G36" s="669"/>
      <c r="H36" s="669"/>
    </row>
    <row r="37" spans="1:9" s="647" customFormat="1" ht="13">
      <c r="A37" s="854" t="str">
        <f>A2</f>
        <v>Comparison of Tax Exempt Value to Total Fair Market Value (FMV) of Real Estate by Locality - Tax Year 2022</v>
      </c>
      <c r="B37" s="854"/>
      <c r="C37" s="854"/>
      <c r="D37" s="854"/>
      <c r="E37" s="854"/>
      <c r="F37" s="929"/>
      <c r="G37" s="854"/>
      <c r="H37" s="854"/>
      <c r="I37" s="774"/>
    </row>
    <row r="38" spans="1:9" s="669" customFormat="1" ht="6" customHeight="1" thickBot="1">
      <c r="A38" s="658"/>
      <c r="B38" s="657"/>
      <c r="C38" s="657"/>
      <c r="D38" s="657"/>
      <c r="E38" s="657"/>
      <c r="F38" s="657"/>
      <c r="G38" s="657"/>
      <c r="H38" s="657"/>
      <c r="I38" s="771"/>
    </row>
    <row r="39" spans="1:9" ht="12" customHeight="1">
      <c r="A39" s="777"/>
      <c r="B39" s="778"/>
      <c r="C39" s="933" t="s">
        <v>825</v>
      </c>
      <c r="D39" s="927"/>
      <c r="E39" s="927"/>
      <c r="F39" s="778"/>
      <c r="G39" s="778"/>
      <c r="H39" s="778"/>
    </row>
    <row r="40" spans="1:9" ht="24" customHeight="1">
      <c r="A40" s="1324" t="s">
        <v>21</v>
      </c>
      <c r="B40" s="1325" t="s">
        <v>1018</v>
      </c>
      <c r="C40" s="776" t="s">
        <v>830</v>
      </c>
      <c r="D40" s="776" t="s">
        <v>831</v>
      </c>
      <c r="E40" s="776" t="s">
        <v>832</v>
      </c>
      <c r="F40" s="1325" t="s">
        <v>1019</v>
      </c>
      <c r="G40" s="1325" t="s">
        <v>1017</v>
      </c>
      <c r="H40" s="1325" t="s">
        <v>1020</v>
      </c>
    </row>
    <row r="41" spans="1:9" ht="18" customHeight="1">
      <c r="A41" s="655" t="s">
        <v>109</v>
      </c>
      <c r="B41" s="1461">
        <f>IF('6.2'!E41=0,"",'6.2'!E41)</f>
        <v>1923828100</v>
      </c>
      <c r="C41" s="660">
        <v>105858700</v>
      </c>
      <c r="D41" s="660">
        <v>36564100</v>
      </c>
      <c r="E41" s="1461">
        <f t="shared" ref="E41:E70" si="3">IF(SUM(C41:D41)=0,"",SUM(C41:D41))</f>
        <v>142422800</v>
      </c>
      <c r="F41" s="1462">
        <f t="shared" ref="F41:F70" si="4">IFERROR(B41+E41,"")</f>
        <v>2066250900</v>
      </c>
      <c r="G41" s="1465">
        <f t="shared" ref="G41:G70" si="5">IFERROR(E41/F41,"")</f>
        <v>6.8928124846793781E-2</v>
      </c>
      <c r="H41" s="660">
        <v>925748.2</v>
      </c>
      <c r="I41" s="773"/>
    </row>
    <row r="42" spans="1:9" ht="11.25" customHeight="1">
      <c r="A42" s="655" t="s">
        <v>111</v>
      </c>
      <c r="B42" s="1463">
        <f>IF('6.2'!E42=0,"",'6.2'!E42)</f>
        <v>3257485827</v>
      </c>
      <c r="C42" s="661">
        <v>155912300</v>
      </c>
      <c r="D42" s="661">
        <v>161106400</v>
      </c>
      <c r="E42" s="1463">
        <f t="shared" si="3"/>
        <v>317018700</v>
      </c>
      <c r="F42" s="1464">
        <f t="shared" si="4"/>
        <v>3574504527</v>
      </c>
      <c r="G42" s="1465">
        <f t="shared" si="5"/>
        <v>8.8688851169553995E-2</v>
      </c>
      <c r="H42" s="661">
        <v>2758062.69</v>
      </c>
      <c r="I42" s="773"/>
    </row>
    <row r="43" spans="1:9" ht="11.25" customHeight="1">
      <c r="A43" s="655" t="s">
        <v>24</v>
      </c>
      <c r="B43" s="1463">
        <f>IF('6.2'!E43=0,"",'6.2'!E43)</f>
        <v>7658086100</v>
      </c>
      <c r="C43" s="661">
        <v>114270400</v>
      </c>
      <c r="D43" s="661">
        <v>415658000</v>
      </c>
      <c r="E43" s="1463">
        <f t="shared" si="3"/>
        <v>529928400</v>
      </c>
      <c r="F43" s="1464">
        <f t="shared" si="4"/>
        <v>8188014500</v>
      </c>
      <c r="G43" s="1465">
        <f t="shared" si="5"/>
        <v>6.4720012403495383E-2</v>
      </c>
      <c r="H43" s="661">
        <v>3232563.24</v>
      </c>
      <c r="I43" s="773"/>
    </row>
    <row r="44" spans="1:9" ht="11.25" customHeight="1">
      <c r="A44" s="655" t="s">
        <v>426</v>
      </c>
      <c r="B44" s="1463">
        <f>IF('6.2'!E44=0,"",'6.2'!E44)</f>
        <v>15485850300</v>
      </c>
      <c r="C44" s="661">
        <v>388098500</v>
      </c>
      <c r="D44" s="661">
        <v>980451700</v>
      </c>
      <c r="E44" s="1463">
        <f t="shared" si="3"/>
        <v>1368550200</v>
      </c>
      <c r="F44" s="1464">
        <f t="shared" si="4"/>
        <v>16854400500</v>
      </c>
      <c r="G44" s="1465">
        <f t="shared" si="5"/>
        <v>8.119839088907374E-2</v>
      </c>
      <c r="H44" s="661">
        <v>6979606.0199999996</v>
      </c>
      <c r="I44" s="773"/>
    </row>
    <row r="45" spans="1:9" ht="11.25" customHeight="1">
      <c r="A45" s="655" t="s">
        <v>116</v>
      </c>
      <c r="B45" s="1463">
        <f>IF('6.2'!E45=0,"",'6.2'!E45)</f>
        <v>1293043800</v>
      </c>
      <c r="C45" s="661">
        <v>77780500</v>
      </c>
      <c r="D45" s="661">
        <v>71624500</v>
      </c>
      <c r="E45" s="1463">
        <f t="shared" si="3"/>
        <v>149405000</v>
      </c>
      <c r="F45" s="1464">
        <f t="shared" si="4"/>
        <v>1442448800</v>
      </c>
      <c r="G45" s="1465">
        <f t="shared" si="5"/>
        <v>0.10357733321279756</v>
      </c>
      <c r="H45" s="661">
        <v>1015954</v>
      </c>
      <c r="I45" s="773"/>
    </row>
    <row r="46" spans="1:9" ht="18" customHeight="1">
      <c r="A46" s="655" t="s">
        <v>51</v>
      </c>
      <c r="B46" s="1463">
        <f>IF('6.2'!E46=0,"",'6.2'!E46)</f>
        <v>4867276815</v>
      </c>
      <c r="C46" s="661">
        <v>254203976</v>
      </c>
      <c r="D46" s="661">
        <v>166157930</v>
      </c>
      <c r="E46" s="1463">
        <f t="shared" si="3"/>
        <v>420361906</v>
      </c>
      <c r="F46" s="1464">
        <f t="shared" si="4"/>
        <v>5287638721</v>
      </c>
      <c r="G46" s="1465">
        <f t="shared" si="5"/>
        <v>7.949898398514281E-2</v>
      </c>
      <c r="H46" s="661">
        <v>3047623.8185000001</v>
      </c>
      <c r="I46" s="773"/>
    </row>
    <row r="47" spans="1:9" ht="11.25" customHeight="1">
      <c r="A47" s="655" t="s">
        <v>53</v>
      </c>
      <c r="B47" s="1463">
        <f>IF('6.2'!E47=0,"",'6.2'!E47)</f>
        <v>7666825100</v>
      </c>
      <c r="C47" s="661">
        <v>162409800</v>
      </c>
      <c r="D47" s="661">
        <v>259596900</v>
      </c>
      <c r="E47" s="1463">
        <f t="shared" si="3"/>
        <v>422006700</v>
      </c>
      <c r="F47" s="1464">
        <f t="shared" si="4"/>
        <v>8088831800</v>
      </c>
      <c r="G47" s="1465">
        <f t="shared" si="5"/>
        <v>5.2171526177611949E-2</v>
      </c>
      <c r="H47" s="661">
        <v>2236635.5099999998</v>
      </c>
      <c r="I47" s="773"/>
    </row>
    <row r="48" spans="1:9" ht="11.25" customHeight="1">
      <c r="A48" s="655" t="s">
        <v>55</v>
      </c>
      <c r="B48" s="1463">
        <f>IF('6.2'!E48=0,"",'6.2'!E48)</f>
        <v>1883256400</v>
      </c>
      <c r="C48" s="661">
        <v>133442500</v>
      </c>
      <c r="D48" s="661">
        <v>110917900</v>
      </c>
      <c r="E48" s="1463">
        <f t="shared" si="3"/>
        <v>244360400</v>
      </c>
      <c r="F48" s="1464">
        <f t="shared" si="4"/>
        <v>2127616800</v>
      </c>
      <c r="G48" s="1465">
        <f t="shared" si="5"/>
        <v>0.11485169697851606</v>
      </c>
      <c r="H48" s="661">
        <v>1319546.1599999999</v>
      </c>
      <c r="I48" s="773"/>
    </row>
    <row r="49" spans="1:9" ht="11.25" customHeight="1">
      <c r="A49" s="655" t="s">
        <v>57</v>
      </c>
      <c r="B49" s="1463">
        <f>IF('6.2'!E49=0,"",'6.2'!E49)</f>
        <v>2546852149</v>
      </c>
      <c r="C49" s="661">
        <v>129023000</v>
      </c>
      <c r="D49" s="661">
        <v>134456596</v>
      </c>
      <c r="E49" s="1463">
        <f t="shared" si="3"/>
        <v>263479596</v>
      </c>
      <c r="F49" s="1464">
        <f t="shared" si="4"/>
        <v>2810331745</v>
      </c>
      <c r="G49" s="1465">
        <f t="shared" si="5"/>
        <v>9.3753912316141885E-2</v>
      </c>
      <c r="H49" s="661">
        <v>2160533</v>
      </c>
      <c r="I49" s="773"/>
    </row>
    <row r="50" spans="1:9" ht="11.25" customHeight="1">
      <c r="A50" s="655" t="s">
        <v>59</v>
      </c>
      <c r="B50" s="1463">
        <f>IF('6.2'!E50=0,"",'6.2'!E50)</f>
        <v>659736040</v>
      </c>
      <c r="C50" s="661">
        <v>542437900</v>
      </c>
      <c r="D50" s="661">
        <v>29761200</v>
      </c>
      <c r="E50" s="1463">
        <f t="shared" si="3"/>
        <v>572199100</v>
      </c>
      <c r="F50" s="1464">
        <f t="shared" si="4"/>
        <v>1231935140</v>
      </c>
      <c r="G50" s="1465">
        <f t="shared" si="5"/>
        <v>0.46447177405784529</v>
      </c>
      <c r="H50" s="661">
        <v>3833733.97</v>
      </c>
      <c r="I50" s="773"/>
    </row>
    <row r="51" spans="1:9" ht="18" customHeight="1">
      <c r="A51" s="655" t="s">
        <v>318</v>
      </c>
      <c r="B51" s="1463">
        <f>IF('6.2'!E51=0,"",'6.2'!E51)</f>
        <v>2920381024</v>
      </c>
      <c r="C51" s="661">
        <v>186320054</v>
      </c>
      <c r="D51" s="661">
        <v>262158655</v>
      </c>
      <c r="E51" s="1463">
        <f t="shared" si="3"/>
        <v>448478709</v>
      </c>
      <c r="F51" s="1464">
        <f t="shared" si="4"/>
        <v>3368859733</v>
      </c>
      <c r="G51" s="1465">
        <f t="shared" si="5"/>
        <v>0.13312477946376997</v>
      </c>
      <c r="H51" s="661">
        <v>2242393.5449999999</v>
      </c>
      <c r="I51" s="773"/>
    </row>
    <row r="52" spans="1:9" ht="11.25" customHeight="1">
      <c r="A52" s="655" t="s">
        <v>63</v>
      </c>
      <c r="B52" s="1463">
        <f>IF('6.2'!E52=0,"",'6.2'!E52)</f>
        <v>20983845534</v>
      </c>
      <c r="C52" s="661">
        <v>1439541901</v>
      </c>
      <c r="D52" s="661">
        <v>539174040</v>
      </c>
      <c r="E52" s="1463">
        <f t="shared" si="3"/>
        <v>1978715941</v>
      </c>
      <c r="F52" s="1464">
        <f t="shared" si="4"/>
        <v>22962561475</v>
      </c>
      <c r="G52" s="1465">
        <f t="shared" si="5"/>
        <v>8.6171394387088956E-2</v>
      </c>
      <c r="H52" s="661">
        <v>16027599.122099999</v>
      </c>
      <c r="I52" s="773"/>
    </row>
    <row r="53" spans="1:9" ht="11.25" customHeight="1">
      <c r="A53" s="655" t="s">
        <v>65</v>
      </c>
      <c r="B53" s="1463">
        <f>IF('6.2'!E53=0,"",'6.2'!E53)</f>
        <v>50031401100</v>
      </c>
      <c r="C53" s="661">
        <v>2789541300</v>
      </c>
      <c r="D53" s="661">
        <v>1663582300</v>
      </c>
      <c r="E53" s="1463">
        <f t="shared" si="3"/>
        <v>4453123600</v>
      </c>
      <c r="F53" s="1464">
        <f t="shared" si="4"/>
        <v>54484524700</v>
      </c>
      <c r="G53" s="1465">
        <f t="shared" si="5"/>
        <v>8.1731897718105628E-2</v>
      </c>
      <c r="H53" s="661">
        <v>37851550.600000001</v>
      </c>
      <c r="I53" s="773"/>
    </row>
    <row r="54" spans="1:9" ht="11.25" customHeight="1">
      <c r="A54" s="655" t="s">
        <v>67</v>
      </c>
      <c r="B54" s="1463">
        <f>IF('6.2'!E54=0,"",'6.2'!E54)</f>
        <v>3034765112</v>
      </c>
      <c r="C54" s="661">
        <v>282007000</v>
      </c>
      <c r="D54" s="661">
        <v>372861580</v>
      </c>
      <c r="E54" s="1463">
        <f t="shared" si="3"/>
        <v>654868580</v>
      </c>
      <c r="F54" s="1464">
        <f t="shared" si="4"/>
        <v>3689633692</v>
      </c>
      <c r="G54" s="1465">
        <f t="shared" si="5"/>
        <v>0.17748877928448839</v>
      </c>
      <c r="H54" s="661">
        <v>3634523.41</v>
      </c>
      <c r="I54" s="773"/>
    </row>
    <row r="55" spans="1:9" ht="11.25" customHeight="1">
      <c r="A55" s="655" t="s">
        <v>334</v>
      </c>
      <c r="B55" s="1463">
        <f>IF('6.2'!E55=0,"",'6.2'!E55)</f>
        <v>677524200</v>
      </c>
      <c r="C55" s="661">
        <v>61293000</v>
      </c>
      <c r="D55" s="661">
        <v>25405900</v>
      </c>
      <c r="E55" s="1463">
        <f t="shared" si="3"/>
        <v>86698900</v>
      </c>
      <c r="F55" s="1464">
        <f t="shared" si="4"/>
        <v>764223100</v>
      </c>
      <c r="G55" s="1465">
        <f t="shared" si="5"/>
        <v>0.11344710726488116</v>
      </c>
      <c r="H55" s="661">
        <v>416154.72</v>
      </c>
      <c r="I55" s="773"/>
    </row>
    <row r="56" spans="1:9" ht="18" customHeight="1">
      <c r="A56" s="655" t="s">
        <v>70</v>
      </c>
      <c r="B56" s="1463">
        <f>IF('6.2'!E56=0,"",'6.2'!E56)</f>
        <v>5208535386</v>
      </c>
      <c r="C56" s="661">
        <v>116177100</v>
      </c>
      <c r="D56" s="661">
        <v>229204000</v>
      </c>
      <c r="E56" s="1463">
        <f t="shared" si="3"/>
        <v>345381100</v>
      </c>
      <c r="F56" s="1464">
        <f t="shared" si="4"/>
        <v>5553916486</v>
      </c>
      <c r="G56" s="1465">
        <f t="shared" si="5"/>
        <v>6.2186945171144946E-2</v>
      </c>
      <c r="H56" s="661">
        <v>2935739.35</v>
      </c>
      <c r="I56" s="773"/>
    </row>
    <row r="57" spans="1:9" ht="11.25" customHeight="1">
      <c r="A57" s="655" t="s">
        <v>342</v>
      </c>
      <c r="B57" s="1463">
        <f>IF('6.2'!E57=0,"",'6.2'!E57)</f>
        <v>14049040500</v>
      </c>
      <c r="C57" s="661">
        <v>595086900</v>
      </c>
      <c r="D57" s="661">
        <v>163576300</v>
      </c>
      <c r="E57" s="1463">
        <f t="shared" si="3"/>
        <v>758663200</v>
      </c>
      <c r="F57" s="1464">
        <f t="shared" si="4"/>
        <v>14807703700</v>
      </c>
      <c r="G57" s="1465">
        <f t="shared" si="5"/>
        <v>5.1234358504890935E-2</v>
      </c>
      <c r="H57" s="661">
        <v>6296904.5599999996</v>
      </c>
      <c r="I57" s="773"/>
    </row>
    <row r="58" spans="1:9" ht="11.25" customHeight="1">
      <c r="A58" s="655" t="s">
        <v>74</v>
      </c>
      <c r="B58" s="1463">
        <f>IF('6.2'!E58=0,"",'6.2'!E58)</f>
        <v>919221200</v>
      </c>
      <c r="C58" s="661">
        <v>27116800</v>
      </c>
      <c r="D58" s="661">
        <v>41577500</v>
      </c>
      <c r="E58" s="1463">
        <f t="shared" si="3"/>
        <v>68694300</v>
      </c>
      <c r="F58" s="1464">
        <f t="shared" si="4"/>
        <v>987915500</v>
      </c>
      <c r="G58" s="1465">
        <f t="shared" si="5"/>
        <v>6.9534590762064169E-2</v>
      </c>
      <c r="H58" s="661">
        <v>377818.65</v>
      </c>
      <c r="I58" s="773"/>
    </row>
    <row r="59" spans="1:9" ht="11.25" customHeight="1">
      <c r="A59" s="655" t="s">
        <v>76</v>
      </c>
      <c r="B59" s="1463">
        <f>IF('6.2'!E59=0,"",'6.2'!E59)</f>
        <v>4181377731</v>
      </c>
      <c r="C59" s="661">
        <v>1203048200</v>
      </c>
      <c r="D59" s="661">
        <v>74303200</v>
      </c>
      <c r="E59" s="1463">
        <f t="shared" si="3"/>
        <v>1277351400</v>
      </c>
      <c r="F59" s="1464">
        <f t="shared" si="4"/>
        <v>5458729131</v>
      </c>
      <c r="G59" s="1465">
        <f t="shared" si="5"/>
        <v>0.23400160904594994</v>
      </c>
      <c r="H59" s="661">
        <v>8175048.96</v>
      </c>
      <c r="I59" s="773"/>
    </row>
    <row r="60" spans="1:9" ht="11.25" customHeight="1">
      <c r="A60" s="655" t="s">
        <v>354</v>
      </c>
      <c r="B60" s="1463">
        <f>IF('6.2'!E60=0,"",'6.2'!E60)</f>
        <v>1498578707</v>
      </c>
      <c r="C60" s="661">
        <v>40777179</v>
      </c>
      <c r="D60" s="661">
        <v>44119641</v>
      </c>
      <c r="E60" s="1463">
        <f t="shared" si="3"/>
        <v>84896820</v>
      </c>
      <c r="F60" s="1464">
        <f t="shared" si="4"/>
        <v>1583475527</v>
      </c>
      <c r="G60" s="1465">
        <f t="shared" si="5"/>
        <v>5.361422930283153E-2</v>
      </c>
      <c r="H60" s="661">
        <v>708888.44700000004</v>
      </c>
      <c r="I60" s="773"/>
    </row>
    <row r="61" spans="1:9" ht="18" customHeight="1">
      <c r="A61" s="655" t="s">
        <v>80</v>
      </c>
      <c r="B61" s="1463">
        <f>IF('6.2'!E61=0,"",'6.2'!E61)</f>
        <v>2721640800</v>
      </c>
      <c r="C61" s="661">
        <v>48258200</v>
      </c>
      <c r="D61" s="661">
        <v>77671000</v>
      </c>
      <c r="E61" s="1463">
        <f t="shared" si="3"/>
        <v>125929200</v>
      </c>
      <c r="F61" s="1464">
        <f t="shared" si="4"/>
        <v>2847570000</v>
      </c>
      <c r="G61" s="1465">
        <f t="shared" si="5"/>
        <v>4.4223390469768961E-2</v>
      </c>
      <c r="H61" s="661">
        <v>793353.96</v>
      </c>
      <c r="I61" s="773"/>
    </row>
    <row r="62" spans="1:9" ht="11.25" customHeight="1">
      <c r="A62" s="655" t="s">
        <v>82</v>
      </c>
      <c r="B62" s="1463">
        <f>IF('6.2'!E62=0,"",'6.2'!E62)</f>
        <v>973754382</v>
      </c>
      <c r="C62" s="661">
        <v>152643978</v>
      </c>
      <c r="D62" s="661">
        <v>93492000</v>
      </c>
      <c r="E62" s="1463">
        <f t="shared" si="3"/>
        <v>246135978</v>
      </c>
      <c r="F62" s="1464">
        <f t="shared" si="4"/>
        <v>1219890360</v>
      </c>
      <c r="G62" s="1465">
        <f t="shared" si="5"/>
        <v>0.20176893438193905</v>
      </c>
      <c r="H62" s="661">
        <v>1522843.2959</v>
      </c>
      <c r="I62" s="773"/>
    </row>
    <row r="63" spans="1:9" ht="11.25" customHeight="1">
      <c r="A63" s="655" t="s">
        <v>84</v>
      </c>
      <c r="B63" s="1463">
        <f>IF('6.2'!E63=0,"",'6.2'!E63)</f>
        <v>114882750460</v>
      </c>
      <c r="C63" s="661">
        <v>6199682900</v>
      </c>
      <c r="D63" s="661">
        <v>2214384030</v>
      </c>
      <c r="E63" s="1463">
        <f t="shared" si="3"/>
        <v>8414066930</v>
      </c>
      <c r="F63" s="1464">
        <f t="shared" si="4"/>
        <v>123296817390</v>
      </c>
      <c r="G63" s="1465">
        <f t="shared" si="5"/>
        <v>6.8242369171504863E-2</v>
      </c>
      <c r="H63" s="661">
        <v>74885195.677000001</v>
      </c>
      <c r="I63" s="773"/>
    </row>
    <row r="64" spans="1:9" ht="11.25" customHeight="1">
      <c r="A64" s="655" t="s">
        <v>86</v>
      </c>
      <c r="B64" s="1463">
        <f>IF('6.2'!E64=0,"",'6.2'!E64)</f>
        <v>7058844400</v>
      </c>
      <c r="C64" s="661">
        <v>66599400</v>
      </c>
      <c r="D64" s="661">
        <v>124907700</v>
      </c>
      <c r="E64" s="1463">
        <f t="shared" si="3"/>
        <v>191507100</v>
      </c>
      <c r="F64" s="1464">
        <f t="shared" si="4"/>
        <v>7250351500</v>
      </c>
      <c r="G64" s="1465">
        <f t="shared" si="5"/>
        <v>2.6413491814845116E-2</v>
      </c>
      <c r="H64" s="661">
        <v>1378851.12</v>
      </c>
      <c r="I64" s="773"/>
    </row>
    <row r="65" spans="1:9" ht="11.25" customHeight="1">
      <c r="A65" s="655" t="s">
        <v>88</v>
      </c>
      <c r="B65" s="1463">
        <f>IF('6.2'!E65=0,"",'6.2'!E65)</f>
        <v>946918700</v>
      </c>
      <c r="C65" s="661">
        <v>45256300</v>
      </c>
      <c r="D65" s="661">
        <v>52813000</v>
      </c>
      <c r="E65" s="1463">
        <f t="shared" si="3"/>
        <v>98069300</v>
      </c>
      <c r="F65" s="1464">
        <f t="shared" si="4"/>
        <v>1044988000</v>
      </c>
      <c r="G65" s="1465">
        <f t="shared" si="5"/>
        <v>9.384729776801265E-2</v>
      </c>
      <c r="H65" s="661">
        <v>372663.34</v>
      </c>
      <c r="I65" s="773"/>
    </row>
    <row r="66" spans="1:9" ht="18" customHeight="1">
      <c r="A66" s="655" t="s">
        <v>90</v>
      </c>
      <c r="B66" s="1463">
        <f>IF('6.2'!E66=0,"",'6.2'!E66)</f>
        <v>2357485300</v>
      </c>
      <c r="C66" s="661">
        <v>107365600</v>
      </c>
      <c r="D66" s="661">
        <v>241672800</v>
      </c>
      <c r="E66" s="1463">
        <f t="shared" si="3"/>
        <v>349038400</v>
      </c>
      <c r="F66" s="1464">
        <f t="shared" si="4"/>
        <v>2706523700</v>
      </c>
      <c r="G66" s="1465">
        <f t="shared" si="5"/>
        <v>0.12896188568383865</v>
      </c>
      <c r="H66" s="661">
        <v>2582884.16</v>
      </c>
      <c r="I66" s="773"/>
    </row>
    <row r="67" spans="1:9" ht="11.25" customHeight="1">
      <c r="A67" s="655" t="s">
        <v>92</v>
      </c>
      <c r="B67" s="1463">
        <f>IF('6.2'!E67=0,"",'6.2'!E67)</f>
        <v>1645487500</v>
      </c>
      <c r="C67" s="661">
        <v>13972000</v>
      </c>
      <c r="D67" s="661">
        <v>58772300</v>
      </c>
      <c r="E67" s="1463">
        <f t="shared" si="3"/>
        <v>72744300</v>
      </c>
      <c r="F67" s="1464">
        <f t="shared" si="4"/>
        <v>1718231800</v>
      </c>
      <c r="G67" s="1465">
        <f t="shared" si="5"/>
        <v>4.2336720807984111E-2</v>
      </c>
      <c r="H67" s="661">
        <v>465563.52</v>
      </c>
      <c r="I67" s="773"/>
    </row>
    <row r="68" spans="1:9" ht="11.25" customHeight="1">
      <c r="A68" s="655" t="s">
        <v>94</v>
      </c>
      <c r="B68" s="1463">
        <f>IF('6.2'!E68=0,"",'6.2'!E68)</f>
        <v>4973113600</v>
      </c>
      <c r="C68" s="661">
        <v>229104800</v>
      </c>
      <c r="D68" s="661">
        <v>209062900</v>
      </c>
      <c r="E68" s="1463">
        <f t="shared" si="3"/>
        <v>438167700</v>
      </c>
      <c r="F68" s="1464">
        <f t="shared" si="4"/>
        <v>5411281300</v>
      </c>
      <c r="G68" s="1465">
        <f t="shared" si="5"/>
        <v>8.0973003565717419E-2</v>
      </c>
      <c r="H68" s="661">
        <v>1840304.34</v>
      </c>
      <c r="I68" s="773"/>
    </row>
    <row r="69" spans="1:9" ht="11.25" customHeight="1">
      <c r="A69" s="655" t="s">
        <v>96</v>
      </c>
      <c r="B69" s="1463">
        <f>IF('6.2'!E69=0,"",'6.2'!E69)</f>
        <v>2583189400</v>
      </c>
      <c r="C69" s="661">
        <v>34512900</v>
      </c>
      <c r="D69" s="661">
        <v>82719600</v>
      </c>
      <c r="E69" s="1463">
        <f t="shared" si="3"/>
        <v>117232500</v>
      </c>
      <c r="F69" s="1464">
        <f t="shared" si="4"/>
        <v>2700421900</v>
      </c>
      <c r="G69" s="1465">
        <f t="shared" si="5"/>
        <v>4.3412660814223139E-2</v>
      </c>
      <c r="H69" s="661">
        <v>715118.25</v>
      </c>
      <c r="I69" s="773"/>
    </row>
    <row r="70" spans="1:9" ht="11.25" customHeight="1">
      <c r="A70" s="655" t="s">
        <v>98</v>
      </c>
      <c r="B70" s="1463">
        <f>IF('6.2'!E70=0,"",'6.2'!E70)</f>
        <v>9130475400</v>
      </c>
      <c r="C70" s="661">
        <v>885528800</v>
      </c>
      <c r="D70" s="661">
        <v>3404120600</v>
      </c>
      <c r="E70" s="1463">
        <f t="shared" si="3"/>
        <v>4289649400</v>
      </c>
      <c r="F70" s="1464">
        <f t="shared" si="4"/>
        <v>13420124800</v>
      </c>
      <c r="G70" s="1465">
        <f t="shared" si="5"/>
        <v>0.31964303342395145</v>
      </c>
      <c r="H70" s="661">
        <v>38177879.659999996</v>
      </c>
      <c r="I70" s="773"/>
    </row>
    <row r="71" spans="1:9" ht="15.5">
      <c r="A71" s="825" t="s">
        <v>834</v>
      </c>
      <c r="B71" s="669"/>
      <c r="C71" s="669"/>
      <c r="D71" s="669"/>
      <c r="E71" s="669"/>
      <c r="F71" s="928"/>
      <c r="G71" s="669"/>
      <c r="H71" s="669"/>
    </row>
    <row r="72" spans="1:9" ht="13">
      <c r="A72" s="854" t="str">
        <f>A37</f>
        <v>Comparison of Tax Exempt Value to Total Fair Market Value (FMV) of Real Estate by Locality - Tax Year 2022</v>
      </c>
      <c r="B72" s="854"/>
      <c r="C72" s="854"/>
      <c r="D72" s="854"/>
      <c r="E72" s="854"/>
      <c r="F72" s="929"/>
      <c r="G72" s="854"/>
      <c r="H72" s="854"/>
    </row>
    <row r="73" spans="1:9" s="669" customFormat="1" ht="6" customHeight="1" thickBot="1">
      <c r="A73" s="658"/>
      <c r="B73" s="657"/>
      <c r="C73" s="657"/>
      <c r="D73" s="657"/>
      <c r="E73" s="657"/>
      <c r="F73" s="657"/>
      <c r="G73" s="657"/>
      <c r="H73" s="657"/>
      <c r="I73" s="771"/>
    </row>
    <row r="74" spans="1:9" ht="12" customHeight="1">
      <c r="A74" s="777"/>
      <c r="B74" s="778"/>
      <c r="C74" s="933" t="s">
        <v>825</v>
      </c>
      <c r="D74" s="927"/>
      <c r="E74" s="927"/>
      <c r="F74" s="778"/>
      <c r="G74" s="778"/>
      <c r="H74" s="778"/>
    </row>
    <row r="75" spans="1:9" ht="24" customHeight="1">
      <c r="A75" s="1324" t="s">
        <v>21</v>
      </c>
      <c r="B75" s="1325" t="s">
        <v>1018</v>
      </c>
      <c r="C75" s="776" t="s">
        <v>830</v>
      </c>
      <c r="D75" s="776" t="s">
        <v>831</v>
      </c>
      <c r="E75" s="776" t="s">
        <v>832</v>
      </c>
      <c r="F75" s="1325" t="s">
        <v>1019</v>
      </c>
      <c r="G75" s="1325" t="s">
        <v>1017</v>
      </c>
      <c r="H75" s="1325" t="s">
        <v>1020</v>
      </c>
    </row>
    <row r="76" spans="1:9" ht="18" customHeight="1">
      <c r="A76" s="655" t="s">
        <v>100</v>
      </c>
      <c r="B76" s="1461">
        <f>IF('6.2'!E76=0,"",'6.2'!E76)</f>
        <v>3633308200</v>
      </c>
      <c r="C76" s="660">
        <v>94082200</v>
      </c>
      <c r="D76" s="660">
        <v>147186200</v>
      </c>
      <c r="E76" s="1461">
        <f t="shared" ref="E76:E105" si="6">IF(SUM(C76:D76)=0,"",SUM(C76:D76))</f>
        <v>241268400</v>
      </c>
      <c r="F76" s="1462">
        <f t="shared" ref="F76:F105" si="7">IFERROR(B76+E76,"")</f>
        <v>3874576600</v>
      </c>
      <c r="G76" s="1465">
        <f t="shared" ref="G76:G105" si="8">IFERROR(E76/F76,"")</f>
        <v>6.226961676277093E-2</v>
      </c>
      <c r="H76" s="660">
        <v>1833639.84</v>
      </c>
      <c r="I76" s="773"/>
    </row>
    <row r="77" spans="1:9" ht="11.25" customHeight="1">
      <c r="A77" s="655" t="s">
        <v>394</v>
      </c>
      <c r="B77" s="1463">
        <f>IF('6.2'!E77=0,"",'6.2'!E77)</f>
        <v>4398770085</v>
      </c>
      <c r="C77" s="661">
        <v>331998060</v>
      </c>
      <c r="D77" s="661">
        <v>170755226</v>
      </c>
      <c r="E77" s="1463">
        <f t="shared" si="6"/>
        <v>502753286</v>
      </c>
      <c r="F77" s="1464">
        <f t="shared" si="7"/>
        <v>4901523371</v>
      </c>
      <c r="G77" s="1465">
        <f t="shared" si="8"/>
        <v>0.10257082297608819</v>
      </c>
      <c r="H77" s="661">
        <v>3368447.0162</v>
      </c>
      <c r="I77" s="773"/>
    </row>
    <row r="78" spans="1:9" ht="11.25" customHeight="1">
      <c r="A78" s="655" t="s">
        <v>104</v>
      </c>
      <c r="B78" s="1463">
        <f>IF('6.2'!E78=0,"",'6.2'!E78)</f>
        <v>2466503000</v>
      </c>
      <c r="C78" s="661">
        <v>194850100</v>
      </c>
      <c r="D78" s="661">
        <v>373522800</v>
      </c>
      <c r="E78" s="1463">
        <f t="shared" si="6"/>
        <v>568372900</v>
      </c>
      <c r="F78" s="1464">
        <f t="shared" si="7"/>
        <v>3034875900</v>
      </c>
      <c r="G78" s="1465">
        <f t="shared" si="8"/>
        <v>0.18728044201082489</v>
      </c>
      <c r="H78" s="661">
        <v>4319634.04</v>
      </c>
      <c r="I78" s="773"/>
    </row>
    <row r="79" spans="1:9" ht="11.25" customHeight="1">
      <c r="A79" s="655" t="s">
        <v>106</v>
      </c>
      <c r="B79" s="1463">
        <f>IF('6.2'!E79=0,"",'6.2'!E79)</f>
        <v>2973535000</v>
      </c>
      <c r="C79" s="661">
        <v>14929600</v>
      </c>
      <c r="D79" s="661">
        <v>76490300</v>
      </c>
      <c r="E79" s="1463">
        <f t="shared" si="6"/>
        <v>91419900</v>
      </c>
      <c r="F79" s="1464">
        <f t="shared" si="7"/>
        <v>3064954900</v>
      </c>
      <c r="G79" s="1465">
        <f t="shared" si="8"/>
        <v>2.9827486205425077E-2</v>
      </c>
      <c r="H79" s="661">
        <v>557661.39</v>
      </c>
      <c r="I79" s="773"/>
    </row>
    <row r="80" spans="1:9" ht="11.25" customHeight="1">
      <c r="A80" s="655" t="s">
        <v>108</v>
      </c>
      <c r="B80" s="1463">
        <f>IF('6.2'!E80=0,"",'6.2'!E80)</f>
        <v>1003008266</v>
      </c>
      <c r="C80" s="661">
        <v>141758991</v>
      </c>
      <c r="D80" s="661">
        <v>94866620</v>
      </c>
      <c r="E80" s="1463">
        <f t="shared" si="6"/>
        <v>236625611</v>
      </c>
      <c r="F80" s="1464">
        <f t="shared" si="7"/>
        <v>1239633877</v>
      </c>
      <c r="G80" s="1465">
        <f t="shared" si="8"/>
        <v>0.19088346598969239</v>
      </c>
      <c r="H80" s="661">
        <v>1135802.9328000001</v>
      </c>
      <c r="I80" s="773"/>
    </row>
    <row r="81" spans="1:9" ht="18" customHeight="1">
      <c r="A81" s="655" t="s">
        <v>110</v>
      </c>
      <c r="B81" s="1463">
        <f>IF('6.2'!E81=0,"",'6.2'!E81)</f>
        <v>5097976400</v>
      </c>
      <c r="C81" s="661">
        <v>377672000</v>
      </c>
      <c r="D81" s="661">
        <v>112765800</v>
      </c>
      <c r="E81" s="1463">
        <f t="shared" si="6"/>
        <v>490437800</v>
      </c>
      <c r="F81" s="1464">
        <f t="shared" si="7"/>
        <v>5588414200</v>
      </c>
      <c r="G81" s="1465">
        <f t="shared" si="8"/>
        <v>8.7759744079098506E-2</v>
      </c>
      <c r="H81" s="661">
        <v>3678283.5</v>
      </c>
      <c r="I81" s="773"/>
    </row>
    <row r="82" spans="1:9" ht="11.25" customHeight="1">
      <c r="A82" s="655" t="s">
        <v>112</v>
      </c>
      <c r="B82" s="1463">
        <f>IF('6.2'!E82=0,"",'6.2'!E82)</f>
        <v>2821193200</v>
      </c>
      <c r="C82" s="661">
        <v>258676000</v>
      </c>
      <c r="D82" s="661">
        <v>191672700</v>
      </c>
      <c r="E82" s="1463">
        <f t="shared" si="6"/>
        <v>450348700</v>
      </c>
      <c r="F82" s="1464">
        <f t="shared" si="7"/>
        <v>3271541900</v>
      </c>
      <c r="G82" s="1465">
        <f t="shared" si="8"/>
        <v>0.13765640599009293</v>
      </c>
      <c r="H82" s="661">
        <v>3287545.51</v>
      </c>
      <c r="I82" s="773"/>
    </row>
    <row r="83" spans="1:9" ht="11.25" customHeight="1">
      <c r="A83" s="655" t="s">
        <v>113</v>
      </c>
      <c r="B83" s="1463">
        <f>IF('6.2'!E83=0,"",'6.2'!E83)</f>
        <v>1612665500</v>
      </c>
      <c r="C83" s="661">
        <v>44481000</v>
      </c>
      <c r="D83" s="661">
        <v>101744300</v>
      </c>
      <c r="E83" s="1463">
        <f t="shared" si="6"/>
        <v>146225300</v>
      </c>
      <c r="F83" s="1464">
        <f t="shared" si="7"/>
        <v>1758890800</v>
      </c>
      <c r="G83" s="1465">
        <f t="shared" si="8"/>
        <v>8.3134950731449622E-2</v>
      </c>
      <c r="H83" s="661">
        <v>1067444.69</v>
      </c>
      <c r="I83" s="773"/>
    </row>
    <row r="84" spans="1:9" ht="11.25" customHeight="1">
      <c r="A84" s="655" t="s">
        <v>115</v>
      </c>
      <c r="B84" s="1463">
        <f>IF('6.2'!E84=0,"",'6.2'!E84)</f>
        <v>4892023460</v>
      </c>
      <c r="C84" s="661">
        <v>167553100</v>
      </c>
      <c r="D84" s="661">
        <v>443731000</v>
      </c>
      <c r="E84" s="1463">
        <f t="shared" si="6"/>
        <v>611284100</v>
      </c>
      <c r="F84" s="1464">
        <f t="shared" si="7"/>
        <v>5503307560</v>
      </c>
      <c r="G84" s="1465">
        <f t="shared" si="8"/>
        <v>0.11107576549837603</v>
      </c>
      <c r="H84" s="661">
        <v>3789961.42</v>
      </c>
      <c r="I84" s="773"/>
    </row>
    <row r="85" spans="1:9" ht="11.25" customHeight="1">
      <c r="A85" s="655" t="s">
        <v>117</v>
      </c>
      <c r="B85" s="1463">
        <f>IF('6.2'!E85=0,"",'6.2'!E85)</f>
        <v>4864307400</v>
      </c>
      <c r="C85" s="661">
        <v>98460900</v>
      </c>
      <c r="D85" s="661">
        <v>194725700</v>
      </c>
      <c r="E85" s="1463">
        <f t="shared" si="6"/>
        <v>293186600</v>
      </c>
      <c r="F85" s="1464">
        <f t="shared" si="7"/>
        <v>5157494000</v>
      </c>
      <c r="G85" s="1465">
        <f t="shared" si="8"/>
        <v>5.6846716641841946E-2</v>
      </c>
      <c r="H85" s="661">
        <v>2257536.8199999998</v>
      </c>
      <c r="I85" s="773"/>
    </row>
    <row r="86" spans="1:9" ht="18" customHeight="1">
      <c r="A86" s="655" t="s">
        <v>118</v>
      </c>
      <c r="B86" s="1463">
        <f>IF('6.2'!E86=0,"",'6.2'!E86)</f>
        <v>1851267164</v>
      </c>
      <c r="C86" s="661">
        <v>160208700</v>
      </c>
      <c r="D86" s="661">
        <v>846172500</v>
      </c>
      <c r="E86" s="1463">
        <f t="shared" si="6"/>
        <v>1006381200</v>
      </c>
      <c r="F86" s="1464">
        <f t="shared" si="7"/>
        <v>2857648364</v>
      </c>
      <c r="G86" s="1465">
        <f t="shared" si="8"/>
        <v>0.35217111128092593</v>
      </c>
      <c r="H86" s="661">
        <v>4729991.6399999997</v>
      </c>
      <c r="I86" s="773"/>
    </row>
    <row r="87" spans="1:9" ht="11.25" customHeight="1">
      <c r="A87" s="655" t="s">
        <v>120</v>
      </c>
      <c r="B87" s="1463">
        <f>IF('6.2'!E87=0,"",'6.2'!E87)</f>
        <v>3893288000</v>
      </c>
      <c r="C87" s="661">
        <v>2550721300</v>
      </c>
      <c r="D87" s="661">
        <v>122323000</v>
      </c>
      <c r="E87" s="1463">
        <f t="shared" si="6"/>
        <v>2673044300</v>
      </c>
      <c r="F87" s="1464">
        <f t="shared" si="7"/>
        <v>6566332300</v>
      </c>
      <c r="G87" s="1465">
        <f t="shared" si="8"/>
        <v>0.40708331194265024</v>
      </c>
      <c r="H87" s="661">
        <v>21918963.260000002</v>
      </c>
      <c r="I87" s="773"/>
    </row>
    <row r="88" spans="1:9" ht="11.25" customHeight="1">
      <c r="A88" s="655" t="s">
        <v>122</v>
      </c>
      <c r="B88" s="1463">
        <f>IF('6.2'!E88=0,"",'6.2'!E88)</f>
        <v>81306506300</v>
      </c>
      <c r="C88" s="661">
        <v>3564717900</v>
      </c>
      <c r="D88" s="661">
        <v>2349783600</v>
      </c>
      <c r="E88" s="1463">
        <f t="shared" si="6"/>
        <v>5914501500</v>
      </c>
      <c r="F88" s="1464">
        <f t="shared" si="7"/>
        <v>87221007800</v>
      </c>
      <c r="G88" s="1465">
        <f t="shared" si="8"/>
        <v>6.7810515484550499E-2</v>
      </c>
      <c r="H88" s="661">
        <v>60919365.450000003</v>
      </c>
      <c r="I88" s="773"/>
    </row>
    <row r="89" spans="1:9" ht="11.25" customHeight="1">
      <c r="A89" s="655" t="s">
        <v>124</v>
      </c>
      <c r="B89" s="1463">
        <f>IF('6.2'!E89=0,"",'6.2'!E89)</f>
        <v>3243347500</v>
      </c>
      <c r="C89" s="661">
        <v>669668400</v>
      </c>
      <c r="D89" s="661">
        <v>89309700</v>
      </c>
      <c r="E89" s="1463">
        <f t="shared" si="6"/>
        <v>758978100</v>
      </c>
      <c r="F89" s="1464">
        <f t="shared" si="7"/>
        <v>4002325600</v>
      </c>
      <c r="G89" s="1465">
        <f t="shared" si="8"/>
        <v>0.18963427163447172</v>
      </c>
      <c r="H89" s="661">
        <v>5616437.9400000004</v>
      </c>
      <c r="I89" s="773"/>
    </row>
    <row r="90" spans="1:9" ht="11.25" customHeight="1">
      <c r="A90" s="655" t="s">
        <v>126</v>
      </c>
      <c r="B90" s="1463">
        <f>IF('6.2'!E90=0,"",'6.2'!E90)</f>
        <v>2515238700</v>
      </c>
      <c r="C90" s="661">
        <v>94473200</v>
      </c>
      <c r="D90" s="661">
        <v>36670200</v>
      </c>
      <c r="E90" s="1463">
        <f t="shared" si="6"/>
        <v>131143400</v>
      </c>
      <c r="F90" s="1464">
        <f t="shared" si="7"/>
        <v>2646382100</v>
      </c>
      <c r="G90" s="1465">
        <f t="shared" si="8"/>
        <v>4.9555731199965418E-2</v>
      </c>
      <c r="H90" s="661">
        <v>786860.4</v>
      </c>
      <c r="I90" s="773"/>
    </row>
    <row r="91" spans="1:9" ht="18" customHeight="1">
      <c r="A91" s="655" t="s">
        <v>128</v>
      </c>
      <c r="B91" s="1463">
        <f>IF('6.2'!E91=0,"",'6.2'!E91)</f>
        <v>923531570</v>
      </c>
      <c r="C91" s="661">
        <v>73626723</v>
      </c>
      <c r="D91" s="661">
        <v>57166201</v>
      </c>
      <c r="E91" s="1463">
        <f t="shared" si="6"/>
        <v>130792924</v>
      </c>
      <c r="F91" s="1464">
        <f t="shared" si="7"/>
        <v>1054324494</v>
      </c>
      <c r="G91" s="1465">
        <f t="shared" si="8"/>
        <v>0.12405376593669463</v>
      </c>
      <c r="H91" s="661">
        <v>915550.46799999999</v>
      </c>
      <c r="I91" s="773"/>
    </row>
    <row r="92" spans="1:9" ht="11.25" customHeight="1">
      <c r="A92" s="655" t="s">
        <v>25</v>
      </c>
      <c r="B92" s="1463">
        <f>IF('6.2'!E92=0,"",'6.2'!E92)</f>
        <v>10133456800</v>
      </c>
      <c r="C92" s="661">
        <v>703855600</v>
      </c>
      <c r="D92" s="661">
        <v>465411700</v>
      </c>
      <c r="E92" s="1463">
        <f t="shared" si="6"/>
        <v>1169267300</v>
      </c>
      <c r="F92" s="1464">
        <f t="shared" si="7"/>
        <v>11302724100</v>
      </c>
      <c r="G92" s="1465">
        <f t="shared" si="8"/>
        <v>0.1034500435165006</v>
      </c>
      <c r="H92" s="661">
        <v>12745013.57</v>
      </c>
      <c r="I92" s="773"/>
    </row>
    <row r="93" spans="1:9" ht="11.25" customHeight="1">
      <c r="A93" s="655" t="s">
        <v>130</v>
      </c>
      <c r="B93" s="1463">
        <f>IF('6.2'!E93=0,"",'6.2'!E93)</f>
        <v>3163391616</v>
      </c>
      <c r="C93" s="661">
        <v>212423100</v>
      </c>
      <c r="D93" s="661">
        <v>190714900</v>
      </c>
      <c r="E93" s="1463">
        <f t="shared" si="6"/>
        <v>403138000</v>
      </c>
      <c r="F93" s="1464">
        <f t="shared" si="7"/>
        <v>3566529616</v>
      </c>
      <c r="G93" s="1465">
        <f t="shared" si="8"/>
        <v>0.11303368916143608</v>
      </c>
      <c r="H93" s="661">
        <v>2983221.2</v>
      </c>
      <c r="I93" s="773"/>
    </row>
    <row r="94" spans="1:9" ht="11.25" customHeight="1">
      <c r="A94" s="655" t="s">
        <v>131</v>
      </c>
      <c r="B94" s="1463">
        <f>IF('6.2'!E94=0,"",'6.2'!E94)</f>
        <v>12292863000</v>
      </c>
      <c r="C94" s="661">
        <v>431586600</v>
      </c>
      <c r="D94" s="661">
        <v>1126876800</v>
      </c>
      <c r="E94" s="1463">
        <f t="shared" si="6"/>
        <v>1558463400</v>
      </c>
      <c r="F94" s="1464">
        <f t="shared" si="7"/>
        <v>13851326400</v>
      </c>
      <c r="G94" s="1465">
        <f t="shared" si="8"/>
        <v>0.11251365789777361</v>
      </c>
      <c r="H94" s="661">
        <v>10597551.119999999</v>
      </c>
      <c r="I94" s="773"/>
    </row>
    <row r="95" spans="1:9" ht="11.25" customHeight="1">
      <c r="A95" s="655" t="s">
        <v>133</v>
      </c>
      <c r="B95" s="1463">
        <f>IF('6.2'!E95=0,"",'6.2'!E95)</f>
        <v>1605226118</v>
      </c>
      <c r="C95" s="661">
        <v>135006000</v>
      </c>
      <c r="D95" s="661">
        <v>99845025</v>
      </c>
      <c r="E95" s="1463">
        <f t="shared" si="6"/>
        <v>234851025</v>
      </c>
      <c r="F95" s="1464">
        <f t="shared" si="7"/>
        <v>1840077143</v>
      </c>
      <c r="G95" s="1465">
        <f t="shared" si="8"/>
        <v>0.12763107562822434</v>
      </c>
      <c r="H95" s="661">
        <v>1479561.4575</v>
      </c>
      <c r="I95" s="773"/>
    </row>
    <row r="96" spans="1:9" ht="18" customHeight="1">
      <c r="A96" s="655" t="s">
        <v>135</v>
      </c>
      <c r="B96" s="1466">
        <f>IF('6.2'!E96=0,"",'6.2'!E96)</f>
        <v>1590279900</v>
      </c>
      <c r="C96" s="661">
        <v>149832200</v>
      </c>
      <c r="D96" s="661">
        <v>174953800</v>
      </c>
      <c r="E96" s="1466">
        <f t="shared" si="6"/>
        <v>324786000</v>
      </c>
      <c r="F96" s="1467">
        <f t="shared" si="7"/>
        <v>1915065900</v>
      </c>
      <c r="G96" s="1468">
        <f t="shared" si="8"/>
        <v>0.16959520818578619</v>
      </c>
      <c r="H96" s="661">
        <v>2500852.2000000002</v>
      </c>
      <c r="I96" s="773"/>
    </row>
    <row r="97" spans="1:9" ht="11.25" customHeight="1">
      <c r="A97" s="655" t="s">
        <v>137</v>
      </c>
      <c r="B97" s="1463">
        <f>IF('6.2'!E97=0,"",'6.2'!E97)</f>
        <v>6578782334</v>
      </c>
      <c r="C97" s="661">
        <v>669547700</v>
      </c>
      <c r="D97" s="661">
        <v>228122900</v>
      </c>
      <c r="E97" s="1463">
        <f t="shared" si="6"/>
        <v>897670600</v>
      </c>
      <c r="F97" s="1464">
        <f t="shared" si="7"/>
        <v>7476452934</v>
      </c>
      <c r="G97" s="1465">
        <f t="shared" si="8"/>
        <v>0.12006637478017727</v>
      </c>
      <c r="H97" s="661">
        <v>5206489.4800000004</v>
      </c>
      <c r="I97" s="773"/>
    </row>
    <row r="98" spans="1:9" ht="11.25" customHeight="1">
      <c r="A98" s="655" t="s">
        <v>139</v>
      </c>
      <c r="B98" s="1463">
        <f>IF('6.2'!E98=0,"",'6.2'!E98)</f>
        <v>1724293025</v>
      </c>
      <c r="C98" s="661">
        <v>144954500</v>
      </c>
      <c r="D98" s="661">
        <v>203713600</v>
      </c>
      <c r="E98" s="1463">
        <f t="shared" si="6"/>
        <v>348668100</v>
      </c>
      <c r="F98" s="1464">
        <f t="shared" si="7"/>
        <v>2072961125</v>
      </c>
      <c r="G98" s="1465">
        <f t="shared" si="8"/>
        <v>0.16819808909827</v>
      </c>
      <c r="H98" s="661">
        <v>2580143.94</v>
      </c>
      <c r="I98" s="773"/>
    </row>
    <row r="99" spans="1:9" ht="11.25" customHeight="1">
      <c r="A99" s="655" t="s">
        <v>141</v>
      </c>
      <c r="B99" s="1463">
        <f>IF('6.2'!E99=0,"",'6.2'!E99)</f>
        <v>1851506100</v>
      </c>
      <c r="C99" s="661">
        <v>163439800</v>
      </c>
      <c r="D99" s="661">
        <v>157191800</v>
      </c>
      <c r="E99" s="1463">
        <f t="shared" si="6"/>
        <v>320631600</v>
      </c>
      <c r="F99" s="1464">
        <f t="shared" si="7"/>
        <v>2172137700</v>
      </c>
      <c r="G99" s="1465">
        <f t="shared" si="8"/>
        <v>0.14761108377245144</v>
      </c>
      <c r="H99" s="661">
        <v>2853621.24</v>
      </c>
      <c r="I99" s="773"/>
    </row>
    <row r="100" spans="1:9" ht="11.25" customHeight="1">
      <c r="A100" s="655" t="s">
        <v>143</v>
      </c>
      <c r="B100" s="1463">
        <f>IF('6.2'!E100=0,"",'6.2'!E100)</f>
        <v>20036650900</v>
      </c>
      <c r="C100" s="661">
        <v>733466000</v>
      </c>
      <c r="D100" s="661">
        <v>216975500</v>
      </c>
      <c r="E100" s="1463">
        <f t="shared" si="6"/>
        <v>950441500</v>
      </c>
      <c r="F100" s="1464">
        <f t="shared" si="7"/>
        <v>20987092400</v>
      </c>
      <c r="G100" s="1465">
        <f t="shared" si="8"/>
        <v>4.5286954566417216E-2</v>
      </c>
      <c r="H100" s="661">
        <v>7011406.9455000004</v>
      </c>
      <c r="I100" s="773"/>
    </row>
    <row r="101" spans="1:9" ht="18" customHeight="1">
      <c r="A101" s="655" t="s">
        <v>145</v>
      </c>
      <c r="B101" s="1463">
        <f>IF('6.2'!E101=0,"",'6.2'!E101)</f>
        <v>24089776500</v>
      </c>
      <c r="C101" s="661">
        <v>1048496100</v>
      </c>
      <c r="D101" s="661">
        <v>1091338400</v>
      </c>
      <c r="E101" s="1463">
        <f t="shared" si="6"/>
        <v>2139834500</v>
      </c>
      <c r="F101" s="1464">
        <f t="shared" si="7"/>
        <v>26229611000</v>
      </c>
      <c r="G101" s="1465">
        <f t="shared" si="8"/>
        <v>8.1580870566475422E-2</v>
      </c>
      <c r="H101" s="661">
        <v>18188593.25</v>
      </c>
      <c r="I101" s="773"/>
    </row>
    <row r="102" spans="1:9" ht="11.25" customHeight="1">
      <c r="A102" s="655" t="s">
        <v>147</v>
      </c>
      <c r="B102" s="1463">
        <f>IF('6.2'!E102=0,"",'6.2'!E102)</f>
        <v>1112727900</v>
      </c>
      <c r="C102" s="661">
        <v>70566900</v>
      </c>
      <c r="D102" s="661">
        <v>75361700</v>
      </c>
      <c r="E102" s="1463">
        <f t="shared" si="6"/>
        <v>145928600</v>
      </c>
      <c r="F102" s="1464">
        <f t="shared" si="7"/>
        <v>1258656500</v>
      </c>
      <c r="G102" s="1465">
        <f t="shared" si="8"/>
        <v>0.1159399725024262</v>
      </c>
      <c r="H102" s="661">
        <v>1050685.92</v>
      </c>
      <c r="I102" s="773"/>
    </row>
    <row r="103" spans="1:9" ht="11.25" customHeight="1">
      <c r="A103" s="655" t="s">
        <v>149</v>
      </c>
      <c r="B103" s="1463">
        <f>IF('6.2'!E103=0,"",'6.2'!E103)</f>
        <v>1184875522</v>
      </c>
      <c r="C103" s="661">
        <v>230534100</v>
      </c>
      <c r="D103" s="661">
        <v>83878700</v>
      </c>
      <c r="E103" s="1463">
        <f t="shared" si="6"/>
        <v>314412800</v>
      </c>
      <c r="F103" s="1464">
        <f t="shared" si="7"/>
        <v>1499288322</v>
      </c>
      <c r="G103" s="1465">
        <f t="shared" si="8"/>
        <v>0.20970802972745359</v>
      </c>
      <c r="H103" s="661">
        <v>1509181.4399999999</v>
      </c>
      <c r="I103" s="773"/>
    </row>
    <row r="104" spans="1:9" ht="11.25" customHeight="1">
      <c r="A104" s="655" t="s">
        <v>151</v>
      </c>
      <c r="B104" s="1463">
        <f>IF('6.2'!E104=0,"",'6.2'!E104)</f>
        <v>2722502000</v>
      </c>
      <c r="C104" s="661">
        <v>331928600</v>
      </c>
      <c r="D104" s="661">
        <v>215057300</v>
      </c>
      <c r="E104" s="1463">
        <f t="shared" si="6"/>
        <v>546985900</v>
      </c>
      <c r="F104" s="1464">
        <f t="shared" si="7"/>
        <v>3269487900</v>
      </c>
      <c r="G104" s="1465">
        <f t="shared" si="8"/>
        <v>0.16730017566359551</v>
      </c>
      <c r="H104" s="661">
        <v>3172518.22</v>
      </c>
      <c r="I104" s="773"/>
    </row>
    <row r="105" spans="1:9">
      <c r="A105" s="655" t="s">
        <v>153</v>
      </c>
      <c r="B105" s="1463">
        <f>IF('6.2'!E105=0,"",'6.2'!E105)</f>
        <v>5236438900</v>
      </c>
      <c r="C105" s="661">
        <v>416522600</v>
      </c>
      <c r="D105" s="661">
        <v>424229100</v>
      </c>
      <c r="E105" s="1463">
        <f t="shared" si="6"/>
        <v>840751700</v>
      </c>
      <c r="F105" s="1464">
        <f t="shared" si="7"/>
        <v>6077190600</v>
      </c>
      <c r="G105" s="1465">
        <f t="shared" si="8"/>
        <v>0.13834545521741576</v>
      </c>
      <c r="H105" s="661">
        <v>5506923.6349999998</v>
      </c>
      <c r="I105" s="773"/>
    </row>
    <row r="106" spans="1:9" ht="18" customHeight="1">
      <c r="A106" s="655" t="s">
        <v>155</v>
      </c>
      <c r="B106" s="1461">
        <f>IF('6.2'!E106=0,"",'6.2'!E106)</f>
        <v>5265104981</v>
      </c>
      <c r="C106" s="660">
        <v>281258000</v>
      </c>
      <c r="D106" s="660">
        <v>525657100</v>
      </c>
      <c r="E106" s="1461">
        <f t="shared" ref="E106:E110" si="9">IF(SUM(C106:D106)=0,"",SUM(C106:D106))</f>
        <v>806915100</v>
      </c>
      <c r="F106" s="1462">
        <f t="shared" ref="F106:F110" si="10">IFERROR(B106+E106,"")</f>
        <v>6072020081</v>
      </c>
      <c r="G106" s="1465">
        <f t="shared" ref="G106:G110" si="11">IFERROR(E106/F106,"")</f>
        <v>0.13289071663727259</v>
      </c>
      <c r="H106" s="660">
        <v>4841490.5999999996</v>
      </c>
      <c r="I106" s="773"/>
    </row>
    <row r="107" spans="1:9">
      <c r="A107" s="655" t="s">
        <v>363</v>
      </c>
      <c r="B107" s="1463">
        <f>IF('6.2'!E107=0,"",'6.2'!E107)</f>
        <v>3213620100</v>
      </c>
      <c r="C107" s="661">
        <v>104946500</v>
      </c>
      <c r="D107" s="661">
        <v>82699000</v>
      </c>
      <c r="E107" s="1463">
        <f t="shared" si="9"/>
        <v>187645500</v>
      </c>
      <c r="F107" s="1464">
        <f t="shared" si="10"/>
        <v>3401265600</v>
      </c>
      <c r="G107" s="1465">
        <f t="shared" si="11"/>
        <v>5.5169316974246291E-2</v>
      </c>
      <c r="H107" s="661">
        <v>1163402.1000000001</v>
      </c>
      <c r="I107" s="773"/>
    </row>
    <row r="108" spans="1:9">
      <c r="A108" s="655" t="s">
        <v>159</v>
      </c>
      <c r="B108" s="1463">
        <f>IF('6.2'!E108=0,"",'6.2'!E108)</f>
        <v>1904729122</v>
      </c>
      <c r="C108" s="661">
        <v>463869300</v>
      </c>
      <c r="D108" s="661">
        <v>528021600</v>
      </c>
      <c r="E108" s="1463">
        <f t="shared" si="9"/>
        <v>991890900</v>
      </c>
      <c r="F108" s="1464">
        <f t="shared" si="10"/>
        <v>2896620022</v>
      </c>
      <c r="G108" s="1465">
        <f t="shared" si="11"/>
        <v>0.34243045082424689</v>
      </c>
      <c r="H108" s="661">
        <v>6841834</v>
      </c>
      <c r="I108" s="773"/>
    </row>
    <row r="109" spans="1:9">
      <c r="A109" s="655" t="s">
        <v>161</v>
      </c>
      <c r="B109" s="1463">
        <f>IF('6.2'!E109=0,"",'6.2'!E109)</f>
        <v>3050777354</v>
      </c>
      <c r="C109" s="661">
        <v>248755000</v>
      </c>
      <c r="D109" s="661">
        <v>171144000</v>
      </c>
      <c r="E109" s="1463">
        <f t="shared" si="9"/>
        <v>419899000</v>
      </c>
      <c r="F109" s="1464">
        <f t="shared" si="10"/>
        <v>3470676354</v>
      </c>
      <c r="G109" s="1465">
        <f t="shared" si="11"/>
        <v>0.12098477563776897</v>
      </c>
      <c r="H109" s="661">
        <v>2141484.9</v>
      </c>
      <c r="I109" s="773"/>
    </row>
    <row r="110" spans="1:9">
      <c r="A110" s="655" t="s">
        <v>163</v>
      </c>
      <c r="B110" s="1463">
        <f>IF('6.2'!E110=0,"",'6.2'!E110)</f>
        <v>10495229494</v>
      </c>
      <c r="C110" s="661">
        <v>4634984100</v>
      </c>
      <c r="D110" s="661">
        <v>509507800</v>
      </c>
      <c r="E110" s="1463">
        <f t="shared" si="9"/>
        <v>5144491900</v>
      </c>
      <c r="F110" s="1464">
        <f t="shared" si="10"/>
        <v>15639721394</v>
      </c>
      <c r="G110" s="1465">
        <f t="shared" si="11"/>
        <v>0.32893756675062163</v>
      </c>
      <c r="H110" s="661">
        <v>40127036.82</v>
      </c>
      <c r="I110" s="773"/>
    </row>
    <row r="111" spans="1:9" ht="6" customHeight="1">
      <c r="B111" s="660"/>
      <c r="C111" s="660"/>
      <c r="D111" s="660"/>
      <c r="E111" s="660"/>
      <c r="F111" s="931"/>
      <c r="G111" s="660"/>
      <c r="H111" s="660"/>
    </row>
    <row r="112" spans="1:9" ht="12.75" customHeight="1">
      <c r="A112" s="935" t="s">
        <v>22</v>
      </c>
      <c r="B112" s="936">
        <f>SUM(B6:B50,B51:B95,B96:B110)</f>
        <v>1090504432883</v>
      </c>
      <c r="C112" s="936">
        <f>SUM(C6:C50,C51:C95,C96:C110)</f>
        <v>72539660885</v>
      </c>
      <c r="D112" s="936">
        <f>SUM(D6:D50,D51:D95,D96:D110)</f>
        <v>37703294215</v>
      </c>
      <c r="E112" s="936">
        <f>SUM(E6:E50,E51:E95,E96:E110)</f>
        <v>110242955100</v>
      </c>
      <c r="F112" s="937">
        <f>SUM(F6:F50,F51:F95,F96:F110)</f>
        <v>1200747387983</v>
      </c>
      <c r="G112" s="938">
        <f>E112/F112</f>
        <v>9.1811946628661587E-2</v>
      </c>
      <c r="H112" s="936">
        <f>SUM(H6:H50,H51:H95,H96:H110)</f>
        <v>954798147.99950051</v>
      </c>
    </row>
    <row r="113" spans="1:9" ht="15" customHeight="1">
      <c r="A113" s="825" t="s">
        <v>834</v>
      </c>
      <c r="B113" s="679"/>
      <c r="C113" s="679"/>
      <c r="D113" s="679"/>
      <c r="E113" s="679"/>
      <c r="F113" s="939"/>
      <c r="G113" s="940"/>
      <c r="H113" s="679"/>
    </row>
    <row r="114" spans="1:9" s="669" customFormat="1" ht="13">
      <c r="A114" s="934" t="str">
        <f>A2</f>
        <v>Comparison of Tax Exempt Value to Total Fair Market Value (FMV) of Real Estate by Locality - Tax Year 2022</v>
      </c>
      <c r="B114" s="682"/>
      <c r="C114" s="682"/>
      <c r="D114" s="682"/>
      <c r="E114" s="682"/>
      <c r="F114" s="682"/>
      <c r="G114" s="682"/>
      <c r="H114" s="682"/>
      <c r="I114" s="771"/>
    </row>
    <row r="115" spans="1:9" ht="6" customHeight="1" thickBot="1">
      <c r="A115" s="779"/>
      <c r="B115" s="780"/>
      <c r="C115" s="926"/>
      <c r="D115" s="926"/>
      <c r="E115" s="926"/>
      <c r="F115" s="780"/>
      <c r="G115" s="780"/>
      <c r="H115" s="780"/>
    </row>
    <row r="116" spans="1:9" ht="12" customHeight="1">
      <c r="A116" s="777"/>
      <c r="B116" s="778"/>
      <c r="C116" s="933" t="s">
        <v>825</v>
      </c>
      <c r="D116" s="927"/>
      <c r="E116" s="927"/>
      <c r="F116" s="778"/>
      <c r="G116" s="778"/>
      <c r="H116" s="778"/>
    </row>
    <row r="117" spans="1:9" ht="24" customHeight="1">
      <c r="A117" s="1324" t="s">
        <v>23</v>
      </c>
      <c r="B117" s="1325" t="s">
        <v>1018</v>
      </c>
      <c r="C117" s="776" t="s">
        <v>830</v>
      </c>
      <c r="D117" s="776" t="s">
        <v>831</v>
      </c>
      <c r="E117" s="776" t="s">
        <v>832</v>
      </c>
      <c r="F117" s="1325" t="s">
        <v>1019</v>
      </c>
      <c r="G117" s="1325" t="s">
        <v>1017</v>
      </c>
      <c r="H117" s="1325" t="s">
        <v>1020</v>
      </c>
    </row>
    <row r="118" spans="1:9" ht="18" customHeight="1">
      <c r="A118" s="655" t="s">
        <v>392</v>
      </c>
      <c r="B118" s="1469">
        <f>IF('6.2'!E118=0,"",'6.2'!E118)</f>
        <v>45470509925</v>
      </c>
      <c r="C118" s="660">
        <v>3731578958</v>
      </c>
      <c r="D118" s="660">
        <v>1625997654</v>
      </c>
      <c r="E118" s="1469">
        <f t="shared" ref="E118:E137" si="12">IF(SUM(C118:D118)=0,"",SUM(C118:D118))</f>
        <v>5357576612</v>
      </c>
      <c r="F118" s="1470">
        <f t="shared" ref="F118:F137" si="13">IFERROR(B118+E118,"")</f>
        <v>50828086537</v>
      </c>
      <c r="G118" s="1468">
        <f t="shared" ref="G118:G137" si="14">IFERROR(E118/F118,"")</f>
        <v>0.10540582927708649</v>
      </c>
      <c r="H118" s="660">
        <v>59469100.393200003</v>
      </c>
      <c r="I118" s="773"/>
    </row>
    <row r="119" spans="1:9" ht="11.25" customHeight="1">
      <c r="A119" s="655" t="s">
        <v>397</v>
      </c>
      <c r="B119" s="1466">
        <f>IF('6.2'!E119=0,"",'6.2'!E119)</f>
        <v>1314717188</v>
      </c>
      <c r="C119" s="661">
        <v>153876000</v>
      </c>
      <c r="D119" s="661">
        <v>87990000</v>
      </c>
      <c r="E119" s="1466">
        <f t="shared" si="12"/>
        <v>241866000</v>
      </c>
      <c r="F119" s="1467">
        <f t="shared" si="13"/>
        <v>1556583188</v>
      </c>
      <c r="G119" s="1468">
        <f t="shared" si="14"/>
        <v>0.15538263670364144</v>
      </c>
      <c r="H119" s="661">
        <v>2708899.2</v>
      </c>
      <c r="I119" s="773"/>
    </row>
    <row r="120" spans="1:9" ht="11.25" customHeight="1">
      <c r="A120" s="655" t="s">
        <v>172</v>
      </c>
      <c r="B120" s="1466">
        <f>IF('6.2'!E120=0,"",'6.2'!E120)</f>
        <v>341313150</v>
      </c>
      <c r="C120" s="661">
        <v>42554600</v>
      </c>
      <c r="D120" s="661">
        <v>84647000</v>
      </c>
      <c r="E120" s="1466">
        <f t="shared" si="12"/>
        <v>127201600</v>
      </c>
      <c r="F120" s="1467">
        <f t="shared" si="13"/>
        <v>468514750</v>
      </c>
      <c r="G120" s="1468">
        <f t="shared" si="14"/>
        <v>0.27149966996770114</v>
      </c>
      <c r="H120" s="661">
        <v>1615476.54</v>
      </c>
      <c r="I120" s="773"/>
    </row>
    <row r="121" spans="1:9" ht="11.25" customHeight="1">
      <c r="A121" s="655" t="s">
        <v>174</v>
      </c>
      <c r="B121" s="1466">
        <f>IF('6.2'!E121=0,"",'6.2'!E121)</f>
        <v>9312647000</v>
      </c>
      <c r="C121" s="661">
        <v>1316541200</v>
      </c>
      <c r="D121" s="661">
        <v>1332716600</v>
      </c>
      <c r="E121" s="1466">
        <f t="shared" si="12"/>
        <v>2649257800</v>
      </c>
      <c r="F121" s="1467">
        <f t="shared" si="13"/>
        <v>11961904800</v>
      </c>
      <c r="G121" s="1468">
        <f t="shared" si="14"/>
        <v>0.22147457652396632</v>
      </c>
      <c r="H121" s="661">
        <v>25432874.879999999</v>
      </c>
      <c r="I121" s="773"/>
    </row>
    <row r="122" spans="1:9" ht="11.25" customHeight="1">
      <c r="A122" s="655" t="s">
        <v>119</v>
      </c>
      <c r="B122" s="1466">
        <f>IF('6.2'!E122=0,"",'6.2'!E122)</f>
        <v>30426223300</v>
      </c>
      <c r="C122" s="661">
        <v>2319104700</v>
      </c>
      <c r="D122" s="661">
        <v>1456415300</v>
      </c>
      <c r="E122" s="1466">
        <f t="shared" si="12"/>
        <v>3775520000</v>
      </c>
      <c r="F122" s="1467">
        <f t="shared" si="13"/>
        <v>34201743300</v>
      </c>
      <c r="G122" s="1468">
        <f t="shared" si="14"/>
        <v>0.1103896946679908</v>
      </c>
      <c r="H122" s="661">
        <v>39642960</v>
      </c>
      <c r="I122" s="773"/>
    </row>
    <row r="123" spans="1:9" ht="18" customHeight="1">
      <c r="A123" s="655" t="s">
        <v>121</v>
      </c>
      <c r="B123" s="1466">
        <f>IF('6.2'!E123=0,"",'6.2'!E123)</f>
        <v>1941043420</v>
      </c>
      <c r="C123" s="661">
        <v>70151500</v>
      </c>
      <c r="D123" s="661">
        <v>67763500</v>
      </c>
      <c r="E123" s="1466">
        <f t="shared" si="12"/>
        <v>137915000</v>
      </c>
      <c r="F123" s="1467">
        <f t="shared" si="13"/>
        <v>2078958420</v>
      </c>
      <c r="G123" s="1468">
        <f t="shared" si="14"/>
        <v>6.6338508107343486E-2</v>
      </c>
      <c r="H123" s="661">
        <v>1654980</v>
      </c>
      <c r="I123" s="773"/>
    </row>
    <row r="124" spans="1:9" ht="11.25" customHeight="1">
      <c r="A124" s="655" t="s">
        <v>123</v>
      </c>
      <c r="B124" s="1466">
        <f>IF('6.2'!E124=0,"",'6.2'!E124)</f>
        <v>300391400</v>
      </c>
      <c r="C124" s="661">
        <v>47974900</v>
      </c>
      <c r="D124" s="661">
        <v>58642000</v>
      </c>
      <c r="E124" s="1466">
        <f t="shared" si="12"/>
        <v>106616900</v>
      </c>
      <c r="F124" s="1467">
        <f t="shared" si="13"/>
        <v>407008300</v>
      </c>
      <c r="G124" s="1468">
        <f t="shared" si="14"/>
        <v>0.26195264322619466</v>
      </c>
      <c r="H124" s="661">
        <v>975827.2</v>
      </c>
      <c r="I124" s="773"/>
    </row>
    <row r="125" spans="1:9" ht="11.25" customHeight="1">
      <c r="A125" s="655" t="s">
        <v>125</v>
      </c>
      <c r="B125" s="1466">
        <f>IF('6.2'!E125=0,"",'6.2'!E125)</f>
        <v>2421752500</v>
      </c>
      <c r="C125" s="661">
        <v>319513000</v>
      </c>
      <c r="D125" s="661">
        <v>200766600</v>
      </c>
      <c r="E125" s="1466">
        <f t="shared" si="12"/>
        <v>520279600</v>
      </c>
      <c r="F125" s="1467">
        <f t="shared" si="13"/>
        <v>2942032100</v>
      </c>
      <c r="G125" s="1468">
        <f t="shared" si="14"/>
        <v>0.17684361771579582</v>
      </c>
      <c r="H125" s="661">
        <v>4370348.6399999997</v>
      </c>
      <c r="I125" s="773"/>
    </row>
    <row r="126" spans="1:9" ht="11.25" customHeight="1">
      <c r="A126" s="655" t="s">
        <v>127</v>
      </c>
      <c r="B126" s="1466">
        <f>IF('6.2'!E126=0,"",'6.2'!E126)</f>
        <v>374310500</v>
      </c>
      <c r="C126" s="661">
        <v>44258800</v>
      </c>
      <c r="D126" s="661">
        <v>32205500</v>
      </c>
      <c r="E126" s="1466">
        <f t="shared" si="12"/>
        <v>76464300</v>
      </c>
      <c r="F126" s="1467">
        <f t="shared" si="13"/>
        <v>450774800</v>
      </c>
      <c r="G126" s="1468">
        <f t="shared" si="14"/>
        <v>0.16962860390598586</v>
      </c>
      <c r="H126" s="661">
        <v>703471.56</v>
      </c>
      <c r="I126" s="773"/>
    </row>
    <row r="127" spans="1:9" ht="11.25" customHeight="1">
      <c r="A127" s="655" t="s">
        <v>884</v>
      </c>
      <c r="B127" s="1466">
        <f>IF('6.2'!E127=0,"",'6.2'!E127)</f>
        <v>7210645000</v>
      </c>
      <c r="C127" s="661">
        <v>266835300</v>
      </c>
      <c r="D127" s="661">
        <v>322679500</v>
      </c>
      <c r="E127" s="1466">
        <f t="shared" si="12"/>
        <v>589514800</v>
      </c>
      <c r="F127" s="1467">
        <f t="shared" si="13"/>
        <v>7800159800</v>
      </c>
      <c r="G127" s="1468">
        <f t="shared" si="14"/>
        <v>7.5577272147680868E-2</v>
      </c>
      <c r="H127" s="661">
        <v>5954099.4800000004</v>
      </c>
      <c r="I127" s="773"/>
    </row>
    <row r="128" spans="1:9" ht="18" customHeight="1">
      <c r="A128" s="655" t="s">
        <v>423</v>
      </c>
      <c r="B128" s="1466">
        <f>IF('6.2'!E128=0,"",'6.2'!E128)</f>
        <v>5103278400</v>
      </c>
      <c r="C128" s="661">
        <v>177495700</v>
      </c>
      <c r="D128" s="661">
        <v>67372100</v>
      </c>
      <c r="E128" s="1466">
        <f t="shared" si="12"/>
        <v>244867800</v>
      </c>
      <c r="F128" s="1467">
        <f t="shared" si="13"/>
        <v>5348146200</v>
      </c>
      <c r="G128" s="1468">
        <f t="shared" si="14"/>
        <v>4.5785547149028945E-2</v>
      </c>
      <c r="H128" s="661">
        <v>3011873.94</v>
      </c>
      <c r="I128" s="773"/>
    </row>
    <row r="129" spans="1:9" ht="11.25" customHeight="1">
      <c r="A129" s="655" t="s">
        <v>24</v>
      </c>
      <c r="B129" s="1466">
        <f>IF('6.2'!E129=0,"",'6.2'!E129)</f>
        <v>611738005</v>
      </c>
      <c r="C129" s="661">
        <v>35736500</v>
      </c>
      <c r="D129" s="661">
        <v>90976400</v>
      </c>
      <c r="E129" s="1466">
        <f t="shared" si="12"/>
        <v>126712900</v>
      </c>
      <c r="F129" s="1467">
        <f t="shared" si="13"/>
        <v>738450905</v>
      </c>
      <c r="G129" s="1468">
        <f t="shared" si="14"/>
        <v>0.17159285626442561</v>
      </c>
      <c r="H129" s="661">
        <v>1305142.8700000001</v>
      </c>
      <c r="I129" s="773"/>
    </row>
    <row r="130" spans="1:9" ht="11.25" customHeight="1">
      <c r="A130" s="655" t="s">
        <v>132</v>
      </c>
      <c r="B130" s="1466">
        <f>IF('6.2'!E130=0,"",'6.2'!E130)</f>
        <v>4597863700</v>
      </c>
      <c r="C130" s="661">
        <v>970317700</v>
      </c>
      <c r="D130" s="661">
        <v>458498400</v>
      </c>
      <c r="E130" s="1466">
        <f t="shared" si="12"/>
        <v>1428816100</v>
      </c>
      <c r="F130" s="1467">
        <f t="shared" si="13"/>
        <v>6026679800</v>
      </c>
      <c r="G130" s="1468">
        <f t="shared" si="14"/>
        <v>0.23708180082837652</v>
      </c>
      <c r="H130" s="661">
        <v>11859173.630000001</v>
      </c>
      <c r="I130" s="773"/>
    </row>
    <row r="131" spans="1:9" ht="11.25" customHeight="1">
      <c r="A131" s="655" t="s">
        <v>134</v>
      </c>
      <c r="B131" s="1466">
        <f>IF('6.2'!E131=0,"",'6.2'!E131)</f>
        <v>475881450</v>
      </c>
      <c r="C131" s="661">
        <v>63234500</v>
      </c>
      <c r="D131" s="661">
        <v>25379100</v>
      </c>
      <c r="E131" s="1466">
        <f t="shared" si="12"/>
        <v>88613600</v>
      </c>
      <c r="F131" s="1467">
        <f t="shared" si="13"/>
        <v>564495050</v>
      </c>
      <c r="G131" s="1468">
        <f t="shared" si="14"/>
        <v>0.15697852443524526</v>
      </c>
      <c r="H131" s="661">
        <v>886136</v>
      </c>
      <c r="I131" s="773"/>
    </row>
    <row r="132" spans="1:9" ht="11.25" customHeight="1">
      <c r="A132" s="655" t="s">
        <v>433</v>
      </c>
      <c r="B132" s="1466">
        <f>IF('6.2'!E132=0,"",'6.2'!E132)</f>
        <v>12331567100</v>
      </c>
      <c r="C132" s="661">
        <v>3060790000</v>
      </c>
      <c r="D132" s="661">
        <v>594297100</v>
      </c>
      <c r="E132" s="1466">
        <f t="shared" si="12"/>
        <v>3655087100</v>
      </c>
      <c r="F132" s="1467">
        <f t="shared" si="13"/>
        <v>15986654200</v>
      </c>
      <c r="G132" s="1468">
        <f t="shared" si="14"/>
        <v>0.2286336499353317</v>
      </c>
      <c r="H132" s="661">
        <v>45323080.039999999</v>
      </c>
      <c r="I132" s="773"/>
    </row>
    <row r="133" spans="1:9" ht="18" customHeight="1">
      <c r="A133" s="655" t="s">
        <v>811</v>
      </c>
      <c r="B133" s="1466">
        <f>IF('6.2'!E133=0,"",'6.2'!E133)</f>
        <v>4957761950</v>
      </c>
      <c r="C133" s="661">
        <v>1270469130</v>
      </c>
      <c r="D133" s="661">
        <v>391871900</v>
      </c>
      <c r="E133" s="1466">
        <f t="shared" si="12"/>
        <v>1662341030</v>
      </c>
      <c r="F133" s="1467">
        <f t="shared" si="13"/>
        <v>6620102980</v>
      </c>
      <c r="G133" s="1468">
        <f t="shared" si="14"/>
        <v>0.25110501075619218</v>
      </c>
      <c r="H133" s="661">
        <v>15459771.579</v>
      </c>
      <c r="I133" s="773"/>
    </row>
    <row r="134" spans="1:9" ht="11.25" customHeight="1">
      <c r="A134" s="655" t="s">
        <v>140</v>
      </c>
      <c r="B134" s="1466">
        <f>IF('6.2'!E134=0,"",'6.2'!E134)</f>
        <v>1465413100</v>
      </c>
      <c r="C134" s="661">
        <v>145899600</v>
      </c>
      <c r="D134" s="661">
        <v>36024200</v>
      </c>
      <c r="E134" s="1466">
        <f t="shared" si="12"/>
        <v>181923800</v>
      </c>
      <c r="F134" s="1467">
        <f t="shared" si="13"/>
        <v>1647336900</v>
      </c>
      <c r="G134" s="1468">
        <f t="shared" si="14"/>
        <v>0.11043509072127262</v>
      </c>
      <c r="H134" s="661">
        <v>2055738.94</v>
      </c>
      <c r="I134" s="773"/>
    </row>
    <row r="135" spans="1:9" ht="11.25" customHeight="1">
      <c r="A135" s="655" t="s">
        <v>812</v>
      </c>
      <c r="B135" s="1466">
        <f>IF('6.2'!E135=0,"",'6.2'!E135)</f>
        <v>582633400</v>
      </c>
      <c r="C135" s="661">
        <v>530339800</v>
      </c>
      <c r="D135" s="661">
        <v>543066000</v>
      </c>
      <c r="E135" s="1466">
        <f t="shared" si="12"/>
        <v>1073405800</v>
      </c>
      <c r="F135" s="1467">
        <f t="shared" si="13"/>
        <v>1656039200</v>
      </c>
      <c r="G135" s="1468">
        <f t="shared" si="14"/>
        <v>0.64817656490256992</v>
      </c>
      <c r="H135" s="661">
        <v>11378101.48</v>
      </c>
      <c r="I135" s="773"/>
    </row>
    <row r="136" spans="1:9" ht="11.25" customHeight="1">
      <c r="A136" s="655" t="s">
        <v>144</v>
      </c>
      <c r="B136" s="1466">
        <f>IF('6.2'!E136=0,"",'6.2'!E136)</f>
        <v>6195343900</v>
      </c>
      <c r="C136" s="661">
        <v>496892200</v>
      </c>
      <c r="D136" s="661">
        <v>1511086400</v>
      </c>
      <c r="E136" s="1466">
        <f t="shared" si="12"/>
        <v>2007978600</v>
      </c>
      <c r="F136" s="1467">
        <f t="shared" si="13"/>
        <v>8203322500</v>
      </c>
      <c r="G136" s="1468">
        <f t="shared" si="14"/>
        <v>0.24477625986300064</v>
      </c>
      <c r="H136" s="661">
        <v>22288562.460000001</v>
      </c>
      <c r="I136" s="773"/>
    </row>
    <row r="137" spans="1:9">
      <c r="A137" s="655" t="s">
        <v>813</v>
      </c>
      <c r="B137" s="1466">
        <f>IF('6.2'!E137=0,"",'6.2'!E137)</f>
        <v>5680909000</v>
      </c>
      <c r="C137" s="661">
        <v>573373300</v>
      </c>
      <c r="D137" s="661">
        <v>236204000</v>
      </c>
      <c r="E137" s="1466">
        <f t="shared" si="12"/>
        <v>809577300</v>
      </c>
      <c r="F137" s="1467">
        <f t="shared" si="13"/>
        <v>6490486300</v>
      </c>
      <c r="G137" s="1468">
        <f t="shared" si="14"/>
        <v>0.12473291870287131</v>
      </c>
      <c r="H137" s="661">
        <v>11568859.617000001</v>
      </c>
      <c r="I137" s="773"/>
    </row>
    <row r="138" spans="1:9" ht="18" customHeight="1">
      <c r="A138" s="655" t="s">
        <v>324</v>
      </c>
      <c r="B138" s="1461">
        <f>IF('6.2'!E138=0,"",'6.2'!E138)</f>
        <v>2162602400</v>
      </c>
      <c r="C138" s="660">
        <v>186092300</v>
      </c>
      <c r="D138" s="660">
        <v>4929400</v>
      </c>
      <c r="E138" s="1461">
        <f t="shared" ref="E138:E155" si="15">IF(SUM(C138:D138)=0,"",SUM(C138:D138))</f>
        <v>191021700</v>
      </c>
      <c r="F138" s="1462">
        <f t="shared" ref="F138:F155" si="16">IFERROR(B138+E138,"")</f>
        <v>2353624100</v>
      </c>
      <c r="G138" s="1465">
        <f t="shared" ref="G138:G155" si="17">IFERROR(E138/F138,"")</f>
        <v>8.1160666225333092E-2</v>
      </c>
      <c r="H138" s="660">
        <v>2769814.65</v>
      </c>
      <c r="I138" s="773"/>
    </row>
    <row r="139" spans="1:9" ht="11.25" customHeight="1">
      <c r="A139" s="655" t="s">
        <v>150</v>
      </c>
      <c r="B139" s="1466">
        <f>IF('6.2'!E139=0,"",'6.2'!E139)</f>
        <v>649822186</v>
      </c>
      <c r="C139" s="661">
        <v>55490400</v>
      </c>
      <c r="D139" s="661">
        <v>89135000</v>
      </c>
      <c r="E139" s="1466">
        <f t="shared" si="15"/>
        <v>144625400</v>
      </c>
      <c r="F139" s="1467">
        <f t="shared" si="16"/>
        <v>794447586</v>
      </c>
      <c r="G139" s="1468">
        <f t="shared" si="17"/>
        <v>0.18204523816124982</v>
      </c>
      <c r="H139" s="661">
        <v>1503742.5965</v>
      </c>
      <c r="I139" s="773"/>
    </row>
    <row r="140" spans="1:9" ht="11.25" customHeight="1">
      <c r="A140" s="655" t="s">
        <v>152</v>
      </c>
      <c r="B140" s="1466">
        <f>IF('6.2'!E140=0,"",'6.2'!E140)</f>
        <v>17648732600</v>
      </c>
      <c r="C140" s="661">
        <v>6609514200</v>
      </c>
      <c r="D140" s="661">
        <v>836717900</v>
      </c>
      <c r="E140" s="1466">
        <f t="shared" si="15"/>
        <v>7446232100</v>
      </c>
      <c r="F140" s="1467">
        <f t="shared" si="16"/>
        <v>25094964700</v>
      </c>
      <c r="G140" s="1468">
        <f t="shared" si="17"/>
        <v>0.29672215876836838</v>
      </c>
      <c r="H140" s="661">
        <v>90844031.620000005</v>
      </c>
      <c r="I140" s="773"/>
    </row>
    <row r="141" spans="1:9" ht="11.25" customHeight="1">
      <c r="A141" s="655" t="s">
        <v>154</v>
      </c>
      <c r="B141" s="1466">
        <f>IF('6.2'!E141=0,"",'6.2'!E141)</f>
        <v>24228514300</v>
      </c>
      <c r="C141" s="661">
        <v>11570135900</v>
      </c>
      <c r="D141" s="661">
        <v>1709844600</v>
      </c>
      <c r="E141" s="1466">
        <f t="shared" si="15"/>
        <v>13279980500</v>
      </c>
      <c r="F141" s="1467">
        <f t="shared" si="16"/>
        <v>37508494800</v>
      </c>
      <c r="G141" s="1468">
        <f t="shared" si="17"/>
        <v>0.35405261050358117</v>
      </c>
      <c r="H141" s="661">
        <v>165999756.25</v>
      </c>
      <c r="I141" s="773"/>
    </row>
    <row r="142" spans="1:9" ht="11.25" customHeight="1">
      <c r="A142" s="655" t="s">
        <v>814</v>
      </c>
      <c r="B142" s="1466">
        <f>IF('6.2'!E142=0,"",'6.2'!E142)</f>
        <v>227899600</v>
      </c>
      <c r="C142" s="661">
        <v>38860500</v>
      </c>
      <c r="D142" s="661">
        <v>40161800</v>
      </c>
      <c r="E142" s="1466">
        <f t="shared" si="15"/>
        <v>79022300</v>
      </c>
      <c r="F142" s="1467">
        <f t="shared" si="16"/>
        <v>306921900</v>
      </c>
      <c r="G142" s="1468">
        <f t="shared" si="17"/>
        <v>0.25746712763084029</v>
      </c>
      <c r="H142" s="661">
        <v>711200.7</v>
      </c>
      <c r="I142" s="773"/>
    </row>
    <row r="143" spans="1:9" ht="18" customHeight="1">
      <c r="A143" s="671" t="s">
        <v>344</v>
      </c>
      <c r="B143" s="1466">
        <f>IF('6.2'!E143=0,"",'6.2'!E143)</f>
        <v>2020664260</v>
      </c>
      <c r="C143" s="661">
        <v>257021900</v>
      </c>
      <c r="D143" s="661">
        <v>104204100</v>
      </c>
      <c r="E143" s="1466">
        <f t="shared" si="15"/>
        <v>361226000</v>
      </c>
      <c r="F143" s="1467">
        <f t="shared" si="16"/>
        <v>2381890260</v>
      </c>
      <c r="G143" s="1468">
        <f t="shared" si="17"/>
        <v>0.15165518162872876</v>
      </c>
      <c r="H143" s="661">
        <v>4876551</v>
      </c>
      <c r="I143" s="773"/>
    </row>
    <row r="144" spans="1:9" ht="11.25" customHeight="1">
      <c r="A144" s="655" t="s">
        <v>348</v>
      </c>
      <c r="B144" s="1466">
        <f>IF('6.2'!E144=0,"",'6.2'!E144)</f>
        <v>1796949800</v>
      </c>
      <c r="C144" s="661">
        <v>41059200</v>
      </c>
      <c r="D144" s="661">
        <v>62866300</v>
      </c>
      <c r="E144" s="1466">
        <f t="shared" si="15"/>
        <v>103925500</v>
      </c>
      <c r="F144" s="1467">
        <f t="shared" si="16"/>
        <v>1900875300</v>
      </c>
      <c r="G144" s="1468">
        <f t="shared" si="17"/>
        <v>5.4672444846855552E-2</v>
      </c>
      <c r="H144" s="661">
        <v>1174358.1499999999</v>
      </c>
      <c r="I144" s="773"/>
    </row>
    <row r="145" spans="1:9" ht="11.25" customHeight="1">
      <c r="A145" s="655" t="s">
        <v>352</v>
      </c>
      <c r="B145" s="1466">
        <f>IF('6.2'!E145=0,"",'6.2'!E145)</f>
        <v>7829736060</v>
      </c>
      <c r="C145" s="661">
        <v>5013024232</v>
      </c>
      <c r="D145" s="661">
        <v>592442960</v>
      </c>
      <c r="E145" s="1466">
        <f t="shared" si="15"/>
        <v>5605467192</v>
      </c>
      <c r="F145" s="1467">
        <f t="shared" si="16"/>
        <v>13435203252</v>
      </c>
      <c r="G145" s="1468">
        <f t="shared" si="17"/>
        <v>0.41722235881809644</v>
      </c>
      <c r="H145" s="661">
        <v>72871073.496000007</v>
      </c>
      <c r="I145" s="773"/>
    </row>
    <row r="146" spans="1:9" ht="11.25" customHeight="1">
      <c r="A146" s="655" t="s">
        <v>164</v>
      </c>
      <c r="B146" s="1466">
        <f>IF('6.2'!E146=0,"",'6.2'!E146)</f>
        <v>885771500</v>
      </c>
      <c r="C146" s="661">
        <v>684012200</v>
      </c>
      <c r="D146" s="661">
        <v>29797900</v>
      </c>
      <c r="E146" s="1466">
        <f t="shared" si="15"/>
        <v>713810100</v>
      </c>
      <c r="F146" s="1467">
        <f t="shared" si="16"/>
        <v>1599581600</v>
      </c>
      <c r="G146" s="1468">
        <f t="shared" si="17"/>
        <v>0.44624800635366146</v>
      </c>
      <c r="H146" s="661">
        <v>5996004.8399999999</v>
      </c>
      <c r="I146" s="773"/>
    </row>
    <row r="147" spans="1:9" ht="11.25" customHeight="1">
      <c r="A147" s="655" t="s">
        <v>360</v>
      </c>
      <c r="B147" s="1466">
        <f>IF('6.2'!E147=0,"",'6.2'!E147)</f>
        <v>31758008000</v>
      </c>
      <c r="C147" s="661">
        <v>6732062000</v>
      </c>
      <c r="D147" s="661">
        <v>2611493000</v>
      </c>
      <c r="E147" s="1466">
        <f t="shared" si="15"/>
        <v>9343555000</v>
      </c>
      <c r="F147" s="1467">
        <f t="shared" si="16"/>
        <v>41101563000</v>
      </c>
      <c r="G147" s="1468">
        <f t="shared" si="17"/>
        <v>0.22732845950408262</v>
      </c>
      <c r="H147" s="661">
        <v>112122660</v>
      </c>
      <c r="I147" s="773"/>
    </row>
    <row r="148" spans="1:9" ht="18" customHeight="1">
      <c r="A148" s="655" t="s">
        <v>25</v>
      </c>
      <c r="B148" s="1466">
        <f>IF('6.2'!E148=0,"",'6.2'!E148)</f>
        <v>9684394100</v>
      </c>
      <c r="C148" s="661">
        <v>1154744700</v>
      </c>
      <c r="D148" s="661">
        <v>1222556600</v>
      </c>
      <c r="E148" s="1466">
        <f t="shared" si="15"/>
        <v>2377301300</v>
      </c>
      <c r="F148" s="1467">
        <f t="shared" si="16"/>
        <v>12061695400</v>
      </c>
      <c r="G148" s="1468">
        <f t="shared" si="17"/>
        <v>0.1970951198120954</v>
      </c>
      <c r="H148" s="661">
        <v>29003075.859999999</v>
      </c>
      <c r="I148" s="773"/>
    </row>
    <row r="149" spans="1:9" ht="11.25" customHeight="1">
      <c r="A149" s="655" t="s">
        <v>368</v>
      </c>
      <c r="B149" s="1466">
        <f>IF('6.2'!E149=0,"",'6.2'!E149)</f>
        <v>2505291200</v>
      </c>
      <c r="C149" s="661">
        <v>368844800</v>
      </c>
      <c r="D149" s="661">
        <v>209338500</v>
      </c>
      <c r="E149" s="1466">
        <f t="shared" si="15"/>
        <v>578183300</v>
      </c>
      <c r="F149" s="1467">
        <f t="shared" si="16"/>
        <v>3083474500</v>
      </c>
      <c r="G149" s="1468">
        <f t="shared" si="17"/>
        <v>0.1875103231760146</v>
      </c>
      <c r="H149" s="661">
        <v>6938199.5999999996</v>
      </c>
      <c r="I149" s="773"/>
    </row>
    <row r="150" spans="1:9" ht="11.25" customHeight="1">
      <c r="A150" s="655" t="s">
        <v>372</v>
      </c>
      <c r="B150" s="1466">
        <f>IF('6.2'!E150=0,"",'6.2'!E150)</f>
        <v>2296561672</v>
      </c>
      <c r="C150" s="661">
        <v>269452770</v>
      </c>
      <c r="D150" s="661">
        <v>174188440</v>
      </c>
      <c r="E150" s="1466">
        <f t="shared" si="15"/>
        <v>443641210</v>
      </c>
      <c r="F150" s="1467">
        <f t="shared" si="16"/>
        <v>2740202882</v>
      </c>
      <c r="G150" s="1468">
        <f t="shared" si="17"/>
        <v>0.16190086249241453</v>
      </c>
      <c r="H150" s="661">
        <v>4081499.1320000002</v>
      </c>
      <c r="I150" s="773"/>
    </row>
    <row r="151" spans="1:9" ht="11.25" customHeight="1">
      <c r="A151" s="655" t="s">
        <v>167</v>
      </c>
      <c r="B151" s="1466">
        <f>IF('6.2'!E151=0,"",'6.2'!E151)</f>
        <v>11865794500</v>
      </c>
      <c r="C151" s="661">
        <v>744435300</v>
      </c>
      <c r="D151" s="661">
        <v>363128100</v>
      </c>
      <c r="E151" s="1466">
        <f t="shared" si="15"/>
        <v>1107563400</v>
      </c>
      <c r="F151" s="1467">
        <f t="shared" si="16"/>
        <v>12973357900</v>
      </c>
      <c r="G151" s="1468">
        <f t="shared" si="17"/>
        <v>8.5372145633937996E-2</v>
      </c>
      <c r="H151" s="661">
        <v>12293953.74</v>
      </c>
      <c r="I151" s="773"/>
    </row>
    <row r="152" spans="1:9" ht="11.25" customHeight="1">
      <c r="A152" s="655" t="s">
        <v>592</v>
      </c>
      <c r="B152" s="1466">
        <f>IF('6.2'!E152=0,"",'6.2'!E152)</f>
        <v>64059500200</v>
      </c>
      <c r="C152" s="661">
        <v>9830129300</v>
      </c>
      <c r="D152" s="661">
        <v>1888781600</v>
      </c>
      <c r="E152" s="1466">
        <f t="shared" si="15"/>
        <v>11718910900</v>
      </c>
      <c r="F152" s="1467">
        <f t="shared" si="16"/>
        <v>75778411100</v>
      </c>
      <c r="G152" s="1468">
        <f t="shared" si="17"/>
        <v>0.15464709182850628</v>
      </c>
      <c r="H152" s="661">
        <v>116017217.91</v>
      </c>
      <c r="I152" s="773"/>
    </row>
    <row r="153" spans="1:9" ht="18" customHeight="1">
      <c r="A153" s="655" t="s">
        <v>169</v>
      </c>
      <c r="B153" s="1466">
        <f>IF('6.2'!E153=0,"",'6.2'!E153)</f>
        <v>3383085600</v>
      </c>
      <c r="C153" s="661">
        <v>115467100</v>
      </c>
      <c r="D153" s="661">
        <v>189946700</v>
      </c>
      <c r="E153" s="1466">
        <f t="shared" si="15"/>
        <v>305413800</v>
      </c>
      <c r="F153" s="1467">
        <f t="shared" si="16"/>
        <v>3688499400</v>
      </c>
      <c r="G153" s="1468">
        <f t="shared" si="17"/>
        <v>8.2801640146667771E-2</v>
      </c>
      <c r="H153" s="661">
        <v>2748724.2</v>
      </c>
      <c r="I153" s="773"/>
    </row>
    <row r="154" spans="1:9" ht="11.25" customHeight="1">
      <c r="A154" s="655" t="s">
        <v>815</v>
      </c>
      <c r="B154" s="1466">
        <f>IF('6.2'!E154=0,"",'6.2'!E154)</f>
        <v>2150088100</v>
      </c>
      <c r="C154" s="661">
        <v>201669500</v>
      </c>
      <c r="D154" s="661">
        <v>945632300</v>
      </c>
      <c r="E154" s="1466">
        <f t="shared" si="15"/>
        <v>1147301800</v>
      </c>
      <c r="F154" s="1467">
        <f t="shared" si="16"/>
        <v>3297389900</v>
      </c>
      <c r="G154" s="1468">
        <f t="shared" si="17"/>
        <v>0.34794241348285804</v>
      </c>
      <c r="H154" s="661">
        <v>7342731.5199999996</v>
      </c>
      <c r="I154" s="773"/>
    </row>
    <row r="155" spans="1:9" ht="11.25" customHeight="1">
      <c r="A155" s="655" t="s">
        <v>173</v>
      </c>
      <c r="B155" s="1466">
        <f>IF('6.2'!E155=0,"",'6.2'!E155)</f>
        <v>3396325988</v>
      </c>
      <c r="C155" s="661">
        <v>166245100</v>
      </c>
      <c r="D155" s="661">
        <v>838021952</v>
      </c>
      <c r="E155" s="1466">
        <f t="shared" si="15"/>
        <v>1004267052</v>
      </c>
      <c r="F155" s="1467">
        <f t="shared" si="16"/>
        <v>4400593040</v>
      </c>
      <c r="G155" s="1468">
        <f t="shared" si="17"/>
        <v>0.22821175302317889</v>
      </c>
      <c r="H155" s="661">
        <v>9339683.5835999995</v>
      </c>
      <c r="I155" s="773"/>
    </row>
    <row r="156" spans="1:9" ht="5.15" customHeight="1">
      <c r="E156" s="661"/>
      <c r="F156" s="930"/>
      <c r="G156" s="678"/>
    </row>
    <row r="157" spans="1:9" ht="12.75" customHeight="1">
      <c r="A157" s="672" t="s">
        <v>27</v>
      </c>
      <c r="B157" s="672">
        <f>SUM(B118:B136,B137:B155)</f>
        <v>329665685454</v>
      </c>
      <c r="C157" s="672">
        <f>SUM(C118:C136,C137:C155)</f>
        <v>59675198790</v>
      </c>
      <c r="D157" s="672">
        <f>SUM(D118:D136,D137:D155)</f>
        <v>21137786406</v>
      </c>
      <c r="E157" s="672">
        <f>SUM(E118:E136,E137:E155)</f>
        <v>80812985196</v>
      </c>
      <c r="F157" s="932">
        <f>SUM(F118:F136,F137:F155)</f>
        <v>410478670650</v>
      </c>
      <c r="G157" s="775">
        <f>E157/F157</f>
        <v>0.19687499247654269</v>
      </c>
      <c r="H157" s="672">
        <f>SUM(H118:H136,H137:H155)</f>
        <v>914298757.29729998</v>
      </c>
    </row>
    <row r="158" spans="1:9" ht="12.75" customHeight="1">
      <c r="A158" s="672" t="s">
        <v>22</v>
      </c>
      <c r="B158" s="672">
        <f t="shared" ref="B158:H158" si="18">B112</f>
        <v>1090504432883</v>
      </c>
      <c r="C158" s="672">
        <f t="shared" si="18"/>
        <v>72539660885</v>
      </c>
      <c r="D158" s="672">
        <f t="shared" si="18"/>
        <v>37703294215</v>
      </c>
      <c r="E158" s="672">
        <f t="shared" si="18"/>
        <v>110242955100</v>
      </c>
      <c r="F158" s="932">
        <f t="shared" si="18"/>
        <v>1200747387983</v>
      </c>
      <c r="G158" s="775">
        <f>E158/F158</f>
        <v>9.1811946628661587E-2</v>
      </c>
      <c r="H158" s="672">
        <f t="shared" si="18"/>
        <v>954798147.99950051</v>
      </c>
    </row>
    <row r="159" spans="1:9" ht="5.15" customHeight="1">
      <c r="A159" s="660"/>
      <c r="B159" s="660"/>
      <c r="C159" s="660"/>
      <c r="D159" s="660"/>
      <c r="E159" s="660"/>
      <c r="F159" s="931"/>
      <c r="G159" s="660"/>
      <c r="H159" s="660"/>
    </row>
    <row r="160" spans="1:9" ht="12.75" customHeight="1">
      <c r="A160" s="672" t="s">
        <v>28</v>
      </c>
      <c r="B160" s="672">
        <f>SUM(B157:B158)</f>
        <v>1420170118337</v>
      </c>
      <c r="C160" s="672">
        <f>SUM(C157:C158)</f>
        <v>132214859675</v>
      </c>
      <c r="D160" s="672">
        <f>SUM(D157:D158)</f>
        <v>58841080621</v>
      </c>
      <c r="E160" s="672">
        <f>SUM(E157:E158)</f>
        <v>191055940296</v>
      </c>
      <c r="F160" s="932">
        <f>SUM(F157:F158)</f>
        <v>1611226058633</v>
      </c>
      <c r="G160" s="775">
        <f>E160/F160</f>
        <v>0.11857798554853073</v>
      </c>
      <c r="H160" s="672">
        <f>SUM(H157:H158)</f>
        <v>1869096905.2968006</v>
      </c>
    </row>
    <row r="161" spans="1:9" ht="3" customHeight="1">
      <c r="A161" s="679"/>
      <c r="B161" s="680"/>
      <c r="C161" s="679"/>
      <c r="D161" s="679"/>
      <c r="E161" s="680"/>
      <c r="F161" s="680"/>
      <c r="G161" s="511"/>
      <c r="H161" s="679"/>
    </row>
    <row r="162" spans="1:9" s="1146" customFormat="1" ht="10" customHeight="1">
      <c r="A162" s="1146" t="s">
        <v>1</v>
      </c>
      <c r="B162" s="1147"/>
      <c r="C162" s="1149"/>
      <c r="D162" s="1149"/>
      <c r="E162" s="1147"/>
      <c r="F162" s="1147"/>
      <c r="G162" s="1147"/>
      <c r="H162" s="1149"/>
      <c r="I162" s="1148"/>
    </row>
    <row r="163" spans="1:9" s="1146" customFormat="1" ht="10" customHeight="1">
      <c r="A163" s="1322" t="s">
        <v>982</v>
      </c>
      <c r="F163" s="1149"/>
      <c r="G163" s="1150"/>
      <c r="I163" s="1148"/>
    </row>
    <row r="164" spans="1:9" s="1146" customFormat="1" ht="10" customHeight="1">
      <c r="A164" s="1322" t="s">
        <v>1239</v>
      </c>
      <c r="G164" s="1150"/>
      <c r="I164" s="1148"/>
    </row>
    <row r="165" spans="1:9" s="1146" customFormat="1" ht="10" customHeight="1">
      <c r="A165" s="1322" t="s">
        <v>1240</v>
      </c>
      <c r="G165" s="1150"/>
      <c r="I165" s="1148"/>
    </row>
    <row r="166" spans="1:9" s="1146" customFormat="1" ht="10" customHeight="1">
      <c r="A166" s="1145" t="s">
        <v>953</v>
      </c>
      <c r="B166" s="1151"/>
      <c r="C166" s="1460"/>
      <c r="D166" s="1460"/>
      <c r="E166" s="1151"/>
      <c r="F166" s="1151"/>
      <c r="G166" s="1152"/>
      <c r="H166" s="1460"/>
      <c r="I166" s="1153"/>
    </row>
    <row r="167" spans="1:9">
      <c r="A167" s="757"/>
      <c r="B167" s="758"/>
      <c r="C167" s="675"/>
      <c r="D167" s="675"/>
      <c r="E167" s="758"/>
      <c r="F167" s="758"/>
      <c r="G167" s="759"/>
      <c r="H167" s="675"/>
      <c r="I167" s="765"/>
    </row>
    <row r="168" spans="1:9">
      <c r="A168" s="757"/>
      <c r="B168" s="758"/>
      <c r="C168" s="675"/>
      <c r="D168" s="675"/>
      <c r="E168" s="758"/>
      <c r="F168" s="758"/>
      <c r="G168" s="758"/>
      <c r="H168" s="675"/>
      <c r="I168" s="765"/>
    </row>
    <row r="169" spans="1:9">
      <c r="A169" s="757"/>
      <c r="B169" s="758"/>
      <c r="C169" s="675"/>
      <c r="D169" s="675"/>
      <c r="E169" s="758"/>
      <c r="F169" s="758"/>
      <c r="G169" s="759"/>
      <c r="H169" s="675"/>
      <c r="I169" s="765"/>
    </row>
    <row r="170" spans="1:9">
      <c r="A170" s="757"/>
      <c r="B170" s="757"/>
      <c r="E170" s="757"/>
      <c r="F170" s="757"/>
      <c r="G170" s="757"/>
      <c r="I170" s="765"/>
    </row>
    <row r="171" spans="1:9">
      <c r="A171" s="757"/>
      <c r="B171" s="760"/>
      <c r="C171" s="676"/>
      <c r="D171" s="676"/>
      <c r="E171" s="760"/>
      <c r="F171" s="760"/>
      <c r="G171" s="760"/>
      <c r="H171" s="676"/>
      <c r="I171" s="765"/>
    </row>
    <row r="172" spans="1:9">
      <c r="A172" s="757"/>
      <c r="B172" s="760"/>
      <c r="C172" s="676"/>
      <c r="D172" s="676"/>
      <c r="E172" s="760"/>
      <c r="F172" s="760"/>
      <c r="G172" s="760"/>
      <c r="H172" s="676"/>
      <c r="I172" s="765"/>
    </row>
    <row r="173" spans="1:9">
      <c r="A173" s="757"/>
      <c r="B173" s="760"/>
      <c r="C173" s="676"/>
      <c r="D173" s="676"/>
      <c r="E173" s="760"/>
      <c r="F173" s="760"/>
      <c r="G173" s="760"/>
      <c r="H173" s="676"/>
      <c r="I173" s="765"/>
    </row>
    <row r="174" spans="1:9">
      <c r="A174" s="757"/>
      <c r="B174" s="760"/>
      <c r="C174" s="676"/>
      <c r="D174" s="676"/>
      <c r="E174" s="760"/>
      <c r="F174" s="760"/>
      <c r="G174" s="760"/>
      <c r="H174" s="676"/>
      <c r="I174" s="765"/>
    </row>
    <row r="175" spans="1:9">
      <c r="B175" s="760"/>
      <c r="C175" s="676"/>
      <c r="D175" s="676"/>
      <c r="E175" s="760"/>
      <c r="F175" s="760"/>
      <c r="G175" s="760"/>
      <c r="H175" s="676"/>
      <c r="I175" s="655"/>
    </row>
  </sheetData>
  <hyperlinks>
    <hyperlink ref="I1" location="TOC!A1" display="Back" xr:uid="{00000000-0004-0000-2000-000000000000}"/>
  </hyperlinks>
  <pageMargins left="0.75" right="0.25" top="0.4" bottom="0.2" header="0.25" footer="0"/>
  <pageSetup scale="88" fitToHeight="5" orientation="landscape" r:id="rId1"/>
  <headerFooter scaleWithDoc="0">
    <oddHeader>&amp;R&amp;P</oddHeader>
  </headerFooter>
  <rowBreaks count="3" manualBreakCount="3">
    <brk id="35" max="7" man="1"/>
    <brk id="70" max="7" man="1"/>
    <brk id="112" max="7"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7030A0"/>
  </sheetPr>
  <dimension ref="A1:H218"/>
  <sheetViews>
    <sheetView zoomScale="90" zoomScaleNormal="90" workbookViewId="0">
      <selection activeCell="N59" sqref="N59"/>
    </sheetView>
  </sheetViews>
  <sheetFormatPr defaultColWidth="8.7265625" defaultRowHeight="11.5"/>
  <cols>
    <col min="1" max="1" width="16.7265625" style="712" customWidth="1"/>
    <col min="2" max="2" width="17" style="712" bestFit="1" customWidth="1"/>
    <col min="3" max="3" width="16.26953125" style="712" bestFit="1" customWidth="1"/>
    <col min="4" max="4" width="15.26953125" style="712" bestFit="1" customWidth="1"/>
    <col min="5" max="5" width="16.26953125" style="712" bestFit="1" customWidth="1"/>
    <col min="6" max="6" width="16.81640625" style="712" customWidth="1"/>
    <col min="7" max="7" width="12.7265625" style="712" bestFit="1" customWidth="1"/>
    <col min="8" max="8" width="14.453125" style="712" bestFit="1" customWidth="1"/>
    <col min="9" max="16384" width="8.7265625" style="655"/>
  </cols>
  <sheetData>
    <row r="1" spans="1:8" s="669" customFormat="1" ht="14">
      <c r="A1" s="711" t="s">
        <v>822</v>
      </c>
      <c r="B1" s="723"/>
      <c r="C1" s="723"/>
      <c r="D1" s="723"/>
      <c r="E1" s="723"/>
      <c r="F1" s="723"/>
      <c r="G1" s="723"/>
      <c r="H1" s="723"/>
    </row>
    <row r="2" spans="1:8" s="677" customFormat="1" ht="13">
      <c r="A2" s="1648" t="s">
        <v>878</v>
      </c>
      <c r="B2" s="1648"/>
      <c r="C2" s="1648"/>
      <c r="D2" s="1648"/>
      <c r="E2" s="1648"/>
      <c r="F2" s="1648"/>
      <c r="G2" s="1648"/>
      <c r="H2" s="1648"/>
    </row>
    <row r="3" spans="1:8" s="669" customFormat="1" ht="12" thickBot="1">
      <c r="A3" s="713"/>
      <c r="B3" s="713"/>
      <c r="C3" s="713"/>
      <c r="D3" s="713"/>
      <c r="E3" s="713"/>
      <c r="F3" s="713"/>
      <c r="G3" s="713"/>
      <c r="H3" s="713"/>
    </row>
    <row r="4" spans="1:8" ht="14.25" customHeight="1">
      <c r="A4" s="724"/>
      <c r="B4" s="724"/>
      <c r="C4" s="724"/>
      <c r="D4" s="724"/>
      <c r="E4" s="724"/>
      <c r="F4" s="724" t="s">
        <v>805</v>
      </c>
      <c r="G4" s="724"/>
      <c r="H4" s="724" t="s">
        <v>823</v>
      </c>
    </row>
    <row r="5" spans="1:8" ht="12.75" customHeight="1">
      <c r="A5" s="718"/>
      <c r="B5" s="718" t="s">
        <v>824</v>
      </c>
      <c r="C5" s="1647" t="s">
        <v>825</v>
      </c>
      <c r="D5" s="1647"/>
      <c r="E5" s="1647"/>
      <c r="F5" s="718" t="s">
        <v>826</v>
      </c>
      <c r="G5" s="718" t="s">
        <v>827</v>
      </c>
      <c r="H5" s="718" t="s">
        <v>828</v>
      </c>
    </row>
    <row r="6" spans="1:8">
      <c r="A6" s="714" t="s">
        <v>21</v>
      </c>
      <c r="B6" s="714" t="s">
        <v>829</v>
      </c>
      <c r="C6" s="714" t="s">
        <v>830</v>
      </c>
      <c r="D6" s="714" t="s">
        <v>831</v>
      </c>
      <c r="E6" s="714" t="s">
        <v>832</v>
      </c>
      <c r="F6" s="714" t="s">
        <v>833</v>
      </c>
      <c r="G6" s="714" t="s">
        <v>805</v>
      </c>
      <c r="H6" s="714" t="s">
        <v>312</v>
      </c>
    </row>
    <row r="7" spans="1:8" ht="6.75" customHeight="1">
      <c r="A7" s="718"/>
      <c r="B7" s="718"/>
      <c r="C7" s="718"/>
      <c r="D7" s="718"/>
      <c r="E7" s="718"/>
      <c r="F7" s="718"/>
      <c r="G7" s="718"/>
      <c r="H7" s="718"/>
    </row>
    <row r="8" spans="1:8" ht="11.25" customHeight="1">
      <c r="A8" s="712" t="s">
        <v>50</v>
      </c>
      <c r="B8" s="725">
        <v>3660008300</v>
      </c>
      <c r="C8" s="689">
        <v>500195200</v>
      </c>
      <c r="D8" s="689">
        <v>219626700</v>
      </c>
      <c r="E8" s="725">
        <v>719821900</v>
      </c>
      <c r="F8" s="725">
        <v>4379830200</v>
      </c>
      <c r="G8" s="726">
        <v>0.16434927089182591</v>
      </c>
      <c r="H8" s="689">
        <v>4390913.59</v>
      </c>
    </row>
    <row r="9" spans="1:8" ht="11.25" customHeight="1">
      <c r="A9" s="712" t="s">
        <v>52</v>
      </c>
      <c r="B9" s="716">
        <v>20552760100</v>
      </c>
      <c r="C9" s="715">
        <v>2988860500</v>
      </c>
      <c r="D9" s="715">
        <v>1153380200</v>
      </c>
      <c r="E9" s="716">
        <v>4142240700</v>
      </c>
      <c r="F9" s="716">
        <v>24695000800</v>
      </c>
      <c r="G9" s="726">
        <v>0.16773600185507992</v>
      </c>
      <c r="H9" s="715">
        <v>35374735.577999994</v>
      </c>
    </row>
    <row r="10" spans="1:8" ht="11.25" customHeight="1">
      <c r="A10" s="712" t="s">
        <v>54</v>
      </c>
      <c r="B10" s="716">
        <v>1121806200</v>
      </c>
      <c r="C10" s="715">
        <v>186611800</v>
      </c>
      <c r="D10" s="715">
        <v>103124800</v>
      </c>
      <c r="E10" s="716">
        <v>289736600</v>
      </c>
      <c r="F10" s="716">
        <v>1411542800</v>
      </c>
      <c r="G10" s="726">
        <v>0.20526235548791011</v>
      </c>
      <c r="H10" s="715">
        <v>2115077.1799999997</v>
      </c>
    </row>
    <row r="11" spans="1:8" ht="11.25" customHeight="1">
      <c r="A11" s="712" t="s">
        <v>56</v>
      </c>
      <c r="B11" s="716">
        <v>1292925055</v>
      </c>
      <c r="C11" s="715">
        <v>28922100</v>
      </c>
      <c r="D11" s="715">
        <v>54027300</v>
      </c>
      <c r="E11" s="716">
        <v>82949400</v>
      </c>
      <c r="F11" s="716">
        <v>1375874455</v>
      </c>
      <c r="G11" s="726">
        <v>6.028849485398724E-2</v>
      </c>
      <c r="H11" s="715">
        <v>398157.12</v>
      </c>
    </row>
    <row r="12" spans="1:8" ht="11.25" customHeight="1">
      <c r="A12" s="712" t="s">
        <v>58</v>
      </c>
      <c r="B12" s="716">
        <v>2652114000</v>
      </c>
      <c r="C12" s="715">
        <v>210553000</v>
      </c>
      <c r="D12" s="715">
        <v>348798800</v>
      </c>
      <c r="E12" s="716">
        <v>559351800</v>
      </c>
      <c r="F12" s="716">
        <v>3211465800</v>
      </c>
      <c r="G12" s="726">
        <v>0.17417336345291301</v>
      </c>
      <c r="H12" s="715">
        <v>3412045.9800000004</v>
      </c>
    </row>
    <row r="13" spans="1:8" ht="9" customHeight="1">
      <c r="B13" s="716"/>
      <c r="C13" s="715"/>
      <c r="D13" s="715"/>
      <c r="E13" s="716"/>
      <c r="F13" s="716"/>
      <c r="G13" s="726"/>
      <c r="H13" s="715"/>
    </row>
    <row r="14" spans="1:8" ht="11.25" customHeight="1">
      <c r="A14" s="712" t="s">
        <v>60</v>
      </c>
      <c r="B14" s="716">
        <v>1384557000</v>
      </c>
      <c r="C14" s="715">
        <v>139564800</v>
      </c>
      <c r="D14" s="715">
        <v>39838800</v>
      </c>
      <c r="E14" s="716">
        <v>179403600</v>
      </c>
      <c r="F14" s="716">
        <v>1563960600</v>
      </c>
      <c r="G14" s="726">
        <v>0.11471107392347352</v>
      </c>
      <c r="H14" s="715">
        <v>1166123.4000000001</v>
      </c>
    </row>
    <row r="15" spans="1:8" ht="11.25" customHeight="1">
      <c r="A15" s="712" t="s">
        <v>891</v>
      </c>
      <c r="B15" s="716">
        <v>77590138200</v>
      </c>
      <c r="C15" s="715">
        <v>7636276600</v>
      </c>
      <c r="D15" s="715">
        <v>1302834300</v>
      </c>
      <c r="E15" s="716">
        <v>8939110900</v>
      </c>
      <c r="F15" s="716">
        <v>86529249100</v>
      </c>
      <c r="G15" s="726">
        <v>0.10330739019437532</v>
      </c>
      <c r="H15" s="715">
        <v>917152.77833999996</v>
      </c>
    </row>
    <row r="16" spans="1:8" ht="11.25" customHeight="1">
      <c r="A16" s="712" t="s">
        <v>64</v>
      </c>
      <c r="B16" s="716">
        <v>8762829700</v>
      </c>
      <c r="C16" s="715">
        <v>593238100</v>
      </c>
      <c r="D16" s="715">
        <v>790652600</v>
      </c>
      <c r="E16" s="716">
        <v>1383890700</v>
      </c>
      <c r="F16" s="716">
        <v>10146720400</v>
      </c>
      <c r="G16" s="726">
        <v>0.13638798010044703</v>
      </c>
      <c r="H16" s="715">
        <v>8718511.4100000001</v>
      </c>
    </row>
    <row r="17" spans="1:8" ht="11.25" customHeight="1">
      <c r="A17" s="712" t="s">
        <v>66</v>
      </c>
      <c r="B17" s="716">
        <v>883391700</v>
      </c>
      <c r="C17" s="715">
        <v>249073800</v>
      </c>
      <c r="D17" s="715">
        <v>52096200</v>
      </c>
      <c r="E17" s="716">
        <v>301170000</v>
      </c>
      <c r="F17" s="716">
        <v>1184561700</v>
      </c>
      <c r="G17" s="726">
        <v>0.25424593754803992</v>
      </c>
      <c r="H17" s="715">
        <v>1505850</v>
      </c>
    </row>
    <row r="18" spans="1:8" ht="11.25" customHeight="1">
      <c r="A18" s="712" t="s">
        <v>809</v>
      </c>
      <c r="B18" s="716">
        <v>10252923534</v>
      </c>
      <c r="C18" s="715">
        <v>351983500</v>
      </c>
      <c r="D18" s="715">
        <v>472745600</v>
      </c>
      <c r="E18" s="716">
        <v>824729100</v>
      </c>
      <c r="F18" s="716">
        <v>11077652634</v>
      </c>
      <c r="G18" s="726">
        <v>7.4449806944542257E-2</v>
      </c>
      <c r="H18" s="715">
        <v>4123645.5</v>
      </c>
    </row>
    <row r="19" spans="1:8" ht="9" customHeight="1">
      <c r="B19" s="716"/>
      <c r="C19" s="716"/>
      <c r="D19" s="716"/>
      <c r="E19" s="716"/>
      <c r="F19" s="716"/>
      <c r="G19" s="726"/>
      <c r="H19" s="716"/>
    </row>
    <row r="20" spans="1:8" ht="11.25" customHeight="1">
      <c r="A20" s="712" t="s">
        <v>69</v>
      </c>
      <c r="B20" s="716">
        <v>609548100</v>
      </c>
      <c r="C20" s="715">
        <v>138882800</v>
      </c>
      <c r="D20" s="715">
        <v>29195300</v>
      </c>
      <c r="E20" s="716">
        <v>168078100</v>
      </c>
      <c r="F20" s="716">
        <v>777626200</v>
      </c>
      <c r="G20" s="726">
        <v>0.21614253737849881</v>
      </c>
      <c r="H20" s="715">
        <v>1008468.5999999999</v>
      </c>
    </row>
    <row r="21" spans="1:8" ht="11.25" customHeight="1">
      <c r="A21" s="712" t="s">
        <v>71</v>
      </c>
      <c r="B21" s="716">
        <v>3768484703</v>
      </c>
      <c r="C21" s="715">
        <v>203236000</v>
      </c>
      <c r="D21" s="715">
        <v>177158400</v>
      </c>
      <c r="E21" s="716">
        <v>380394400</v>
      </c>
      <c r="F21" s="716">
        <v>4148879103</v>
      </c>
      <c r="G21" s="726">
        <v>9.1686065213358911E-2</v>
      </c>
      <c r="H21" s="715">
        <v>3005115.7600000002</v>
      </c>
    </row>
    <row r="22" spans="1:8" ht="11.25" customHeight="1">
      <c r="A22" s="712" t="s">
        <v>73</v>
      </c>
      <c r="B22" s="716">
        <v>1304304560</v>
      </c>
      <c r="C22" s="715">
        <v>191567800</v>
      </c>
      <c r="D22" s="715">
        <v>44943300</v>
      </c>
      <c r="E22" s="716">
        <v>236511100</v>
      </c>
      <c r="F22" s="716">
        <v>1540815660</v>
      </c>
      <c r="G22" s="726">
        <v>0.15349733659898032</v>
      </c>
      <c r="H22" s="715">
        <v>1253508.83</v>
      </c>
    </row>
    <row r="23" spans="1:8" ht="11.25" customHeight="1">
      <c r="A23" s="712" t="s">
        <v>75</v>
      </c>
      <c r="B23" s="716">
        <v>2242165547</v>
      </c>
      <c r="C23" s="715">
        <v>423321892</v>
      </c>
      <c r="D23" s="715">
        <v>120322771</v>
      </c>
      <c r="E23" s="716">
        <v>543644663</v>
      </c>
      <c r="F23" s="716">
        <v>2785810210</v>
      </c>
      <c r="G23" s="726">
        <v>0.19514777462173205</v>
      </c>
      <c r="H23" s="715">
        <v>2120214.1857000003</v>
      </c>
    </row>
    <row r="24" spans="1:8" ht="11.25" customHeight="1">
      <c r="A24" s="712" t="s">
        <v>77</v>
      </c>
      <c r="B24" s="716">
        <v>1436922800</v>
      </c>
      <c r="C24" s="715">
        <v>229344100</v>
      </c>
      <c r="D24" s="715">
        <v>107341300</v>
      </c>
      <c r="E24" s="716">
        <v>336685400</v>
      </c>
      <c r="F24" s="716">
        <v>1773608200</v>
      </c>
      <c r="G24" s="726">
        <v>0.18983076420147357</v>
      </c>
      <c r="H24" s="715">
        <v>1851769.7000000002</v>
      </c>
    </row>
    <row r="25" spans="1:8" ht="9" customHeight="1">
      <c r="B25" s="716"/>
      <c r="C25" s="715"/>
      <c r="D25" s="715"/>
      <c r="E25" s="716"/>
      <c r="F25" s="716"/>
      <c r="G25" s="726"/>
      <c r="H25" s="715"/>
    </row>
    <row r="26" spans="1:8" ht="11.25" customHeight="1">
      <c r="A26" s="712" t="s">
        <v>79</v>
      </c>
      <c r="B26" s="716">
        <v>4388367457</v>
      </c>
      <c r="C26" s="715">
        <v>126791400</v>
      </c>
      <c r="D26" s="715">
        <v>311586600</v>
      </c>
      <c r="E26" s="716">
        <v>438378000</v>
      </c>
      <c r="F26" s="716">
        <v>4826745457</v>
      </c>
      <c r="G26" s="726">
        <v>9.0822688684409736E-2</v>
      </c>
      <c r="H26" s="715">
        <v>2279565.6</v>
      </c>
    </row>
    <row r="27" spans="1:8" ht="11.25" customHeight="1">
      <c r="A27" s="712" t="s">
        <v>81</v>
      </c>
      <c r="B27" s="716">
        <v>2855908212</v>
      </c>
      <c r="C27" s="715">
        <v>450046600</v>
      </c>
      <c r="D27" s="715">
        <v>180895100</v>
      </c>
      <c r="E27" s="716">
        <v>630941700</v>
      </c>
      <c r="F27" s="716">
        <v>3486849912</v>
      </c>
      <c r="G27" s="726">
        <v>0.18094891260693874</v>
      </c>
      <c r="H27" s="715">
        <v>5236816.1099999994</v>
      </c>
    </row>
    <row r="28" spans="1:8" ht="11.25" customHeight="1">
      <c r="A28" s="712" t="s">
        <v>83</v>
      </c>
      <c r="B28" s="716">
        <v>2349926800</v>
      </c>
      <c r="C28" s="715">
        <v>154633700</v>
      </c>
      <c r="D28" s="715">
        <v>72553000</v>
      </c>
      <c r="E28" s="716">
        <v>227186700</v>
      </c>
      <c r="F28" s="716">
        <v>2577113500</v>
      </c>
      <c r="G28" s="726">
        <v>8.8155488689186559E-2</v>
      </c>
      <c r="H28" s="715">
        <v>1578947.5649999999</v>
      </c>
    </row>
    <row r="29" spans="1:8" ht="11.25" customHeight="1">
      <c r="A29" s="712" t="s">
        <v>85</v>
      </c>
      <c r="B29" s="716">
        <v>853256680</v>
      </c>
      <c r="C29" s="715">
        <v>65163200</v>
      </c>
      <c r="D29" s="715">
        <v>16106000</v>
      </c>
      <c r="E29" s="716">
        <v>81269200</v>
      </c>
      <c r="F29" s="716">
        <v>934525880</v>
      </c>
      <c r="G29" s="726">
        <v>8.6963027711977323E-2</v>
      </c>
      <c r="H29" s="715">
        <v>617645.92000000004</v>
      </c>
    </row>
    <row r="30" spans="1:8" ht="11.25" customHeight="1">
      <c r="A30" s="712" t="s">
        <v>87</v>
      </c>
      <c r="B30" s="716">
        <v>1009959823</v>
      </c>
      <c r="C30" s="715">
        <v>29985904</v>
      </c>
      <c r="D30" s="715">
        <v>60032520</v>
      </c>
      <c r="E30" s="716">
        <v>90018424</v>
      </c>
      <c r="F30" s="716">
        <v>1099978247</v>
      </c>
      <c r="G30" s="726">
        <v>8.1836549264051039E-2</v>
      </c>
      <c r="H30" s="715">
        <v>558114.22879999992</v>
      </c>
    </row>
    <row r="31" spans="1:8" ht="9" customHeight="1">
      <c r="B31" s="716"/>
      <c r="C31" s="715"/>
      <c r="D31" s="715"/>
      <c r="E31" s="716"/>
      <c r="F31" s="716"/>
      <c r="G31" s="726"/>
      <c r="H31" s="715"/>
    </row>
    <row r="32" spans="1:8" ht="11.25" customHeight="1">
      <c r="A32" s="712" t="s">
        <v>89</v>
      </c>
      <c r="B32" s="716">
        <v>39063880200</v>
      </c>
      <c r="C32" s="715">
        <v>2457073200</v>
      </c>
      <c r="D32" s="715">
        <v>609605600</v>
      </c>
      <c r="E32" s="716">
        <v>3066678800</v>
      </c>
      <c r="F32" s="716">
        <v>42130559000</v>
      </c>
      <c r="G32" s="726">
        <v>7.2789891062209733E-2</v>
      </c>
      <c r="H32" s="715">
        <v>29133448.599999998</v>
      </c>
    </row>
    <row r="33" spans="1:8" ht="11.25" customHeight="1">
      <c r="A33" s="712" t="s">
        <v>91</v>
      </c>
      <c r="B33" s="716">
        <v>2406963400</v>
      </c>
      <c r="C33" s="715">
        <v>69034900</v>
      </c>
      <c r="D33" s="715">
        <v>118037000</v>
      </c>
      <c r="E33" s="716">
        <v>187071900</v>
      </c>
      <c r="F33" s="716">
        <v>2594035300</v>
      </c>
      <c r="G33" s="726">
        <v>7.2116173592549029E-2</v>
      </c>
      <c r="H33" s="715">
        <v>1328210.49</v>
      </c>
    </row>
    <row r="34" spans="1:8" ht="11.25" customHeight="1">
      <c r="A34" s="712" t="s">
        <v>93</v>
      </c>
      <c r="B34" s="716">
        <v>515130200</v>
      </c>
      <c r="C34" s="715">
        <v>94860100</v>
      </c>
      <c r="D34" s="715">
        <v>31898800</v>
      </c>
      <c r="E34" s="716">
        <v>126758900</v>
      </c>
      <c r="F34" s="716">
        <v>641889100</v>
      </c>
      <c r="G34" s="726">
        <v>0.19747788208274608</v>
      </c>
      <c r="H34" s="715">
        <v>747877.51</v>
      </c>
    </row>
    <row r="35" spans="1:8" ht="11.25" customHeight="1">
      <c r="A35" s="712" t="s">
        <v>95</v>
      </c>
      <c r="B35" s="716">
        <v>6119583418</v>
      </c>
      <c r="C35" s="715">
        <v>230303900</v>
      </c>
      <c r="D35" s="715">
        <v>284135000</v>
      </c>
      <c r="E35" s="716">
        <v>514438900</v>
      </c>
      <c r="F35" s="716">
        <v>6634022318</v>
      </c>
      <c r="G35" s="726">
        <v>7.7545548588852362E-2</v>
      </c>
      <c r="H35" s="715">
        <v>3189521.1799999997</v>
      </c>
    </row>
    <row r="36" spans="1:8" ht="11.25" customHeight="1">
      <c r="A36" s="712" t="s">
        <v>97</v>
      </c>
      <c r="B36" s="716">
        <v>863436935</v>
      </c>
      <c r="C36" s="715">
        <v>49799200</v>
      </c>
      <c r="D36" s="715">
        <v>75142200</v>
      </c>
      <c r="E36" s="716">
        <v>124941400</v>
      </c>
      <c r="F36" s="716">
        <v>988378335</v>
      </c>
      <c r="G36" s="726">
        <v>0.12641050048916744</v>
      </c>
      <c r="H36" s="715">
        <v>974542.92</v>
      </c>
    </row>
    <row r="37" spans="1:8" ht="9" customHeight="1">
      <c r="B37" s="716"/>
      <c r="C37" s="715"/>
      <c r="D37" s="715"/>
      <c r="E37" s="716"/>
      <c r="F37" s="716"/>
      <c r="G37" s="726"/>
      <c r="H37" s="715"/>
    </row>
    <row r="38" spans="1:8" ht="11.25" customHeight="1">
      <c r="A38" s="712" t="s">
        <v>99</v>
      </c>
      <c r="B38" s="716">
        <v>1292727200</v>
      </c>
      <c r="C38" s="715">
        <v>164745900</v>
      </c>
      <c r="D38" s="715">
        <v>47200600</v>
      </c>
      <c r="E38" s="716">
        <v>211946500</v>
      </c>
      <c r="F38" s="716">
        <v>1504673700</v>
      </c>
      <c r="G38" s="726">
        <v>0.14085877888342171</v>
      </c>
      <c r="H38" s="715">
        <v>1271679</v>
      </c>
    </row>
    <row r="39" spans="1:8" ht="11.25" customHeight="1">
      <c r="A39" s="712" t="s">
        <v>101</v>
      </c>
      <c r="B39" s="716">
        <v>2763388613</v>
      </c>
      <c r="C39" s="715">
        <v>221005600</v>
      </c>
      <c r="D39" s="715">
        <v>177018600</v>
      </c>
      <c r="E39" s="716">
        <v>398024200</v>
      </c>
      <c r="F39" s="716">
        <v>3161412813</v>
      </c>
      <c r="G39" s="726">
        <v>0.12590073601375007</v>
      </c>
      <c r="H39" s="715">
        <v>3144391.18</v>
      </c>
    </row>
    <row r="40" spans="1:8" ht="11.25" customHeight="1">
      <c r="A40" s="712" t="s">
        <v>103</v>
      </c>
      <c r="B40" s="716">
        <v>1390992000</v>
      </c>
      <c r="C40" s="715">
        <v>27043300</v>
      </c>
      <c r="D40" s="715">
        <v>71550500</v>
      </c>
      <c r="E40" s="716">
        <v>98593800</v>
      </c>
      <c r="F40" s="716">
        <v>1489585800</v>
      </c>
      <c r="G40" s="726">
        <v>6.6188735150402217E-2</v>
      </c>
      <c r="H40" s="715">
        <v>867625.44000000006</v>
      </c>
    </row>
    <row r="41" spans="1:8" ht="11.25" customHeight="1">
      <c r="A41" s="712" t="s">
        <v>105</v>
      </c>
      <c r="B41" s="716">
        <v>255352668383</v>
      </c>
      <c r="C41" s="715">
        <v>14733597260</v>
      </c>
      <c r="D41" s="715">
        <v>4215231250</v>
      </c>
      <c r="E41" s="716">
        <v>18948828510</v>
      </c>
      <c r="F41" s="716">
        <v>274301496893</v>
      </c>
      <c r="G41" s="726">
        <v>6.9080295676955755E-2</v>
      </c>
      <c r="H41" s="715">
        <v>217911527.86499998</v>
      </c>
    </row>
    <row r="42" spans="1:8" ht="11.25" customHeight="1">
      <c r="A42" s="712" t="s">
        <v>107</v>
      </c>
      <c r="B42" s="716">
        <v>13425985500</v>
      </c>
      <c r="C42" s="715">
        <v>666818800</v>
      </c>
      <c r="D42" s="715">
        <v>279986300</v>
      </c>
      <c r="E42" s="716">
        <v>946805100</v>
      </c>
      <c r="F42" s="716">
        <v>14372790600</v>
      </c>
      <c r="G42" s="726">
        <v>6.5874827397819316E-2</v>
      </c>
      <c r="H42" s="715">
        <v>9411242.6940000001</v>
      </c>
    </row>
    <row r="43" spans="1:8" ht="14">
      <c r="A43" s="711" t="s">
        <v>834</v>
      </c>
      <c r="B43" s="723"/>
      <c r="C43" s="723"/>
      <c r="D43" s="723"/>
      <c r="E43" s="723"/>
      <c r="F43" s="723"/>
      <c r="G43" s="723"/>
      <c r="H43" s="723"/>
    </row>
    <row r="44" spans="1:8" s="647" customFormat="1" ht="13">
      <c r="A44" s="1648" t="s">
        <v>878</v>
      </c>
      <c r="B44" s="1648"/>
      <c r="C44" s="1648"/>
      <c r="D44" s="1648"/>
      <c r="E44" s="1648"/>
      <c r="F44" s="1648"/>
      <c r="G44" s="1648"/>
      <c r="H44" s="1648"/>
    </row>
    <row r="45" spans="1:8" ht="7.5" customHeight="1" thickBot="1">
      <c r="A45" s="713"/>
      <c r="B45" s="713"/>
      <c r="C45" s="713"/>
      <c r="D45" s="713"/>
      <c r="E45" s="713"/>
      <c r="F45" s="713"/>
      <c r="G45" s="713"/>
      <c r="H45" s="713"/>
    </row>
    <row r="46" spans="1:8" ht="14.25" customHeight="1">
      <c r="A46" s="724"/>
      <c r="B46" s="724"/>
      <c r="C46" s="724"/>
      <c r="D46" s="724"/>
      <c r="E46" s="724"/>
      <c r="F46" s="724" t="s">
        <v>805</v>
      </c>
      <c r="G46" s="724"/>
      <c r="H46" s="724" t="s">
        <v>823</v>
      </c>
    </row>
    <row r="47" spans="1:8" ht="12.75" customHeight="1">
      <c r="A47" s="718"/>
      <c r="B47" s="718" t="s">
        <v>824</v>
      </c>
      <c r="C47" s="1647" t="s">
        <v>825</v>
      </c>
      <c r="D47" s="1647"/>
      <c r="E47" s="1647"/>
      <c r="F47" s="718" t="s">
        <v>826</v>
      </c>
      <c r="G47" s="718" t="s">
        <v>827</v>
      </c>
      <c r="H47" s="718" t="s">
        <v>828</v>
      </c>
    </row>
    <row r="48" spans="1:8">
      <c r="A48" s="714" t="s">
        <v>21</v>
      </c>
      <c r="B48" s="714" t="s">
        <v>829</v>
      </c>
      <c r="C48" s="714" t="s">
        <v>830</v>
      </c>
      <c r="D48" s="714" t="s">
        <v>831</v>
      </c>
      <c r="E48" s="714" t="s">
        <v>832</v>
      </c>
      <c r="F48" s="714" t="s">
        <v>833</v>
      </c>
      <c r="G48" s="714" t="s">
        <v>805</v>
      </c>
      <c r="H48" s="714" t="s">
        <v>312</v>
      </c>
    </row>
    <row r="49" spans="1:8" ht="9" customHeight="1"/>
    <row r="50" spans="1:8" ht="11.25" customHeight="1">
      <c r="A50" s="712" t="s">
        <v>109</v>
      </c>
      <c r="B50" s="725">
        <v>1791404700</v>
      </c>
      <c r="C50" s="689">
        <v>94856600</v>
      </c>
      <c r="D50" s="689">
        <v>30500900</v>
      </c>
      <c r="E50" s="725">
        <v>125357500</v>
      </c>
      <c r="F50" s="725">
        <v>1916762200</v>
      </c>
      <c r="G50" s="726">
        <v>6.5400653247439877E-2</v>
      </c>
      <c r="H50" s="689">
        <v>752145</v>
      </c>
    </row>
    <row r="51" spans="1:8" ht="11.25" customHeight="1">
      <c r="A51" s="712" t="s">
        <v>111</v>
      </c>
      <c r="B51" s="716">
        <v>2969880502</v>
      </c>
      <c r="C51" s="715">
        <v>156163600</v>
      </c>
      <c r="D51" s="715">
        <v>158906600</v>
      </c>
      <c r="E51" s="716">
        <v>315070200</v>
      </c>
      <c r="F51" s="716">
        <v>3284950702</v>
      </c>
      <c r="G51" s="726">
        <v>9.5913220191759213E-2</v>
      </c>
      <c r="H51" s="715">
        <v>2914399.35</v>
      </c>
    </row>
    <row r="52" spans="1:8" ht="11.25" customHeight="1">
      <c r="A52" s="712" t="s">
        <v>24</v>
      </c>
      <c r="B52" s="716">
        <v>7152725800</v>
      </c>
      <c r="C52" s="715">
        <v>108486200</v>
      </c>
      <c r="D52" s="715">
        <v>402424200</v>
      </c>
      <c r="E52" s="716">
        <v>510910400</v>
      </c>
      <c r="F52" s="716">
        <v>7663636200</v>
      </c>
      <c r="G52" s="726">
        <v>6.666683890866322E-2</v>
      </c>
      <c r="H52" s="715">
        <v>31165.534400000004</v>
      </c>
    </row>
    <row r="53" spans="1:8" ht="11.25" customHeight="1">
      <c r="A53" s="712" t="s">
        <v>114</v>
      </c>
      <c r="B53" s="716">
        <v>10954173175</v>
      </c>
      <c r="C53" s="715">
        <v>201482600</v>
      </c>
      <c r="D53" s="715">
        <v>963126500</v>
      </c>
      <c r="E53" s="716">
        <v>1164609100</v>
      </c>
      <c r="F53" s="716">
        <v>12118782275</v>
      </c>
      <c r="G53" s="726">
        <v>9.6099515081023268E-2</v>
      </c>
      <c r="H53" s="715">
        <v>7104115.5099999998</v>
      </c>
    </row>
    <row r="54" spans="1:8" ht="11.25" customHeight="1">
      <c r="A54" s="712" t="s">
        <v>116</v>
      </c>
      <c r="B54" s="716">
        <v>1208803700</v>
      </c>
      <c r="C54" s="715">
        <v>71976500</v>
      </c>
      <c r="D54" s="715">
        <v>72023600</v>
      </c>
      <c r="E54" s="716">
        <v>144000100</v>
      </c>
      <c r="F54" s="716">
        <v>1352803800</v>
      </c>
      <c r="G54" s="726">
        <v>0.10644566492199387</v>
      </c>
      <c r="H54" s="715">
        <v>964800.67000000016</v>
      </c>
    </row>
    <row r="55" spans="1:8" ht="9" customHeight="1">
      <c r="B55" s="716"/>
      <c r="C55" s="715"/>
      <c r="D55" s="715"/>
      <c r="E55" s="716"/>
      <c r="F55" s="716"/>
      <c r="G55" s="726"/>
      <c r="H55" s="715"/>
    </row>
    <row r="56" spans="1:8" ht="11.25" customHeight="1">
      <c r="A56" s="712" t="s">
        <v>51</v>
      </c>
      <c r="B56" s="716">
        <v>4488767686</v>
      </c>
      <c r="C56" s="715">
        <v>231336808</v>
      </c>
      <c r="D56" s="715">
        <v>161004780</v>
      </c>
      <c r="E56" s="716">
        <v>392341588</v>
      </c>
      <c r="F56" s="716">
        <v>4881109274</v>
      </c>
      <c r="G56" s="726">
        <v>8.0379595287872266E-2</v>
      </c>
      <c r="H56" s="715">
        <v>2726774.0365999998</v>
      </c>
    </row>
    <row r="57" spans="1:8" ht="11.25" customHeight="1">
      <c r="A57" s="712" t="s">
        <v>53</v>
      </c>
      <c r="B57" s="716">
        <v>5906644700</v>
      </c>
      <c r="C57" s="715">
        <v>158635400</v>
      </c>
      <c r="D57" s="715">
        <v>121415300</v>
      </c>
      <c r="E57" s="716">
        <v>280050700</v>
      </c>
      <c r="F57" s="716">
        <v>6186695400</v>
      </c>
      <c r="G57" s="726">
        <v>4.526660549669214E-2</v>
      </c>
      <c r="H57" s="715">
        <v>1484268.71</v>
      </c>
    </row>
    <row r="58" spans="1:8" ht="11.25" customHeight="1">
      <c r="A58" s="712" t="s">
        <v>55</v>
      </c>
      <c r="B58" s="716">
        <v>1668133900</v>
      </c>
      <c r="C58" s="715">
        <v>129139100</v>
      </c>
      <c r="D58" s="715">
        <v>102777300</v>
      </c>
      <c r="E58" s="716">
        <v>231916400</v>
      </c>
      <c r="F58" s="716">
        <v>1900050300</v>
      </c>
      <c r="G58" s="726">
        <v>0.12205803183210466</v>
      </c>
      <c r="H58" s="715">
        <v>1298731.8400000001</v>
      </c>
    </row>
    <row r="59" spans="1:8" ht="11.25" customHeight="1">
      <c r="A59" s="712" t="s">
        <v>57</v>
      </c>
      <c r="B59" s="716">
        <v>2314491649</v>
      </c>
      <c r="C59" s="715">
        <v>131717000</v>
      </c>
      <c r="D59" s="715">
        <v>122281900</v>
      </c>
      <c r="E59" s="716">
        <v>253998900</v>
      </c>
      <c r="F59" s="716">
        <v>2568490549</v>
      </c>
      <c r="G59" s="726">
        <v>9.8890338568265457E-2</v>
      </c>
      <c r="H59" s="715">
        <v>2082790.98</v>
      </c>
    </row>
    <row r="60" spans="1:8" ht="11.25" customHeight="1">
      <c r="A60" s="712" t="s">
        <v>59</v>
      </c>
      <c r="B60" s="716">
        <v>636966910</v>
      </c>
      <c r="C60" s="715">
        <v>161228100</v>
      </c>
      <c r="D60" s="715">
        <v>30515700</v>
      </c>
      <c r="E60" s="716">
        <v>191743800</v>
      </c>
      <c r="F60" s="716">
        <v>828710710</v>
      </c>
      <c r="G60" s="726">
        <v>0.23137603712156682</v>
      </c>
      <c r="H60" s="715">
        <v>1284683.46</v>
      </c>
    </row>
    <row r="61" spans="1:8" ht="8.25" customHeight="1">
      <c r="B61" s="712">
        <v>0</v>
      </c>
    </row>
    <row r="62" spans="1:8">
      <c r="A62" s="712" t="s">
        <v>318</v>
      </c>
      <c r="B62" s="716">
        <v>2689744036</v>
      </c>
      <c r="C62" s="715">
        <v>156625676</v>
      </c>
      <c r="D62" s="715">
        <v>259920827</v>
      </c>
      <c r="E62" s="716">
        <v>416546503</v>
      </c>
      <c r="F62" s="716">
        <v>3106290539</v>
      </c>
      <c r="G62" s="726">
        <v>0.13409772774638709</v>
      </c>
      <c r="H62" s="715">
        <v>2082732.5150000001</v>
      </c>
    </row>
    <row r="63" spans="1:8">
      <c r="A63" s="712" t="s">
        <v>63</v>
      </c>
      <c r="B63" s="716">
        <v>15841039810</v>
      </c>
      <c r="C63" s="715">
        <v>1141645401</v>
      </c>
      <c r="D63" s="715">
        <v>419159100</v>
      </c>
      <c r="E63" s="716">
        <v>1560804501</v>
      </c>
      <c r="F63" s="716">
        <v>17401844311</v>
      </c>
      <c r="G63" s="726">
        <v>8.9691901220687806E-2</v>
      </c>
      <c r="H63" s="715">
        <v>12642516.4581</v>
      </c>
    </row>
    <row r="64" spans="1:8">
      <c r="A64" s="712" t="s">
        <v>65</v>
      </c>
      <c r="B64" s="716">
        <v>40391059400</v>
      </c>
      <c r="C64" s="715">
        <v>2340973100</v>
      </c>
      <c r="D64" s="715">
        <v>1617720800</v>
      </c>
      <c r="E64" s="716">
        <v>3958693900</v>
      </c>
      <c r="F64" s="716">
        <v>44349753300</v>
      </c>
      <c r="G64" s="726">
        <v>8.9260787387514057E-2</v>
      </c>
      <c r="H64" s="715">
        <v>34440636.93</v>
      </c>
    </row>
    <row r="65" spans="1:8">
      <c r="A65" s="712" t="s">
        <v>67</v>
      </c>
      <c r="B65" s="716">
        <v>2946641700</v>
      </c>
      <c r="C65" s="715">
        <v>203216400</v>
      </c>
      <c r="D65" s="715">
        <v>376550400</v>
      </c>
      <c r="E65" s="716">
        <v>579766800</v>
      </c>
      <c r="F65" s="716">
        <v>3526408500</v>
      </c>
      <c r="G65" s="726">
        <v>0.16440715816105819</v>
      </c>
      <c r="H65" s="715">
        <v>3217705.74</v>
      </c>
    </row>
    <row r="66" spans="1:8">
      <c r="A66" s="712" t="s">
        <v>68</v>
      </c>
      <c r="B66" s="716">
        <v>674154200</v>
      </c>
      <c r="C66" s="715">
        <v>61015400</v>
      </c>
      <c r="D66" s="715">
        <v>22213400</v>
      </c>
      <c r="E66" s="716">
        <v>83228800</v>
      </c>
      <c r="F66" s="716">
        <v>757383000</v>
      </c>
      <c r="G66" s="726">
        <v>0.10988997640559664</v>
      </c>
      <c r="H66" s="715">
        <v>399498.23999999999</v>
      </c>
    </row>
    <row r="67" spans="1:8" ht="9" customHeight="1">
      <c r="B67" s="716"/>
      <c r="C67" s="715"/>
      <c r="D67" s="715"/>
      <c r="E67" s="716"/>
      <c r="F67" s="716"/>
      <c r="G67" s="726"/>
      <c r="H67" s="715"/>
    </row>
    <row r="68" spans="1:8">
      <c r="A68" s="712" t="s">
        <v>70</v>
      </c>
      <c r="B68" s="716">
        <v>5007174280</v>
      </c>
      <c r="C68" s="715">
        <v>113202600</v>
      </c>
      <c r="D68" s="715">
        <v>228685400</v>
      </c>
      <c r="E68" s="716">
        <v>341888000</v>
      </c>
      <c r="F68" s="716">
        <v>5349062280</v>
      </c>
      <c r="G68" s="726">
        <v>6.3915501840072053E-2</v>
      </c>
      <c r="H68" s="715">
        <v>2904555.83</v>
      </c>
    </row>
    <row r="69" spans="1:8">
      <c r="A69" s="712" t="s">
        <v>890</v>
      </c>
      <c r="B69" s="716">
        <v>12218758700</v>
      </c>
      <c r="C69" s="715">
        <v>594950800</v>
      </c>
      <c r="D69" s="715">
        <v>160212800</v>
      </c>
      <c r="E69" s="716">
        <v>755163600</v>
      </c>
      <c r="F69" s="716">
        <v>12973922300</v>
      </c>
      <c r="G69" s="726">
        <v>5.8206268122940739E-2</v>
      </c>
      <c r="H69" s="715">
        <v>6343374.2400000002</v>
      </c>
    </row>
    <row r="70" spans="1:8">
      <c r="A70" s="712" t="s">
        <v>74</v>
      </c>
      <c r="B70" s="716">
        <v>902427400</v>
      </c>
      <c r="C70" s="715">
        <v>25542100</v>
      </c>
      <c r="D70" s="715">
        <v>44540400</v>
      </c>
      <c r="E70" s="716">
        <v>70082500</v>
      </c>
      <c r="F70" s="716">
        <v>972509900</v>
      </c>
      <c r="G70" s="726">
        <v>7.2063533749116587E-2</v>
      </c>
      <c r="H70" s="715">
        <v>371437.25</v>
      </c>
    </row>
    <row r="71" spans="1:8">
      <c r="A71" s="712" t="s">
        <v>76</v>
      </c>
      <c r="B71" s="716">
        <v>2973689239</v>
      </c>
      <c r="C71" s="715">
        <v>1222841100</v>
      </c>
      <c r="D71" s="715">
        <v>62334300</v>
      </c>
      <c r="E71" s="716">
        <v>1285175400</v>
      </c>
      <c r="F71" s="716">
        <v>4258864639</v>
      </c>
      <c r="G71" s="726">
        <v>0.30176479154354263</v>
      </c>
      <c r="H71" s="715">
        <v>0</v>
      </c>
    </row>
    <row r="72" spans="1:8" ht="12" customHeight="1">
      <c r="A72" s="712" t="s">
        <v>354</v>
      </c>
      <c r="B72" s="716">
        <v>1409242279</v>
      </c>
      <c r="C72" s="715">
        <v>40235335</v>
      </c>
      <c r="D72" s="715">
        <v>44077188</v>
      </c>
      <c r="E72" s="716">
        <v>84312523</v>
      </c>
      <c r="F72" s="716">
        <v>1493554802</v>
      </c>
      <c r="G72" s="726">
        <v>5.645090684794303E-2</v>
      </c>
      <c r="H72" s="715">
        <v>725087.69779999997</v>
      </c>
    </row>
    <row r="73" spans="1:8" ht="8.25" customHeight="1">
      <c r="B73" s="716"/>
      <c r="C73" s="716"/>
      <c r="D73" s="715"/>
      <c r="E73" s="716"/>
      <c r="F73" s="716"/>
      <c r="G73" s="726"/>
      <c r="H73" s="716"/>
    </row>
    <row r="74" spans="1:8">
      <c r="A74" s="712" t="s">
        <v>80</v>
      </c>
      <c r="B74" s="716">
        <v>2672216300</v>
      </c>
      <c r="C74" s="715">
        <v>47581300</v>
      </c>
      <c r="D74" s="715">
        <v>77302300</v>
      </c>
      <c r="E74" s="716">
        <v>124883600</v>
      </c>
      <c r="F74" s="716">
        <v>2797099900</v>
      </c>
      <c r="G74" s="726">
        <v>4.4647529392854365E-2</v>
      </c>
      <c r="H74" s="715">
        <v>786766.67999999993</v>
      </c>
    </row>
    <row r="75" spans="1:8">
      <c r="A75" s="712" t="s">
        <v>82</v>
      </c>
      <c r="B75" s="716">
        <v>965135982</v>
      </c>
      <c r="C75" s="715">
        <v>152877078</v>
      </c>
      <c r="D75" s="715">
        <v>83224400</v>
      </c>
      <c r="E75" s="716">
        <v>236101478</v>
      </c>
      <c r="F75" s="716">
        <v>1201237460</v>
      </c>
      <c r="G75" s="726">
        <v>0.19654854752864601</v>
      </c>
      <c r="H75" s="715">
        <v>1460759.8443860002</v>
      </c>
    </row>
    <row r="76" spans="1:8">
      <c r="A76" s="712" t="s">
        <v>84</v>
      </c>
      <c r="B76" s="716">
        <v>85909281920</v>
      </c>
      <c r="C76" s="715">
        <v>5408287010</v>
      </c>
      <c r="D76" s="715">
        <v>1802929900</v>
      </c>
      <c r="E76" s="716">
        <v>7211216910</v>
      </c>
      <c r="F76" s="716">
        <v>93120498830</v>
      </c>
      <c r="G76" s="726">
        <v>7.7439629304013255E-2</v>
      </c>
      <c r="H76" s="715">
        <v>75357216.709499985</v>
      </c>
    </row>
    <row r="77" spans="1:8">
      <c r="A77" s="712" t="s">
        <v>86</v>
      </c>
      <c r="B77" s="716">
        <v>5580455500</v>
      </c>
      <c r="C77" s="715">
        <v>60982000</v>
      </c>
      <c r="D77" s="715">
        <v>128805800</v>
      </c>
      <c r="E77" s="716">
        <v>189787800</v>
      </c>
      <c r="F77" s="716">
        <v>5770243300</v>
      </c>
      <c r="G77" s="726">
        <v>3.2890779492781526E-2</v>
      </c>
      <c r="H77" s="715">
        <v>1366472.16</v>
      </c>
    </row>
    <row r="78" spans="1:8">
      <c r="A78" s="712" t="s">
        <v>88</v>
      </c>
      <c r="B78" s="716">
        <v>926502400</v>
      </c>
      <c r="C78" s="715">
        <v>45008600</v>
      </c>
      <c r="D78" s="715">
        <v>54053100</v>
      </c>
      <c r="E78" s="716">
        <v>99061700</v>
      </c>
      <c r="F78" s="716">
        <v>1025564100</v>
      </c>
      <c r="G78" s="726">
        <v>9.6592402171643874E-2</v>
      </c>
      <c r="H78" s="715">
        <v>376434.45999999996</v>
      </c>
    </row>
    <row r="79" spans="1:8" ht="9" customHeight="1">
      <c r="B79" s="716"/>
      <c r="C79" s="715"/>
      <c r="D79" s="715"/>
      <c r="E79" s="716"/>
      <c r="F79" s="716"/>
      <c r="G79" s="726"/>
      <c r="H79" s="715"/>
    </row>
    <row r="80" spans="1:8">
      <c r="A80" s="712" t="s">
        <v>90</v>
      </c>
      <c r="B80" s="716">
        <v>2265906900</v>
      </c>
      <c r="C80" s="715">
        <v>107088900</v>
      </c>
      <c r="D80" s="715">
        <v>231156000</v>
      </c>
      <c r="E80" s="716">
        <v>338244900</v>
      </c>
      <c r="F80" s="716">
        <v>2604151800</v>
      </c>
      <c r="G80" s="726">
        <v>0.12988678309766735</v>
      </c>
      <c r="H80" s="715">
        <v>2367714.2999999998</v>
      </c>
    </row>
    <row r="81" spans="1:8">
      <c r="A81" s="712" t="s">
        <v>92</v>
      </c>
      <c r="B81" s="716">
        <v>1629386500</v>
      </c>
      <c r="C81" s="715">
        <v>14025800</v>
      </c>
      <c r="D81" s="715">
        <v>57689500</v>
      </c>
      <c r="E81" s="716">
        <v>71715300</v>
      </c>
      <c r="F81" s="716">
        <v>1701101800</v>
      </c>
      <c r="G81" s="726">
        <v>4.2158147149100662E-2</v>
      </c>
      <c r="H81" s="715">
        <v>462563.68500000006</v>
      </c>
    </row>
    <row r="82" spans="1:8">
      <c r="A82" s="712" t="s">
        <v>94</v>
      </c>
      <c r="B82" s="716">
        <v>4533434600</v>
      </c>
      <c r="C82" s="715">
        <v>229717200</v>
      </c>
      <c r="D82" s="715">
        <v>237281200</v>
      </c>
      <c r="E82" s="716">
        <v>466998400</v>
      </c>
      <c r="F82" s="716">
        <v>5000433000</v>
      </c>
      <c r="G82" s="726">
        <v>9.3391592288107853E-2</v>
      </c>
      <c r="H82" s="715">
        <v>1961393.2799999998</v>
      </c>
    </row>
    <row r="83" spans="1:8">
      <c r="A83" s="712" t="s">
        <v>96</v>
      </c>
      <c r="B83" s="716">
        <v>2273920800</v>
      </c>
      <c r="C83" s="715">
        <v>33591500</v>
      </c>
      <c r="D83" s="715">
        <v>78131200</v>
      </c>
      <c r="E83" s="716">
        <v>111722700</v>
      </c>
      <c r="F83" s="716">
        <v>2385643500</v>
      </c>
      <c r="G83" s="726">
        <v>4.6831263765939879E-2</v>
      </c>
      <c r="H83" s="715">
        <v>692680.74</v>
      </c>
    </row>
    <row r="84" spans="1:8">
      <c r="A84" s="712" t="s">
        <v>98</v>
      </c>
      <c r="B84" s="716">
        <v>8658132300</v>
      </c>
      <c r="C84" s="715">
        <v>888034700</v>
      </c>
      <c r="D84" s="715">
        <v>3099854900</v>
      </c>
      <c r="E84" s="716">
        <v>3987889600</v>
      </c>
      <c r="F84" s="716">
        <v>12646021900</v>
      </c>
      <c r="G84" s="726">
        <v>0.31534735836571659</v>
      </c>
      <c r="H84" s="715">
        <v>35492217.439999998</v>
      </c>
    </row>
    <row r="85" spans="1:8" ht="14">
      <c r="A85" s="711" t="s">
        <v>834</v>
      </c>
      <c r="B85" s="723"/>
      <c r="C85" s="723"/>
      <c r="D85" s="723"/>
      <c r="E85" s="723"/>
      <c r="F85" s="723"/>
      <c r="G85" s="723"/>
      <c r="H85" s="723"/>
    </row>
    <row r="86" spans="1:8" ht="13">
      <c r="A86" s="1648" t="s">
        <v>878</v>
      </c>
      <c r="B86" s="1648"/>
      <c r="C86" s="1648"/>
      <c r="D86" s="1648"/>
      <c r="E86" s="1648"/>
      <c r="F86" s="1648"/>
      <c r="G86" s="1648"/>
      <c r="H86" s="1648"/>
    </row>
    <row r="87" spans="1:8" ht="8.25" customHeight="1" thickBot="1">
      <c r="A87" s="713"/>
      <c r="B87" s="713"/>
      <c r="C87" s="713"/>
      <c r="D87" s="713"/>
      <c r="E87" s="713"/>
      <c r="F87" s="713"/>
      <c r="G87" s="713"/>
      <c r="H87" s="713"/>
    </row>
    <row r="88" spans="1:8" ht="13.5" customHeight="1">
      <c r="A88" s="724"/>
      <c r="B88" s="724"/>
      <c r="C88" s="724"/>
      <c r="D88" s="724"/>
      <c r="E88" s="724"/>
      <c r="F88" s="724" t="s">
        <v>805</v>
      </c>
      <c r="G88" s="724"/>
      <c r="H88" s="724" t="s">
        <v>823</v>
      </c>
    </row>
    <row r="89" spans="1:8">
      <c r="A89" s="718"/>
      <c r="B89" s="718" t="s">
        <v>824</v>
      </c>
      <c r="C89" s="1647" t="s">
        <v>825</v>
      </c>
      <c r="D89" s="1647"/>
      <c r="E89" s="1647"/>
      <c r="F89" s="718" t="s">
        <v>826</v>
      </c>
      <c r="G89" s="718" t="s">
        <v>827</v>
      </c>
      <c r="H89" s="718" t="s">
        <v>828</v>
      </c>
    </row>
    <row r="90" spans="1:8">
      <c r="A90" s="714" t="s">
        <v>21</v>
      </c>
      <c r="B90" s="714" t="s">
        <v>829</v>
      </c>
      <c r="C90" s="714" t="s">
        <v>830</v>
      </c>
      <c r="D90" s="714" t="s">
        <v>831</v>
      </c>
      <c r="E90" s="714" t="s">
        <v>832</v>
      </c>
      <c r="F90" s="714" t="s">
        <v>833</v>
      </c>
      <c r="G90" s="714" t="s">
        <v>805</v>
      </c>
      <c r="H90" s="714" t="s">
        <v>312</v>
      </c>
    </row>
    <row r="91" spans="1:8" ht="9" customHeight="1">
      <c r="B91" s="716"/>
      <c r="C91" s="716"/>
      <c r="D91" s="715"/>
      <c r="E91" s="716"/>
      <c r="F91" s="716"/>
      <c r="G91" s="726"/>
      <c r="H91" s="716"/>
    </row>
    <row r="92" spans="1:8">
      <c r="A92" s="712" t="s">
        <v>100</v>
      </c>
      <c r="B92" s="725">
        <v>2985743250</v>
      </c>
      <c r="C92" s="689">
        <v>89946900</v>
      </c>
      <c r="D92" s="689">
        <v>95005200</v>
      </c>
      <c r="E92" s="725">
        <v>184952100</v>
      </c>
      <c r="F92" s="725">
        <v>3170695350</v>
      </c>
      <c r="G92" s="726">
        <v>5.8331715785939507E-2</v>
      </c>
      <c r="H92" s="689">
        <v>1331655.1200000001</v>
      </c>
    </row>
    <row r="93" spans="1:8">
      <c r="A93" s="712" t="s">
        <v>102</v>
      </c>
      <c r="B93" s="716">
        <v>3100118703</v>
      </c>
      <c r="C93" s="715">
        <v>291717062</v>
      </c>
      <c r="D93" s="715">
        <v>160646500</v>
      </c>
      <c r="E93" s="716">
        <v>452363562</v>
      </c>
      <c r="F93" s="716">
        <v>3552482265</v>
      </c>
      <c r="G93" s="726">
        <v>0.12733731747426472</v>
      </c>
      <c r="H93" s="715">
        <v>3709381.2083999999</v>
      </c>
    </row>
    <row r="94" spans="1:8">
      <c r="A94" s="712" t="s">
        <v>104</v>
      </c>
      <c r="B94" s="716">
        <v>1999101400</v>
      </c>
      <c r="C94" s="715">
        <v>180554800</v>
      </c>
      <c r="D94" s="715">
        <v>352741400</v>
      </c>
      <c r="E94" s="716">
        <v>533296200</v>
      </c>
      <c r="F94" s="716">
        <v>2532397600</v>
      </c>
      <c r="G94" s="726">
        <v>0.21058944298478249</v>
      </c>
      <c r="H94" s="715">
        <v>4426358.459999999</v>
      </c>
    </row>
    <row r="95" spans="1:8">
      <c r="A95" s="712" t="s">
        <v>106</v>
      </c>
      <c r="B95" s="716">
        <v>3047609200</v>
      </c>
      <c r="C95" s="715">
        <v>14658100</v>
      </c>
      <c r="D95" s="715">
        <v>82189900</v>
      </c>
      <c r="E95" s="716">
        <v>96848000</v>
      </c>
      <c r="F95" s="716">
        <v>3144457200</v>
      </c>
      <c r="G95" s="726">
        <v>3.0799592374798422E-2</v>
      </c>
      <c r="H95" s="715">
        <v>571403.19999999995</v>
      </c>
    </row>
    <row r="96" spans="1:8">
      <c r="A96" s="712" t="s">
        <v>108</v>
      </c>
      <c r="B96" s="716">
        <v>977114191</v>
      </c>
      <c r="C96" s="715">
        <v>157744496</v>
      </c>
      <c r="D96" s="715">
        <v>80086632</v>
      </c>
      <c r="E96" s="716">
        <v>237831128</v>
      </c>
      <c r="F96" s="716">
        <v>1214945319</v>
      </c>
      <c r="G96" s="726">
        <v>0.19575459428557213</v>
      </c>
      <c r="H96" s="715">
        <v>1141589.3600000001</v>
      </c>
    </row>
    <row r="97" spans="1:8" ht="9" customHeight="1">
      <c r="B97" s="716"/>
      <c r="C97" s="715"/>
      <c r="D97" s="715"/>
      <c r="E97" s="716"/>
      <c r="F97" s="716"/>
      <c r="G97" s="726"/>
      <c r="H97" s="715"/>
    </row>
    <row r="98" spans="1:8">
      <c r="A98" s="712" t="s">
        <v>110</v>
      </c>
      <c r="B98" s="716">
        <v>4173536200</v>
      </c>
      <c r="C98" s="715">
        <v>300602600</v>
      </c>
      <c r="D98" s="715">
        <v>100109800</v>
      </c>
      <c r="E98" s="716">
        <v>400712400</v>
      </c>
      <c r="F98" s="716">
        <v>4574248600</v>
      </c>
      <c r="G98" s="726">
        <v>8.7601797593598207E-2</v>
      </c>
      <c r="H98" s="715">
        <v>3221727.696</v>
      </c>
    </row>
    <row r="99" spans="1:8">
      <c r="A99" s="712" t="s">
        <v>112</v>
      </c>
      <c r="B99" s="716">
        <v>2520990100</v>
      </c>
      <c r="C99" s="715">
        <v>256238400</v>
      </c>
      <c r="D99" s="715">
        <v>199185200</v>
      </c>
      <c r="E99" s="716">
        <v>455423600</v>
      </c>
      <c r="F99" s="716">
        <v>2976413700</v>
      </c>
      <c r="G99" s="726">
        <v>0.15301085329636804</v>
      </c>
      <c r="H99" s="715">
        <v>3324592.2800000003</v>
      </c>
    </row>
    <row r="100" spans="1:8">
      <c r="A100" s="712" t="s">
        <v>113</v>
      </c>
      <c r="B100" s="716">
        <v>1582512500</v>
      </c>
      <c r="C100" s="715">
        <v>47649800</v>
      </c>
      <c r="D100" s="715">
        <v>107242300</v>
      </c>
      <c r="E100" s="716">
        <v>154892100</v>
      </c>
      <c r="F100" s="716">
        <v>1737404600</v>
      </c>
      <c r="G100" s="726">
        <v>8.9151427364702496E-2</v>
      </c>
      <c r="H100" s="715">
        <v>1053266.28</v>
      </c>
    </row>
    <row r="101" spans="1:8">
      <c r="A101" s="712" t="s">
        <v>115</v>
      </c>
      <c r="B101" s="716">
        <v>4829255400</v>
      </c>
      <c r="C101" s="715">
        <v>167193700</v>
      </c>
      <c r="D101" s="715">
        <v>441036400</v>
      </c>
      <c r="E101" s="716">
        <v>608230100</v>
      </c>
      <c r="F101" s="716">
        <v>5437485500</v>
      </c>
      <c r="G101" s="726">
        <v>0.11185870748528892</v>
      </c>
      <c r="H101" s="715">
        <v>3771026.62</v>
      </c>
    </row>
    <row r="102" spans="1:8">
      <c r="A102" s="712" t="s">
        <v>117</v>
      </c>
      <c r="B102" s="716">
        <v>3854983400</v>
      </c>
      <c r="C102" s="715">
        <v>124691900</v>
      </c>
      <c r="D102" s="715">
        <v>173339300</v>
      </c>
      <c r="E102" s="716">
        <v>298031200</v>
      </c>
      <c r="F102" s="716">
        <v>4153014600</v>
      </c>
      <c r="G102" s="726">
        <v>7.176261793059914E-2</v>
      </c>
      <c r="H102" s="715">
        <v>2622674.56</v>
      </c>
    </row>
    <row r="103" spans="1:8" ht="6" customHeight="1">
      <c r="B103" s="716"/>
      <c r="C103" s="716"/>
      <c r="D103" s="715"/>
      <c r="E103" s="716"/>
      <c r="F103" s="716"/>
      <c r="G103" s="726"/>
      <c r="H103" s="716"/>
    </row>
    <row r="104" spans="1:8">
      <c r="A104" s="712" t="s">
        <v>118</v>
      </c>
      <c r="B104" s="716">
        <v>1559337150</v>
      </c>
      <c r="C104" s="715">
        <v>89522200</v>
      </c>
      <c r="D104" s="715">
        <v>339059600</v>
      </c>
      <c r="E104" s="716">
        <v>428581800</v>
      </c>
      <c r="F104" s="716">
        <v>1987918950</v>
      </c>
      <c r="G104" s="726">
        <v>0.21559319609081648</v>
      </c>
      <c r="H104" s="715">
        <v>2185767.1800000002</v>
      </c>
    </row>
    <row r="105" spans="1:8">
      <c r="A105" s="712" t="s">
        <v>120</v>
      </c>
      <c r="B105" s="716">
        <v>3001941606</v>
      </c>
      <c r="C105" s="715">
        <v>2522070700</v>
      </c>
      <c r="D105" s="715">
        <v>114317200</v>
      </c>
      <c r="E105" s="716">
        <v>2636387900</v>
      </c>
      <c r="F105" s="716">
        <v>5638329506</v>
      </c>
      <c r="G105" s="726">
        <v>0.4675831551161565</v>
      </c>
      <c r="H105" s="715">
        <v>0</v>
      </c>
    </row>
    <row r="106" spans="1:8">
      <c r="A106" s="712" t="s">
        <v>122</v>
      </c>
      <c r="B106" s="716">
        <v>62427619400</v>
      </c>
      <c r="C106" s="715">
        <v>2563110200</v>
      </c>
      <c r="D106" s="715">
        <v>1881943800</v>
      </c>
      <c r="E106" s="716">
        <v>4445054000</v>
      </c>
      <c r="F106" s="716">
        <v>66872673400</v>
      </c>
      <c r="G106" s="726">
        <v>6.6470409720452414E-2</v>
      </c>
      <c r="H106" s="715">
        <v>50006857.5</v>
      </c>
    </row>
    <row r="107" spans="1:8">
      <c r="A107" s="712" t="s">
        <v>124</v>
      </c>
      <c r="B107" s="716">
        <v>2745847155</v>
      </c>
      <c r="C107" s="715">
        <v>533537900</v>
      </c>
      <c r="D107" s="715">
        <v>94469100</v>
      </c>
      <c r="E107" s="716">
        <v>628007000</v>
      </c>
      <c r="F107" s="716">
        <v>3373854155</v>
      </c>
      <c r="G107" s="726">
        <v>0.18613934424797329</v>
      </c>
      <c r="H107" s="715">
        <v>4835653.9000000004</v>
      </c>
    </row>
    <row r="108" spans="1:8">
      <c r="A108" s="712" t="s">
        <v>126</v>
      </c>
      <c r="B108" s="716">
        <v>2168949300</v>
      </c>
      <c r="C108" s="715">
        <v>111067200</v>
      </c>
      <c r="D108" s="715">
        <v>31289500</v>
      </c>
      <c r="E108" s="716">
        <v>142356700</v>
      </c>
      <c r="F108" s="716">
        <v>2311306000</v>
      </c>
      <c r="G108" s="726">
        <v>6.159145522055496E-2</v>
      </c>
      <c r="H108" s="715">
        <v>953789.89</v>
      </c>
    </row>
    <row r="109" spans="1:8" ht="6" customHeight="1">
      <c r="B109" s="716"/>
      <c r="C109" s="715"/>
      <c r="D109" s="715"/>
      <c r="E109" s="716"/>
      <c r="F109" s="716"/>
      <c r="G109" s="726"/>
      <c r="H109" s="715"/>
    </row>
    <row r="110" spans="1:8">
      <c r="A110" s="712" t="s">
        <v>128</v>
      </c>
      <c r="B110" s="716">
        <v>881309994</v>
      </c>
      <c r="C110" s="715">
        <v>71054907</v>
      </c>
      <c r="D110" s="715">
        <v>54224012</v>
      </c>
      <c r="E110" s="716">
        <v>125278919</v>
      </c>
      <c r="F110" s="716">
        <v>1006588913</v>
      </c>
      <c r="G110" s="726">
        <v>0.12445887033130873</v>
      </c>
      <c r="H110" s="715">
        <v>876952.43299999996</v>
      </c>
    </row>
    <row r="111" spans="1:8">
      <c r="A111" s="712" t="s">
        <v>25</v>
      </c>
      <c r="B111" s="716">
        <v>8883727000</v>
      </c>
      <c r="C111" s="715">
        <v>661601500</v>
      </c>
      <c r="D111" s="715">
        <v>448570900</v>
      </c>
      <c r="E111" s="716">
        <v>1110172400</v>
      </c>
      <c r="F111" s="716">
        <v>9993899400</v>
      </c>
      <c r="G111" s="726">
        <v>0.11108500852029789</v>
      </c>
      <c r="H111" s="715">
        <v>12100879.16</v>
      </c>
    </row>
    <row r="112" spans="1:8">
      <c r="A112" s="712" t="s">
        <v>130</v>
      </c>
      <c r="B112" s="716">
        <v>3093716140</v>
      </c>
      <c r="C112" s="715">
        <v>211111000</v>
      </c>
      <c r="D112" s="715">
        <v>191861400</v>
      </c>
      <c r="E112" s="716">
        <v>402972400</v>
      </c>
      <c r="F112" s="716">
        <v>3496688540</v>
      </c>
      <c r="G112" s="726">
        <v>0.1152440074059327</v>
      </c>
      <c r="H112" s="715">
        <v>2941698.52</v>
      </c>
    </row>
    <row r="113" spans="1:8">
      <c r="A113" s="712" t="s">
        <v>131</v>
      </c>
      <c r="B113" s="716">
        <v>9123576400</v>
      </c>
      <c r="C113" s="715">
        <v>329295100</v>
      </c>
      <c r="D113" s="715">
        <v>852377900</v>
      </c>
      <c r="E113" s="716">
        <v>1181673000</v>
      </c>
      <c r="F113" s="716">
        <v>10305249400</v>
      </c>
      <c r="G113" s="726">
        <v>0.11466709384054305</v>
      </c>
      <c r="H113" s="715">
        <v>8744380.1999999993</v>
      </c>
    </row>
    <row r="114" spans="1:8">
      <c r="A114" s="712" t="s">
        <v>133</v>
      </c>
      <c r="B114" s="716">
        <v>1608993683</v>
      </c>
      <c r="C114" s="715">
        <v>129226060</v>
      </c>
      <c r="D114" s="715">
        <v>102856200</v>
      </c>
      <c r="E114" s="716">
        <v>232082260</v>
      </c>
      <c r="F114" s="716">
        <v>1841075943</v>
      </c>
      <c r="G114" s="726">
        <v>0.12605795045142251</v>
      </c>
      <c r="H114" s="715">
        <v>1462118.2380000001</v>
      </c>
    </row>
    <row r="115" spans="1:8" ht="8.25" customHeight="1"/>
    <row r="116" spans="1:8">
      <c r="A116" s="712" t="s">
        <v>135</v>
      </c>
      <c r="B116" s="715">
        <v>1233910100</v>
      </c>
      <c r="C116" s="715">
        <v>126056243</v>
      </c>
      <c r="D116" s="715">
        <v>164035800</v>
      </c>
      <c r="E116" s="715">
        <v>290092043</v>
      </c>
      <c r="F116" s="715">
        <v>1524002143</v>
      </c>
      <c r="G116" s="727">
        <v>0.19034884191760615</v>
      </c>
      <c r="H116" s="715">
        <v>2320736.344</v>
      </c>
    </row>
    <row r="117" spans="1:8">
      <c r="A117" s="712" t="s">
        <v>137</v>
      </c>
      <c r="B117" s="716">
        <v>5018358180</v>
      </c>
      <c r="C117" s="715">
        <v>602322000</v>
      </c>
      <c r="D117" s="715">
        <v>212497600</v>
      </c>
      <c r="E117" s="716">
        <v>814819600</v>
      </c>
      <c r="F117" s="716">
        <v>5833177780</v>
      </c>
      <c r="G117" s="726">
        <v>0.13968708493571749</v>
      </c>
      <c r="H117" s="715">
        <v>5214845.4400000004</v>
      </c>
    </row>
    <row r="118" spans="1:8">
      <c r="A118" s="712" t="s">
        <v>139</v>
      </c>
      <c r="B118" s="716">
        <v>1600223200</v>
      </c>
      <c r="C118" s="715">
        <v>145722500</v>
      </c>
      <c r="D118" s="715">
        <v>205974900</v>
      </c>
      <c r="E118" s="716">
        <v>351697400</v>
      </c>
      <c r="F118" s="716">
        <v>1951920600</v>
      </c>
      <c r="G118" s="726">
        <v>0.18018017741090492</v>
      </c>
      <c r="H118" s="715">
        <v>2602560.7599999998</v>
      </c>
    </row>
    <row r="119" spans="1:8">
      <c r="A119" s="712" t="s">
        <v>141</v>
      </c>
      <c r="B119" s="716">
        <v>1822303200</v>
      </c>
      <c r="C119" s="715">
        <v>163723900</v>
      </c>
      <c r="D119" s="715">
        <v>151834700</v>
      </c>
      <c r="E119" s="716">
        <v>315558600</v>
      </c>
      <c r="F119" s="716">
        <v>2137861800</v>
      </c>
      <c r="G119" s="726">
        <v>0.14760477033641745</v>
      </c>
      <c r="H119" s="715">
        <v>2824249.4699999997</v>
      </c>
    </row>
    <row r="120" spans="1:8">
      <c r="A120" s="712" t="s">
        <v>143</v>
      </c>
      <c r="B120" s="716">
        <v>15652591400</v>
      </c>
      <c r="C120" s="715">
        <v>672150500</v>
      </c>
      <c r="D120" s="715">
        <v>189589500</v>
      </c>
      <c r="E120" s="716">
        <v>861740000</v>
      </c>
      <c r="F120" s="716">
        <v>16514331400</v>
      </c>
      <c r="G120" s="726">
        <v>5.2181343532926798E-2</v>
      </c>
      <c r="H120" s="715">
        <v>7302384.7600000007</v>
      </c>
    </row>
    <row r="121" spans="1:8" ht="9" customHeight="1">
      <c r="B121" s="716"/>
      <c r="C121" s="715"/>
      <c r="D121" s="715"/>
      <c r="E121" s="716"/>
      <c r="F121" s="716"/>
      <c r="G121" s="726"/>
      <c r="H121" s="715"/>
    </row>
    <row r="122" spans="1:8">
      <c r="A122" s="712" t="s">
        <v>145</v>
      </c>
      <c r="B122" s="716">
        <v>17858571201</v>
      </c>
      <c r="C122" s="715">
        <v>886772200</v>
      </c>
      <c r="D122" s="715">
        <v>887523300</v>
      </c>
      <c r="E122" s="716">
        <v>1774295500</v>
      </c>
      <c r="F122" s="716">
        <v>19632866701</v>
      </c>
      <c r="G122" s="726">
        <v>9.037373538066279E-2</v>
      </c>
      <c r="H122" s="715">
        <v>17920384.550000001</v>
      </c>
    </row>
    <row r="123" spans="1:8">
      <c r="A123" s="712" t="s">
        <v>147</v>
      </c>
      <c r="B123" s="716">
        <v>949954600</v>
      </c>
      <c r="C123" s="715">
        <v>54567900</v>
      </c>
      <c r="D123" s="715">
        <v>62594700</v>
      </c>
      <c r="E123" s="716">
        <v>117162600</v>
      </c>
      <c r="F123" s="716">
        <v>1067117200</v>
      </c>
      <c r="G123" s="726">
        <v>0.1097935634436405</v>
      </c>
      <c r="H123" s="715">
        <v>831854.46</v>
      </c>
    </row>
    <row r="124" spans="1:8" ht="12" customHeight="1">
      <c r="A124" s="712" t="s">
        <v>149</v>
      </c>
      <c r="B124" s="716">
        <v>898802822</v>
      </c>
      <c r="C124" s="715">
        <v>215997900</v>
      </c>
      <c r="D124" s="715">
        <v>72424100</v>
      </c>
      <c r="E124" s="716">
        <v>288422000</v>
      </c>
      <c r="F124" s="716">
        <v>1187224822</v>
      </c>
      <c r="G124" s="726">
        <v>0.24293797994732291</v>
      </c>
      <c r="H124" s="715">
        <v>1672847.5999999999</v>
      </c>
    </row>
    <row r="125" spans="1:8">
      <c r="A125" s="712" t="s">
        <v>151</v>
      </c>
      <c r="B125" s="716">
        <v>2734336575</v>
      </c>
      <c r="C125" s="715">
        <v>327346200</v>
      </c>
      <c r="D125" s="715">
        <v>215642600</v>
      </c>
      <c r="E125" s="716">
        <v>542988800</v>
      </c>
      <c r="F125" s="716">
        <v>3277325375</v>
      </c>
      <c r="G125" s="726">
        <v>0.16568046741468262</v>
      </c>
      <c r="H125" s="715">
        <v>3149335.04</v>
      </c>
    </row>
    <row r="126" spans="1:8">
      <c r="A126" s="712" t="s">
        <v>153</v>
      </c>
      <c r="B126" s="716">
        <v>4979909800</v>
      </c>
      <c r="C126" s="715">
        <v>409962400</v>
      </c>
      <c r="D126" s="715">
        <v>452250100</v>
      </c>
      <c r="E126" s="716">
        <v>862212500</v>
      </c>
      <c r="F126" s="716">
        <v>5842122300</v>
      </c>
      <c r="G126" s="726">
        <v>0.14758549303221535</v>
      </c>
      <c r="H126" s="715">
        <v>5647491.875</v>
      </c>
    </row>
    <row r="127" spans="1:8" ht="14">
      <c r="A127" s="711" t="s">
        <v>834</v>
      </c>
      <c r="B127" s="723"/>
      <c r="C127" s="723"/>
      <c r="D127" s="723"/>
      <c r="E127" s="723"/>
      <c r="F127" s="723"/>
      <c r="G127" s="723"/>
      <c r="H127" s="723"/>
    </row>
    <row r="128" spans="1:8" ht="13">
      <c r="A128" s="1648" t="s">
        <v>878</v>
      </c>
      <c r="B128" s="1648"/>
      <c r="C128" s="1648"/>
      <c r="D128" s="1648"/>
      <c r="E128" s="1648"/>
      <c r="F128" s="1648"/>
      <c r="G128" s="1648"/>
      <c r="H128" s="1648"/>
    </row>
    <row r="129" spans="1:8" ht="8.25" customHeight="1" thickBot="1">
      <c r="A129" s="713"/>
      <c r="B129" s="713"/>
      <c r="C129" s="713"/>
      <c r="D129" s="713"/>
      <c r="E129" s="713"/>
      <c r="F129" s="713"/>
      <c r="G129" s="713"/>
      <c r="H129" s="713"/>
    </row>
    <row r="130" spans="1:8" ht="12" customHeight="1">
      <c r="A130" s="724"/>
      <c r="B130" s="724"/>
      <c r="C130" s="724"/>
      <c r="D130" s="724"/>
      <c r="E130" s="724"/>
      <c r="F130" s="724" t="s">
        <v>805</v>
      </c>
      <c r="G130" s="724"/>
      <c r="H130" s="724" t="s">
        <v>823</v>
      </c>
    </row>
    <row r="131" spans="1:8">
      <c r="A131" s="718"/>
      <c r="B131" s="718" t="s">
        <v>824</v>
      </c>
      <c r="C131" s="1647" t="s">
        <v>825</v>
      </c>
      <c r="D131" s="1647"/>
      <c r="E131" s="1647"/>
      <c r="F131" s="718" t="s">
        <v>826</v>
      </c>
      <c r="G131" s="718" t="s">
        <v>827</v>
      </c>
      <c r="H131" s="718" t="s">
        <v>828</v>
      </c>
    </row>
    <row r="132" spans="1:8">
      <c r="A132" s="714" t="s">
        <v>21</v>
      </c>
      <c r="B132" s="714" t="s">
        <v>829</v>
      </c>
      <c r="C132" s="714" t="s">
        <v>830</v>
      </c>
      <c r="D132" s="714" t="s">
        <v>831</v>
      </c>
      <c r="E132" s="714" t="s">
        <v>832</v>
      </c>
      <c r="F132" s="714" t="s">
        <v>833</v>
      </c>
      <c r="G132" s="714" t="s">
        <v>805</v>
      </c>
      <c r="H132" s="714" t="s">
        <v>312</v>
      </c>
    </row>
    <row r="133" spans="1:8" ht="9" customHeight="1">
      <c r="B133" s="716"/>
      <c r="C133" s="715"/>
      <c r="D133" s="715"/>
      <c r="E133" s="716"/>
      <c r="F133" s="716"/>
      <c r="G133" s="726"/>
      <c r="H133" s="715"/>
    </row>
    <row r="134" spans="1:8">
      <c r="A134" s="712" t="s">
        <v>155</v>
      </c>
      <c r="B134" s="725">
        <v>4835927501</v>
      </c>
      <c r="C134" s="689">
        <v>272865000</v>
      </c>
      <c r="D134" s="689">
        <v>513802300</v>
      </c>
      <c r="E134" s="725">
        <v>786667300</v>
      </c>
      <c r="F134" s="725">
        <v>5622594801</v>
      </c>
      <c r="G134" s="726">
        <v>0.13991178945708274</v>
      </c>
      <c r="H134" s="689">
        <v>4956003.99</v>
      </c>
    </row>
    <row r="135" spans="1:8">
      <c r="A135" s="712" t="s">
        <v>157</v>
      </c>
      <c r="B135" s="716">
        <v>2647085400</v>
      </c>
      <c r="C135" s="715">
        <v>67034800</v>
      </c>
      <c r="D135" s="715">
        <v>67902300</v>
      </c>
      <c r="E135" s="716">
        <v>134937100</v>
      </c>
      <c r="F135" s="716">
        <v>2782022500</v>
      </c>
      <c r="G135" s="726">
        <v>4.8503238201703977E-2</v>
      </c>
      <c r="H135" s="715">
        <v>840948.91999999993</v>
      </c>
    </row>
    <row r="136" spans="1:8">
      <c r="A136" s="712" t="s">
        <v>159</v>
      </c>
      <c r="B136" s="716">
        <v>1894338921</v>
      </c>
      <c r="C136" s="715">
        <v>462294015</v>
      </c>
      <c r="D136" s="715">
        <v>523302780</v>
      </c>
      <c r="E136" s="716">
        <v>985596795</v>
      </c>
      <c r="F136" s="716">
        <v>2879935716</v>
      </c>
      <c r="G136" s="726">
        <v>0.34222874820585059</v>
      </c>
      <c r="H136" s="715">
        <v>6800617.8854999989</v>
      </c>
    </row>
    <row r="137" spans="1:8">
      <c r="A137" s="712" t="s">
        <v>161</v>
      </c>
      <c r="B137" s="716">
        <v>2599551500</v>
      </c>
      <c r="C137" s="715">
        <v>235451700</v>
      </c>
      <c r="D137" s="715">
        <v>155032200</v>
      </c>
      <c r="E137" s="716">
        <v>390483900</v>
      </c>
      <c r="F137" s="716">
        <v>2990035400</v>
      </c>
      <c r="G137" s="726">
        <v>0.13059507589776362</v>
      </c>
      <c r="H137" s="715">
        <v>2108613.06</v>
      </c>
    </row>
    <row r="138" spans="1:8">
      <c r="A138" s="712" t="s">
        <v>163</v>
      </c>
      <c r="B138" s="716">
        <v>9256819569</v>
      </c>
      <c r="C138" s="715">
        <v>4659507400</v>
      </c>
      <c r="D138" s="715">
        <v>508779100</v>
      </c>
      <c r="E138" s="716">
        <v>5168286500</v>
      </c>
      <c r="F138" s="716">
        <v>14425106069</v>
      </c>
      <c r="G138" s="726">
        <v>0.35828412458656422</v>
      </c>
      <c r="H138" s="715">
        <v>41087877.674999997</v>
      </c>
    </row>
    <row r="139" spans="1:8" ht="8.25" customHeight="1">
      <c r="B139" s="689"/>
      <c r="C139" s="689"/>
      <c r="D139" s="689"/>
      <c r="E139" s="689"/>
      <c r="F139" s="689"/>
      <c r="G139" s="689"/>
      <c r="H139" s="689"/>
    </row>
    <row r="140" spans="1:8" ht="12.75" customHeight="1">
      <c r="A140" s="728" t="s">
        <v>22</v>
      </c>
      <c r="B140" s="717">
        <v>910276017429</v>
      </c>
      <c r="C140" s="717">
        <v>66099368047</v>
      </c>
      <c r="D140" s="717">
        <v>33103623360</v>
      </c>
      <c r="E140" s="717">
        <v>99202991407</v>
      </c>
      <c r="F140" s="717">
        <v>1009479008836</v>
      </c>
      <c r="G140" s="729">
        <v>9.8271475225015323E-2</v>
      </c>
      <c r="H140" s="717">
        <v>768270608.84052575</v>
      </c>
    </row>
    <row r="141" spans="1:8" ht="7.5" customHeight="1">
      <c r="A141" s="730"/>
      <c r="B141" s="731"/>
      <c r="C141" s="731"/>
      <c r="D141" s="731"/>
      <c r="E141" s="731"/>
      <c r="F141" s="731"/>
      <c r="G141" s="732"/>
      <c r="H141" s="731"/>
    </row>
    <row r="142" spans="1:8" ht="9" customHeight="1" thickBot="1">
      <c r="A142" s="733"/>
      <c r="B142" s="733"/>
      <c r="C142" s="733"/>
      <c r="D142" s="733"/>
      <c r="E142" s="733"/>
      <c r="F142" s="733"/>
      <c r="G142" s="733"/>
      <c r="H142" s="733"/>
    </row>
    <row r="143" spans="1:8" ht="14.25" customHeight="1">
      <c r="A143" s="724"/>
      <c r="B143" s="724"/>
      <c r="C143" s="724"/>
      <c r="D143" s="724"/>
      <c r="E143" s="724"/>
      <c r="F143" s="724" t="s">
        <v>805</v>
      </c>
      <c r="G143" s="724"/>
      <c r="H143" s="724" t="s">
        <v>823</v>
      </c>
    </row>
    <row r="144" spans="1:8" ht="12.75" customHeight="1">
      <c r="A144" s="718"/>
      <c r="B144" s="718" t="s">
        <v>824</v>
      </c>
      <c r="C144" s="1647" t="s">
        <v>825</v>
      </c>
      <c r="D144" s="1647"/>
      <c r="E144" s="1647"/>
      <c r="F144" s="718" t="s">
        <v>826</v>
      </c>
      <c r="G144" s="718" t="s">
        <v>827</v>
      </c>
      <c r="H144" s="718" t="s">
        <v>828</v>
      </c>
    </row>
    <row r="145" spans="1:8">
      <c r="A145" s="714" t="s">
        <v>23</v>
      </c>
      <c r="B145" s="714" t="s">
        <v>829</v>
      </c>
      <c r="C145" s="714" t="s">
        <v>830</v>
      </c>
      <c r="D145" s="714" t="s">
        <v>831</v>
      </c>
      <c r="E145" s="714" t="s">
        <v>832</v>
      </c>
      <c r="F145" s="714" t="s">
        <v>833</v>
      </c>
      <c r="G145" s="714" t="s">
        <v>805</v>
      </c>
      <c r="H145" s="714" t="s">
        <v>312</v>
      </c>
    </row>
    <row r="146" spans="1:8" ht="9" customHeight="1">
      <c r="A146" s="718"/>
      <c r="B146" s="718"/>
      <c r="C146" s="718"/>
      <c r="D146" s="718"/>
      <c r="E146" s="718"/>
      <c r="F146" s="718"/>
      <c r="G146" s="718"/>
      <c r="H146" s="718"/>
    </row>
    <row r="147" spans="1:8" ht="12" customHeight="1">
      <c r="A147" s="712" t="s">
        <v>392</v>
      </c>
      <c r="B147" s="689">
        <v>39501128321</v>
      </c>
      <c r="C147" s="689">
        <v>3887055419</v>
      </c>
      <c r="D147" s="689">
        <v>1249195434</v>
      </c>
      <c r="E147" s="689">
        <v>5136250853</v>
      </c>
      <c r="F147" s="689">
        <v>44637379174</v>
      </c>
      <c r="G147" s="727">
        <v>0.11506613847059641</v>
      </c>
      <c r="H147" s="689">
        <v>58039634.638899997</v>
      </c>
    </row>
    <row r="148" spans="1:8" ht="12" customHeight="1">
      <c r="A148" s="712" t="s">
        <v>170</v>
      </c>
      <c r="B148" s="715">
        <v>1186847670</v>
      </c>
      <c r="C148" s="715">
        <v>156128550</v>
      </c>
      <c r="D148" s="715">
        <v>87258900</v>
      </c>
      <c r="E148" s="715">
        <v>243387450</v>
      </c>
      <c r="F148" s="715">
        <v>1430235120</v>
      </c>
      <c r="G148" s="727">
        <v>0.17017303420713092</v>
      </c>
      <c r="H148" s="715">
        <v>2847633.17</v>
      </c>
    </row>
    <row r="149" spans="1:8" ht="12" customHeight="1">
      <c r="A149" s="712" t="s">
        <v>172</v>
      </c>
      <c r="B149" s="715">
        <v>328615450</v>
      </c>
      <c r="C149" s="715">
        <v>43255300</v>
      </c>
      <c r="D149" s="715">
        <v>87951300</v>
      </c>
      <c r="E149" s="715">
        <v>131206600</v>
      </c>
      <c r="F149" s="715">
        <v>459822050</v>
      </c>
      <c r="G149" s="727">
        <v>0.2853421231104511</v>
      </c>
      <c r="H149" s="715">
        <v>1587598.7599999998</v>
      </c>
    </row>
    <row r="150" spans="1:8" ht="12" customHeight="1">
      <c r="A150" s="712" t="s">
        <v>174</v>
      </c>
      <c r="B150" s="715">
        <v>7647893000</v>
      </c>
      <c r="C150" s="715">
        <v>958398900</v>
      </c>
      <c r="D150" s="715">
        <v>1088276900</v>
      </c>
      <c r="E150" s="715">
        <v>2046675800</v>
      </c>
      <c r="F150" s="715">
        <v>9694568800</v>
      </c>
      <c r="G150" s="727">
        <v>0.21111571254205758</v>
      </c>
      <c r="H150" s="715">
        <v>19443420.099999998</v>
      </c>
    </row>
    <row r="151" spans="1:8" ht="12" customHeight="1">
      <c r="A151" s="712" t="s">
        <v>119</v>
      </c>
      <c r="B151" s="715">
        <v>28062056400</v>
      </c>
      <c r="C151" s="715">
        <v>2105752600</v>
      </c>
      <c r="D151" s="715">
        <v>1042367500</v>
      </c>
      <c r="E151" s="715">
        <v>3148120100</v>
      </c>
      <c r="F151" s="715">
        <v>31210176500</v>
      </c>
      <c r="G151" s="727">
        <v>0.10086838502819745</v>
      </c>
      <c r="H151" s="715">
        <v>33055261.050000001</v>
      </c>
    </row>
    <row r="152" spans="1:8" ht="5.25" customHeight="1">
      <c r="B152" s="715"/>
      <c r="C152" s="715"/>
      <c r="D152" s="715"/>
      <c r="E152" s="715"/>
      <c r="F152" s="715"/>
      <c r="G152" s="727"/>
      <c r="H152" s="715"/>
    </row>
    <row r="153" spans="1:8" ht="12" customHeight="1">
      <c r="A153" s="712" t="s">
        <v>121</v>
      </c>
      <c r="B153" s="715">
        <v>1694461870</v>
      </c>
      <c r="C153" s="715">
        <v>70572900</v>
      </c>
      <c r="D153" s="715">
        <v>63426800</v>
      </c>
      <c r="E153" s="715">
        <v>133999700</v>
      </c>
      <c r="F153" s="715">
        <v>1828461570</v>
      </c>
      <c r="G153" s="727">
        <v>7.328548884951408E-2</v>
      </c>
      <c r="H153" s="715">
        <v>1607996.4</v>
      </c>
    </row>
    <row r="154" spans="1:8" ht="12" customHeight="1">
      <c r="A154" s="712" t="s">
        <v>123</v>
      </c>
      <c r="B154" s="715">
        <v>299114968</v>
      </c>
      <c r="C154" s="715">
        <v>52267500</v>
      </c>
      <c r="D154" s="715">
        <v>61834700</v>
      </c>
      <c r="E154" s="715">
        <v>114102200</v>
      </c>
      <c r="F154" s="715">
        <v>413217168</v>
      </c>
      <c r="G154" s="727">
        <v>0.27613131504739413</v>
      </c>
      <c r="H154" s="715">
        <v>912817.60000000009</v>
      </c>
    </row>
    <row r="155" spans="1:8" ht="12" customHeight="1">
      <c r="A155" s="712" t="s">
        <v>125</v>
      </c>
      <c r="B155" s="715">
        <v>2264173900</v>
      </c>
      <c r="C155" s="715">
        <v>345829000</v>
      </c>
      <c r="D155" s="715">
        <v>193638600</v>
      </c>
      <c r="E155" s="715">
        <v>539467600</v>
      </c>
      <c r="F155" s="715">
        <v>2803641500</v>
      </c>
      <c r="G155" s="727">
        <v>0.19241675513791617</v>
      </c>
      <c r="H155" s="715">
        <v>4531527.84</v>
      </c>
    </row>
    <row r="156" spans="1:8" ht="12" customHeight="1">
      <c r="A156" s="712" t="s">
        <v>127</v>
      </c>
      <c r="B156" s="715">
        <v>347503600</v>
      </c>
      <c r="C156" s="715">
        <v>39419000</v>
      </c>
      <c r="D156" s="715">
        <v>33125700</v>
      </c>
      <c r="E156" s="715">
        <v>72544700</v>
      </c>
      <c r="F156" s="715">
        <v>420048300</v>
      </c>
      <c r="G156" s="727">
        <v>0.17270561504474605</v>
      </c>
      <c r="H156" s="715">
        <v>689174.64999999991</v>
      </c>
    </row>
    <row r="157" spans="1:8" ht="12" customHeight="1">
      <c r="A157" s="712" t="s">
        <v>884</v>
      </c>
      <c r="B157" s="715">
        <v>6239184700</v>
      </c>
      <c r="C157" s="715">
        <v>238946300</v>
      </c>
      <c r="D157" s="715">
        <v>343970900</v>
      </c>
      <c r="E157" s="715">
        <v>582917200</v>
      </c>
      <c r="F157" s="715">
        <v>6822101900</v>
      </c>
      <c r="G157" s="727">
        <v>8.5445396234846621E-2</v>
      </c>
      <c r="H157" s="715">
        <v>6266359.9000000004</v>
      </c>
    </row>
    <row r="158" spans="1:8" ht="5.25" customHeight="1">
      <c r="B158" s="715"/>
      <c r="C158" s="715"/>
      <c r="D158" s="715"/>
      <c r="E158" s="715"/>
      <c r="F158" s="715"/>
      <c r="G158" s="727"/>
      <c r="H158" s="715"/>
    </row>
    <row r="159" spans="1:8" ht="12" customHeight="1">
      <c r="A159" s="712" t="s">
        <v>423</v>
      </c>
      <c r="B159" s="715">
        <v>4144519800</v>
      </c>
      <c r="C159" s="715">
        <v>160142300</v>
      </c>
      <c r="D159" s="715">
        <v>140260100</v>
      </c>
      <c r="E159" s="715">
        <v>300402400</v>
      </c>
      <c r="F159" s="715">
        <v>4444922200</v>
      </c>
      <c r="G159" s="727">
        <v>6.7583275135839269E-2</v>
      </c>
      <c r="H159" s="715">
        <v>4010372.04</v>
      </c>
    </row>
    <row r="160" spans="1:8" ht="12" customHeight="1">
      <c r="A160" s="712" t="s">
        <v>24</v>
      </c>
      <c r="B160" s="715">
        <v>571192990</v>
      </c>
      <c r="C160" s="715">
        <v>38997600</v>
      </c>
      <c r="D160" s="715">
        <v>65437500</v>
      </c>
      <c r="E160" s="715">
        <v>104435100</v>
      </c>
      <c r="F160" s="715">
        <v>675628090</v>
      </c>
      <c r="G160" s="727">
        <v>0.15457483421093401</v>
      </c>
      <c r="H160" s="715">
        <v>1075681.53</v>
      </c>
    </row>
    <row r="161" spans="1:8" ht="12" customHeight="1">
      <c r="A161" s="712" t="s">
        <v>132</v>
      </c>
      <c r="B161" s="715">
        <v>4099237700</v>
      </c>
      <c r="C161" s="715">
        <v>791868300</v>
      </c>
      <c r="D161" s="715">
        <v>429376500</v>
      </c>
      <c r="E161" s="715">
        <v>1221244800</v>
      </c>
      <c r="F161" s="715">
        <v>5320482500</v>
      </c>
      <c r="G161" s="727">
        <v>0.22953647531027496</v>
      </c>
      <c r="H161" s="715">
        <v>10380580.800000001</v>
      </c>
    </row>
    <row r="162" spans="1:8" ht="12" customHeight="1">
      <c r="A162" s="712" t="s">
        <v>134</v>
      </c>
      <c r="B162" s="715">
        <v>444892350</v>
      </c>
      <c r="C162" s="715">
        <v>41934300</v>
      </c>
      <c r="D162" s="715">
        <v>25493200</v>
      </c>
      <c r="E162" s="715">
        <v>67427500</v>
      </c>
      <c r="F162" s="715">
        <v>512319850</v>
      </c>
      <c r="G162" s="727">
        <v>0.13161211692266073</v>
      </c>
      <c r="H162" s="715">
        <v>569762.375</v>
      </c>
    </row>
    <row r="163" spans="1:8" ht="12" customHeight="1">
      <c r="A163" s="712" t="s">
        <v>888</v>
      </c>
      <c r="B163" s="715">
        <v>10870556100</v>
      </c>
      <c r="C163" s="715">
        <v>3034547000</v>
      </c>
      <c r="D163" s="715">
        <v>559630800</v>
      </c>
      <c r="E163" s="715">
        <v>3594177800</v>
      </c>
      <c r="F163" s="715">
        <v>14464733900</v>
      </c>
      <c r="G163" s="727">
        <v>0.24847866713953168</v>
      </c>
      <c r="H163" s="715">
        <v>44567804.719999999</v>
      </c>
    </row>
    <row r="164" spans="1:8" ht="5.25" customHeight="1">
      <c r="B164" s="715"/>
      <c r="C164" s="715"/>
      <c r="D164" s="715"/>
      <c r="E164" s="715"/>
      <c r="F164" s="715"/>
      <c r="G164" s="727"/>
      <c r="H164" s="715"/>
    </row>
    <row r="165" spans="1:8" ht="12" customHeight="1">
      <c r="A165" s="712" t="s">
        <v>811</v>
      </c>
      <c r="B165" s="715">
        <v>4372278453</v>
      </c>
      <c r="C165" s="715">
        <v>1198552230</v>
      </c>
      <c r="D165" s="715">
        <v>338276400</v>
      </c>
      <c r="E165" s="715">
        <v>1536828630</v>
      </c>
      <c r="F165" s="715">
        <v>5909107083</v>
      </c>
      <c r="G165" s="727">
        <v>0.26007797936533011</v>
      </c>
      <c r="H165" s="715">
        <v>13216726.218000002</v>
      </c>
    </row>
    <row r="166" spans="1:8" ht="12" customHeight="1">
      <c r="A166" s="712" t="s">
        <v>140</v>
      </c>
      <c r="B166" s="715">
        <v>1364498700</v>
      </c>
      <c r="C166" s="715">
        <v>168391000</v>
      </c>
      <c r="D166" s="715">
        <v>40025900</v>
      </c>
      <c r="E166" s="715">
        <v>208416900</v>
      </c>
      <c r="F166" s="715">
        <v>1572915600</v>
      </c>
      <c r="G166" s="727">
        <v>0.13250354945936069</v>
      </c>
      <c r="H166" s="715">
        <v>2355110.9699999997</v>
      </c>
    </row>
    <row r="167" spans="1:8" ht="12" customHeight="1">
      <c r="A167" s="712" t="s">
        <v>812</v>
      </c>
      <c r="B167" s="715">
        <v>575280400</v>
      </c>
      <c r="C167" s="715">
        <v>531387900</v>
      </c>
      <c r="D167" s="715">
        <v>543230900</v>
      </c>
      <c r="E167" s="715">
        <v>1074618800</v>
      </c>
      <c r="F167" s="715">
        <v>1649899200</v>
      </c>
      <c r="G167" s="727">
        <v>0.65132391118196797</v>
      </c>
      <c r="H167" s="715">
        <v>11390959.280000001</v>
      </c>
    </row>
    <row r="168" spans="1:8" ht="12" customHeight="1">
      <c r="A168" s="712" t="s">
        <v>144</v>
      </c>
      <c r="B168" s="715">
        <v>5626575300</v>
      </c>
      <c r="C168" s="715">
        <v>462701600</v>
      </c>
      <c r="D168" s="715">
        <v>1357092800</v>
      </c>
      <c r="E168" s="715">
        <v>1819794400</v>
      </c>
      <c r="F168" s="715">
        <v>7446369700</v>
      </c>
      <c r="G168" s="727">
        <v>0.24438679159322427</v>
      </c>
      <c r="H168" s="715">
        <v>20199717.840000004</v>
      </c>
    </row>
    <row r="169" spans="1:8" ht="12" customHeight="1">
      <c r="A169" s="712" t="s">
        <v>813</v>
      </c>
      <c r="B169" s="715">
        <v>5063746000</v>
      </c>
      <c r="C169" s="715">
        <v>571514000</v>
      </c>
      <c r="D169" s="715">
        <v>237596800</v>
      </c>
      <c r="E169" s="715">
        <v>809110800</v>
      </c>
      <c r="F169" s="715">
        <v>5872856800</v>
      </c>
      <c r="G169" s="727">
        <v>0.13777124618465073</v>
      </c>
      <c r="H169" s="715">
        <v>11974839.84</v>
      </c>
    </row>
    <row r="170" spans="1:8" ht="14">
      <c r="A170" s="711" t="s">
        <v>834</v>
      </c>
      <c r="B170" s="723"/>
      <c r="C170" s="723"/>
      <c r="D170" s="723"/>
      <c r="E170" s="723"/>
      <c r="F170" s="723"/>
      <c r="G170" s="723"/>
      <c r="H170" s="723"/>
    </row>
    <row r="171" spans="1:8" ht="13">
      <c r="A171" s="1648" t="s">
        <v>878</v>
      </c>
      <c r="B171" s="1648"/>
      <c r="C171" s="1648"/>
      <c r="D171" s="1648"/>
      <c r="E171" s="1648"/>
      <c r="F171" s="1648"/>
      <c r="G171" s="1648"/>
      <c r="H171" s="1648"/>
    </row>
    <row r="172" spans="1:8" ht="12" thickBot="1">
      <c r="A172" s="713"/>
      <c r="B172" s="713"/>
      <c r="C172" s="713"/>
      <c r="D172" s="713"/>
      <c r="E172" s="713"/>
      <c r="F172" s="713"/>
      <c r="G172" s="713"/>
      <c r="H172" s="713"/>
    </row>
    <row r="173" spans="1:8" ht="14.25" customHeight="1">
      <c r="A173" s="724"/>
      <c r="B173" s="724"/>
      <c r="C173" s="724"/>
      <c r="D173" s="724"/>
      <c r="E173" s="724"/>
      <c r="F173" s="724" t="s">
        <v>805</v>
      </c>
      <c r="G173" s="724"/>
      <c r="H173" s="724" t="s">
        <v>823</v>
      </c>
    </row>
    <row r="174" spans="1:8">
      <c r="A174" s="718"/>
      <c r="B174" s="718" t="s">
        <v>824</v>
      </c>
      <c r="C174" s="1647" t="s">
        <v>825</v>
      </c>
      <c r="D174" s="1647"/>
      <c r="E174" s="1647"/>
      <c r="F174" s="718" t="s">
        <v>826</v>
      </c>
      <c r="G174" s="718" t="s">
        <v>827</v>
      </c>
      <c r="H174" s="718" t="s">
        <v>828</v>
      </c>
    </row>
    <row r="175" spans="1:8">
      <c r="A175" s="714" t="s">
        <v>23</v>
      </c>
      <c r="B175" s="714" t="s">
        <v>829</v>
      </c>
      <c r="C175" s="714" t="s">
        <v>830</v>
      </c>
      <c r="D175" s="714" t="s">
        <v>831</v>
      </c>
      <c r="E175" s="714" t="s">
        <v>832</v>
      </c>
      <c r="F175" s="714" t="s">
        <v>833</v>
      </c>
      <c r="G175" s="714" t="s">
        <v>805</v>
      </c>
      <c r="H175" s="714" t="s">
        <v>312</v>
      </c>
    </row>
    <row r="176" spans="1:8" ht="8.25" customHeight="1"/>
    <row r="177" spans="1:8" ht="12" customHeight="1">
      <c r="A177" s="712" t="s">
        <v>887</v>
      </c>
      <c r="B177" s="725">
        <v>1625685700</v>
      </c>
      <c r="C177" s="689">
        <v>131520000</v>
      </c>
      <c r="D177" s="689">
        <v>2666400</v>
      </c>
      <c r="E177" s="725">
        <v>134186400</v>
      </c>
      <c r="F177" s="725">
        <v>1759872100</v>
      </c>
      <c r="G177" s="726">
        <v>7.6247813690551711E-2</v>
      </c>
      <c r="H177" s="689">
        <v>2079889.2</v>
      </c>
    </row>
    <row r="178" spans="1:8" ht="12" customHeight="1">
      <c r="A178" s="712" t="s">
        <v>150</v>
      </c>
      <c r="B178" s="715">
        <v>638496000</v>
      </c>
      <c r="C178" s="715">
        <v>49198600</v>
      </c>
      <c r="D178" s="715">
        <v>97526700</v>
      </c>
      <c r="E178" s="715">
        <v>146725300</v>
      </c>
      <c r="F178" s="715">
        <v>785221300</v>
      </c>
      <c r="G178" s="727">
        <v>0.18685853274739236</v>
      </c>
      <c r="H178" s="715">
        <v>1558369.4113</v>
      </c>
    </row>
    <row r="179" spans="1:8" ht="12" customHeight="1">
      <c r="A179" s="712" t="s">
        <v>152</v>
      </c>
      <c r="B179" s="715">
        <v>16006199700</v>
      </c>
      <c r="C179" s="715">
        <v>18124814900</v>
      </c>
      <c r="D179" s="715">
        <v>823363300</v>
      </c>
      <c r="E179" s="715">
        <v>18948178200</v>
      </c>
      <c r="F179" s="715">
        <v>34954377900</v>
      </c>
      <c r="G179" s="727">
        <v>0.54208311915057716</v>
      </c>
      <c r="H179" s="715">
        <v>231167774.03999999</v>
      </c>
    </row>
    <row r="180" spans="1:8" ht="12" customHeight="1">
      <c r="A180" s="712" t="s">
        <v>154</v>
      </c>
      <c r="B180" s="715">
        <v>21076783700</v>
      </c>
      <c r="C180" s="715">
        <v>9362472000</v>
      </c>
      <c r="D180" s="715">
        <v>2341912500</v>
      </c>
      <c r="E180" s="715">
        <v>11704384500</v>
      </c>
      <c r="F180" s="715">
        <v>32781168200</v>
      </c>
      <c r="G180" s="727">
        <v>0.35704598532275611</v>
      </c>
      <c r="H180" s="715">
        <v>146304806.25</v>
      </c>
    </row>
    <row r="181" spans="1:8" ht="12" customHeight="1">
      <c r="A181" s="712" t="s">
        <v>814</v>
      </c>
      <c r="B181" s="715">
        <v>233537200</v>
      </c>
      <c r="C181" s="715">
        <v>34723000</v>
      </c>
      <c r="D181" s="715">
        <v>38810600</v>
      </c>
      <c r="E181" s="715">
        <v>73533600</v>
      </c>
      <c r="F181" s="715">
        <v>307070800</v>
      </c>
      <c r="G181" s="727">
        <v>0.23946790121366149</v>
      </c>
      <c r="H181" s="715">
        <v>661802.4</v>
      </c>
    </row>
    <row r="182" spans="1:8" ht="9" customHeight="1">
      <c r="B182" s="715"/>
      <c r="C182" s="715"/>
      <c r="D182" s="715"/>
      <c r="E182" s="715"/>
      <c r="F182" s="715"/>
      <c r="G182" s="727"/>
      <c r="H182" s="715"/>
    </row>
    <row r="183" spans="1:8" ht="12" customHeight="1">
      <c r="A183" s="712" t="s">
        <v>886</v>
      </c>
      <c r="B183" s="715">
        <v>1922080749</v>
      </c>
      <c r="C183" s="715">
        <v>212048307</v>
      </c>
      <c r="D183" s="715">
        <v>184754128</v>
      </c>
      <c r="E183" s="715">
        <v>396802435</v>
      </c>
      <c r="F183" s="715">
        <v>2318883184</v>
      </c>
      <c r="G183" s="727">
        <v>0.17111790612734892</v>
      </c>
      <c r="H183" s="715">
        <v>5356832.8725000005</v>
      </c>
    </row>
    <row r="184" spans="1:8" ht="12" customHeight="1">
      <c r="A184" s="712" t="s">
        <v>885</v>
      </c>
      <c r="B184" s="715">
        <v>1602049325</v>
      </c>
      <c r="C184" s="715">
        <v>40651900</v>
      </c>
      <c r="D184" s="715">
        <v>63077000</v>
      </c>
      <c r="E184" s="715">
        <v>103728900</v>
      </c>
      <c r="F184" s="715">
        <v>1705778225</v>
      </c>
      <c r="G184" s="727">
        <v>6.0810308444405194E-2</v>
      </c>
      <c r="H184" s="715">
        <v>1182509.46</v>
      </c>
    </row>
    <row r="185" spans="1:8" ht="12" customHeight="1">
      <c r="A185" s="712" t="s">
        <v>871</v>
      </c>
      <c r="B185" s="715">
        <v>7494771402</v>
      </c>
      <c r="C185" s="715">
        <v>4972003421</v>
      </c>
      <c r="D185" s="715">
        <v>563378830</v>
      </c>
      <c r="E185" s="715">
        <v>5535382251</v>
      </c>
      <c r="F185" s="715">
        <v>13030153653</v>
      </c>
      <c r="G185" s="727">
        <v>0.42481327530052265</v>
      </c>
      <c r="H185" s="715">
        <v>71959969.263000011</v>
      </c>
    </row>
    <row r="186" spans="1:8" ht="12" customHeight="1">
      <c r="A186" s="712" t="s">
        <v>164</v>
      </c>
      <c r="B186" s="715">
        <v>822947600</v>
      </c>
      <c r="C186" s="715">
        <v>573466200</v>
      </c>
      <c r="D186" s="715">
        <v>29477600</v>
      </c>
      <c r="E186" s="715">
        <v>602943800</v>
      </c>
      <c r="F186" s="715">
        <v>1425891400</v>
      </c>
      <c r="G186" s="727">
        <v>0.42285394245312091</v>
      </c>
      <c r="H186" s="715">
        <v>4944139.16</v>
      </c>
    </row>
    <row r="187" spans="1:8" ht="12" customHeight="1">
      <c r="A187" s="712" t="s">
        <v>892</v>
      </c>
      <c r="B187" s="715">
        <v>22710883000</v>
      </c>
      <c r="C187" s="715">
        <v>5582978000</v>
      </c>
      <c r="D187" s="715">
        <v>1952875000</v>
      </c>
      <c r="E187" s="715">
        <v>7535853000</v>
      </c>
      <c r="F187" s="715">
        <v>30246736000</v>
      </c>
      <c r="G187" s="727">
        <v>0.24914599049629685</v>
      </c>
      <c r="H187" s="715">
        <v>90430236</v>
      </c>
    </row>
    <row r="188" spans="1:8" ht="11.25" customHeight="1">
      <c r="B188" s="715"/>
      <c r="C188" s="715"/>
      <c r="D188" s="715"/>
      <c r="E188" s="715"/>
      <c r="F188" s="715"/>
      <c r="G188" s="727"/>
      <c r="H188" s="715"/>
    </row>
    <row r="189" spans="1:8" ht="12" customHeight="1">
      <c r="A189" s="712" t="s">
        <v>25</v>
      </c>
      <c r="B189" s="715">
        <v>7962115600</v>
      </c>
      <c r="C189" s="715">
        <v>1064329900</v>
      </c>
      <c r="D189" s="715">
        <v>1115859800</v>
      </c>
      <c r="E189" s="715">
        <v>2180189700</v>
      </c>
      <c r="F189" s="715">
        <v>10142305300</v>
      </c>
      <c r="G189" s="727">
        <v>0.2149599756181664</v>
      </c>
      <c r="H189" s="715">
        <v>26598314.34</v>
      </c>
    </row>
    <row r="190" spans="1:8" ht="12" customHeight="1">
      <c r="A190" s="712" t="s">
        <v>165</v>
      </c>
      <c r="B190" s="715">
        <v>2277666100</v>
      </c>
      <c r="C190" s="715">
        <v>342704400</v>
      </c>
      <c r="D190" s="715">
        <v>199441800</v>
      </c>
      <c r="E190" s="715">
        <v>542146200</v>
      </c>
      <c r="F190" s="715">
        <v>2819812300</v>
      </c>
      <c r="G190" s="727">
        <v>0.19226322262655568</v>
      </c>
      <c r="H190" s="715">
        <v>6505754.4000000004</v>
      </c>
    </row>
    <row r="191" spans="1:8" ht="12" customHeight="1">
      <c r="A191" s="712" t="s">
        <v>166</v>
      </c>
      <c r="B191" s="715">
        <v>2043064069</v>
      </c>
      <c r="C191" s="715">
        <v>256336765</v>
      </c>
      <c r="D191" s="715">
        <v>153955422</v>
      </c>
      <c r="E191" s="715">
        <v>410292187</v>
      </c>
      <c r="F191" s="715">
        <v>2453356256</v>
      </c>
      <c r="G191" s="727">
        <v>0.16723710060313393</v>
      </c>
      <c r="H191" s="715">
        <v>3979834.2138999999</v>
      </c>
    </row>
    <row r="192" spans="1:8" ht="12" customHeight="1">
      <c r="A192" s="712" t="s">
        <v>167</v>
      </c>
      <c r="B192" s="715">
        <v>10513127400</v>
      </c>
      <c r="C192" s="715">
        <v>747181400</v>
      </c>
      <c r="D192" s="715">
        <v>370483700</v>
      </c>
      <c r="E192" s="715">
        <v>1117665100</v>
      </c>
      <c r="F192" s="715">
        <v>11630792500</v>
      </c>
      <c r="G192" s="727">
        <v>9.6095352057910075E-2</v>
      </c>
      <c r="H192" s="715">
        <v>12406082.610000001</v>
      </c>
    </row>
    <row r="193" spans="1:8" ht="12" customHeight="1">
      <c r="A193" s="712" t="s">
        <v>592</v>
      </c>
      <c r="B193" s="715">
        <v>59558551700</v>
      </c>
      <c r="C193" s="715">
        <v>9705359000</v>
      </c>
      <c r="D193" s="715">
        <v>1716477500</v>
      </c>
      <c r="E193" s="715">
        <v>11421836500</v>
      </c>
      <c r="F193" s="715">
        <v>70980388200</v>
      </c>
      <c r="G193" s="727">
        <v>0.16091538507533831</v>
      </c>
      <c r="H193" s="715">
        <v>116217186.3875</v>
      </c>
    </row>
    <row r="194" spans="1:8" ht="9" customHeight="1">
      <c r="B194" s="715"/>
      <c r="C194" s="715"/>
      <c r="D194" s="715"/>
      <c r="E194" s="715"/>
      <c r="F194" s="715"/>
      <c r="G194" s="727"/>
      <c r="H194" s="715"/>
    </row>
    <row r="195" spans="1:8">
      <c r="A195" s="712" t="s">
        <v>169</v>
      </c>
      <c r="B195" s="715">
        <v>1908479700</v>
      </c>
      <c r="C195" s="715">
        <v>116586000</v>
      </c>
      <c r="D195" s="715">
        <v>197620400</v>
      </c>
      <c r="E195" s="715">
        <v>314206400</v>
      </c>
      <c r="F195" s="715">
        <v>2222686100</v>
      </c>
      <c r="G195" s="727">
        <v>0.14136337110309907</v>
      </c>
      <c r="H195" s="715">
        <v>2827857.6</v>
      </c>
    </row>
    <row r="196" spans="1:8">
      <c r="A196" s="712" t="s">
        <v>815</v>
      </c>
      <c r="B196" s="715">
        <v>1996684300</v>
      </c>
      <c r="C196" s="715">
        <v>118622200</v>
      </c>
      <c r="D196" s="715">
        <v>924575700</v>
      </c>
      <c r="E196" s="715">
        <v>1043197900</v>
      </c>
      <c r="F196" s="715">
        <v>3039882200</v>
      </c>
      <c r="G196" s="727">
        <v>0.34317050180431335</v>
      </c>
      <c r="H196" s="715">
        <v>6259187.4000000004</v>
      </c>
    </row>
    <row r="197" spans="1:8">
      <c r="A197" s="712" t="s">
        <v>173</v>
      </c>
      <c r="B197" s="715">
        <v>3191648489</v>
      </c>
      <c r="C197" s="715">
        <v>139017900</v>
      </c>
      <c r="D197" s="715">
        <v>827135701</v>
      </c>
      <c r="E197" s="715">
        <v>966153601</v>
      </c>
      <c r="F197" s="715">
        <v>4157802090</v>
      </c>
      <c r="G197" s="727">
        <v>0.23237123366783435</v>
      </c>
      <c r="H197" s="715">
        <v>8985228.4892999995</v>
      </c>
    </row>
    <row r="198" spans="1:8" ht="12" customHeight="1">
      <c r="E198" s="715"/>
      <c r="G198" s="727"/>
    </row>
    <row r="199" spans="1:8" ht="12.75" customHeight="1">
      <c r="A199" s="717" t="s">
        <v>27</v>
      </c>
      <c r="B199" s="717">
        <v>288288529406</v>
      </c>
      <c r="C199" s="717">
        <v>66471675592</v>
      </c>
      <c r="D199" s="717">
        <v>19590859715</v>
      </c>
      <c r="E199" s="717">
        <v>86062535307</v>
      </c>
      <c r="F199" s="717">
        <v>374351064713</v>
      </c>
      <c r="G199" s="729">
        <v>0.22989793116517701</v>
      </c>
      <c r="H199" s="717">
        <v>988148753.21939993</v>
      </c>
    </row>
    <row r="200" spans="1:8" ht="12.75" customHeight="1">
      <c r="A200" s="717" t="s">
        <v>22</v>
      </c>
      <c r="B200" s="717">
        <v>910276017429</v>
      </c>
      <c r="C200" s="717">
        <v>66099368047</v>
      </c>
      <c r="D200" s="717">
        <v>33103623360</v>
      </c>
      <c r="E200" s="717">
        <v>99202991407</v>
      </c>
      <c r="F200" s="717">
        <v>1009479008836</v>
      </c>
      <c r="G200" s="729">
        <v>9.8271475225015323E-2</v>
      </c>
      <c r="H200" s="717">
        <v>768270608.84052575</v>
      </c>
    </row>
    <row r="201" spans="1:8">
      <c r="A201" s="734"/>
      <c r="B201" s="734"/>
      <c r="C201" s="734"/>
      <c r="D201" s="734"/>
      <c r="E201" s="734"/>
      <c r="F201" s="734"/>
      <c r="G201" s="734"/>
      <c r="H201" s="734"/>
    </row>
    <row r="202" spans="1:8" ht="12.75" customHeight="1">
      <c r="A202" s="717" t="s">
        <v>28</v>
      </c>
      <c r="B202" s="717">
        <v>1198564546835</v>
      </c>
      <c r="C202" s="717">
        <v>132571043639</v>
      </c>
      <c r="D202" s="717">
        <v>52694483075</v>
      </c>
      <c r="E202" s="717">
        <v>185265526714</v>
      </c>
      <c r="F202" s="717">
        <v>1383830073549</v>
      </c>
      <c r="G202" s="729">
        <v>0.13387881233052271</v>
      </c>
      <c r="H202" s="717">
        <v>1756419362.0599256</v>
      </c>
    </row>
    <row r="203" spans="1:8">
      <c r="A203" s="734"/>
      <c r="B203" s="734"/>
      <c r="C203" s="734"/>
      <c r="D203" s="734"/>
      <c r="E203" s="734"/>
      <c r="F203" s="734"/>
      <c r="G203" s="735"/>
      <c r="H203" s="734"/>
    </row>
    <row r="204" spans="1:8">
      <c r="A204" s="734"/>
      <c r="B204" s="734"/>
      <c r="C204" s="734"/>
      <c r="D204" s="734"/>
      <c r="E204" s="734"/>
      <c r="F204" s="734"/>
      <c r="G204" s="734"/>
      <c r="H204" s="734"/>
    </row>
    <row r="205" spans="1:8">
      <c r="A205" s="712" t="s">
        <v>1</v>
      </c>
      <c r="B205" s="689"/>
      <c r="C205" s="689"/>
      <c r="D205" s="689"/>
      <c r="E205" s="689"/>
      <c r="F205" s="689"/>
      <c r="G205" s="689"/>
      <c r="H205" s="689"/>
    </row>
    <row r="206" spans="1:8">
      <c r="A206" s="712" t="s">
        <v>816</v>
      </c>
      <c r="F206" s="689"/>
      <c r="G206" s="736"/>
    </row>
    <row r="207" spans="1:8">
      <c r="A207" s="712" t="s">
        <v>835</v>
      </c>
      <c r="G207" s="736"/>
    </row>
    <row r="208" spans="1:8">
      <c r="A208" s="712" t="s">
        <v>836</v>
      </c>
      <c r="G208" s="736"/>
    </row>
    <row r="209" spans="1:8">
      <c r="A209" s="721" t="s">
        <v>882</v>
      </c>
    </row>
    <row r="210" spans="1:8">
      <c r="B210" s="721"/>
      <c r="C210" s="721"/>
      <c r="D210" s="721"/>
      <c r="E210" s="721"/>
      <c r="F210" s="721"/>
      <c r="G210" s="736"/>
      <c r="H210" s="721"/>
    </row>
    <row r="211" spans="1:8">
      <c r="B211" s="721">
        <v>1197482687329</v>
      </c>
      <c r="C211" s="721">
        <v>132613911494</v>
      </c>
      <c r="D211" s="721">
        <v>52531008029</v>
      </c>
      <c r="E211" s="721">
        <v>185144919523</v>
      </c>
      <c r="F211" s="721">
        <v>1382627606852</v>
      </c>
      <c r="G211" s="736">
        <v>0.13390801587170853</v>
      </c>
      <c r="H211" s="721">
        <v>1845670812.4442854</v>
      </c>
    </row>
    <row r="212" spans="1:8">
      <c r="B212" s="721">
        <v>1081859506</v>
      </c>
      <c r="C212" s="721">
        <v>-42867855</v>
      </c>
      <c r="D212" s="721">
        <v>163475046</v>
      </c>
      <c r="E212" s="721">
        <v>120607191</v>
      </c>
      <c r="F212" s="721">
        <v>1202466697</v>
      </c>
      <c r="G212" s="721">
        <v>-2.92035411858238E-5</v>
      </c>
      <c r="H212" s="721">
        <v>-89251450.384359837</v>
      </c>
    </row>
    <row r="213" spans="1:8">
      <c r="B213" s="721"/>
      <c r="C213" s="721"/>
      <c r="D213" s="721"/>
      <c r="E213" s="721"/>
      <c r="F213" s="721"/>
      <c r="G213" s="736"/>
      <c r="H213" s="721"/>
    </row>
    <row r="215" spans="1:8">
      <c r="B215" s="722"/>
      <c r="C215" s="722"/>
      <c r="D215" s="722"/>
      <c r="E215" s="722"/>
      <c r="F215" s="722"/>
      <c r="G215" s="722"/>
      <c r="H215" s="722"/>
    </row>
    <row r="216" spans="1:8">
      <c r="B216" s="722"/>
      <c r="C216" s="722"/>
      <c r="D216" s="722"/>
      <c r="E216" s="722"/>
      <c r="F216" s="722"/>
      <c r="G216" s="722"/>
      <c r="H216" s="722"/>
    </row>
    <row r="218" spans="1:8">
      <c r="B218" s="722"/>
      <c r="C218" s="722"/>
      <c r="D218" s="722"/>
      <c r="E218" s="722"/>
      <c r="F218" s="722"/>
      <c r="G218" s="722"/>
      <c r="H218" s="722"/>
    </row>
  </sheetData>
  <mergeCells count="11">
    <mergeCell ref="A171:H171"/>
    <mergeCell ref="C174:E174"/>
    <mergeCell ref="A128:H128"/>
    <mergeCell ref="C131:E131"/>
    <mergeCell ref="C144:E144"/>
    <mergeCell ref="C47:E47"/>
    <mergeCell ref="A86:H86"/>
    <mergeCell ref="C89:E89"/>
    <mergeCell ref="A2:H2"/>
    <mergeCell ref="C5:E5"/>
    <mergeCell ref="A44:H44"/>
  </mergeCells>
  <printOptions horizontalCentered="1"/>
  <pageMargins left="0.25" right="0.25" top="0.75" bottom="1.25" header="0.25" footer="0.4"/>
  <pageSetup fitToHeight="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M184"/>
  <sheetViews>
    <sheetView zoomScaleNormal="100" workbookViewId="0"/>
  </sheetViews>
  <sheetFormatPr defaultColWidth="10.81640625" defaultRowHeight="11.5"/>
  <cols>
    <col min="1" max="1" width="14.7265625" style="655" customWidth="1"/>
    <col min="2" max="2" width="16.7265625" style="661" customWidth="1"/>
    <col min="3" max="3" width="15.7265625" style="661" customWidth="1"/>
    <col min="4" max="4" width="0.54296875" style="655" customWidth="1"/>
    <col min="5" max="5" width="15.7265625" style="661" customWidth="1"/>
    <col min="6" max="6" width="13.7265625" style="661" customWidth="1"/>
    <col min="7" max="7" width="0.54296875" style="655" customWidth="1"/>
    <col min="8" max="8" width="14.7265625" style="661" customWidth="1"/>
    <col min="9" max="9" width="12.7265625" style="661" customWidth="1"/>
    <col min="10" max="10" width="0.54296875" style="655" customWidth="1"/>
    <col min="11" max="11" width="15.7265625" style="661" customWidth="1"/>
    <col min="12" max="12" width="13.7265625" style="661" customWidth="1"/>
    <col min="13" max="13" width="7" style="690" bestFit="1" customWidth="1"/>
    <col min="14" max="16384" width="10.81640625" style="655"/>
  </cols>
  <sheetData>
    <row r="1" spans="1:13" s="669" customFormat="1" ht="15" customHeight="1">
      <c r="A1" s="825" t="s">
        <v>837</v>
      </c>
      <c r="B1" s="681"/>
      <c r="C1" s="681"/>
      <c r="E1" s="681"/>
      <c r="F1" s="681"/>
      <c r="H1" s="681"/>
      <c r="I1" s="681"/>
      <c r="K1" s="681"/>
      <c r="L1" s="681"/>
      <c r="M1" s="855" t="s">
        <v>984</v>
      </c>
    </row>
    <row r="2" spans="1:13" s="669" customFormat="1" ht="15" customHeight="1">
      <c r="A2" s="944" t="s">
        <v>1310</v>
      </c>
      <c r="B2" s="682"/>
      <c r="C2" s="682"/>
      <c r="D2" s="682"/>
      <c r="E2" s="682"/>
      <c r="F2" s="682"/>
      <c r="G2" s="682"/>
      <c r="H2" s="682"/>
      <c r="I2" s="682"/>
      <c r="J2" s="682"/>
      <c r="K2" s="682"/>
      <c r="L2" s="682"/>
      <c r="M2" s="683"/>
    </row>
    <row r="3" spans="1:13" ht="5.15" customHeight="1" thickBot="1">
      <c r="A3" s="658"/>
      <c r="B3" s="657"/>
      <c r="C3" s="657"/>
      <c r="D3" s="657"/>
      <c r="E3" s="657"/>
      <c r="F3" s="657"/>
      <c r="G3" s="657"/>
      <c r="H3" s="657"/>
      <c r="I3" s="657"/>
      <c r="J3" s="657"/>
      <c r="K3" s="657"/>
      <c r="L3" s="657"/>
      <c r="M3" s="684"/>
    </row>
    <row r="4" spans="1:13" ht="12.75" customHeight="1">
      <c r="A4" s="677"/>
      <c r="B4" s="945" t="s">
        <v>839</v>
      </c>
      <c r="C4" s="945"/>
      <c r="D4" s="677"/>
      <c r="E4" s="946" t="s">
        <v>840</v>
      </c>
      <c r="F4" s="946"/>
      <c r="G4" s="677"/>
      <c r="H4" s="946" t="s">
        <v>841</v>
      </c>
      <c r="I4" s="946"/>
      <c r="J4" s="677"/>
      <c r="K4" s="946" t="s">
        <v>842</v>
      </c>
      <c r="L4" s="946"/>
      <c r="M4" s="683"/>
    </row>
    <row r="5" spans="1:13" s="941" customFormat="1" ht="12.75" customHeight="1">
      <c r="A5" s="1329" t="s">
        <v>21</v>
      </c>
      <c r="B5" s="1327" t="s">
        <v>843</v>
      </c>
      <c r="C5" s="1327" t="s">
        <v>844</v>
      </c>
      <c r="D5" s="781"/>
      <c r="E5" s="1327" t="s">
        <v>843</v>
      </c>
      <c r="F5" s="1327" t="s">
        <v>844</v>
      </c>
      <c r="G5" s="781"/>
      <c r="H5" s="1326" t="s">
        <v>843</v>
      </c>
      <c r="I5" s="1326" t="s">
        <v>844</v>
      </c>
      <c r="J5" s="781"/>
      <c r="K5" s="1328" t="s">
        <v>843</v>
      </c>
      <c r="L5" s="1327" t="s">
        <v>844</v>
      </c>
      <c r="M5" s="942"/>
    </row>
    <row r="6" spans="1:13" ht="18" customHeight="1">
      <c r="A6" s="655" t="s">
        <v>317</v>
      </c>
      <c r="B6" s="1450">
        <v>555078634</v>
      </c>
      <c r="C6" s="1450">
        <v>15117743.199999999</v>
      </c>
      <c r="D6" s="1451"/>
      <c r="E6" s="1450">
        <v>20323472</v>
      </c>
      <c r="F6" s="1450">
        <v>756090.84</v>
      </c>
      <c r="G6" s="1451"/>
      <c r="H6" s="1450">
        <v>0</v>
      </c>
      <c r="I6" s="1450">
        <v>0</v>
      </c>
      <c r="J6" s="1451"/>
      <c r="K6" s="1450">
        <v>393369103</v>
      </c>
      <c r="L6" s="1450">
        <v>2386024.62</v>
      </c>
      <c r="M6" s="755"/>
    </row>
    <row r="7" spans="1:13" ht="11.25" customHeight="1">
      <c r="A7" s="655" t="s">
        <v>52</v>
      </c>
      <c r="B7" s="1452">
        <v>1742528618.5</v>
      </c>
      <c r="C7" s="1452">
        <v>54943005.020300001</v>
      </c>
      <c r="D7" s="1453"/>
      <c r="E7" s="1452">
        <v>19989102</v>
      </c>
      <c r="F7" s="1452">
        <v>683627.28839999996</v>
      </c>
      <c r="G7" s="1453"/>
      <c r="H7" s="1452">
        <v>0</v>
      </c>
      <c r="I7" s="1452">
        <v>0</v>
      </c>
      <c r="J7" s="1453"/>
      <c r="K7" s="1452">
        <v>588296662</v>
      </c>
      <c r="L7" s="1452">
        <v>5040719.3556000004</v>
      </c>
      <c r="M7" s="755"/>
    </row>
    <row r="8" spans="1:13" ht="11.25" customHeight="1">
      <c r="A8" s="655" t="s">
        <v>54</v>
      </c>
      <c r="B8" s="1452">
        <v>167432486</v>
      </c>
      <c r="C8" s="1452">
        <v>4908993.2078</v>
      </c>
      <c r="D8" s="1453"/>
      <c r="E8" s="1452">
        <v>212818436</v>
      </c>
      <c r="F8" s="1452">
        <v>6341989.3927999996</v>
      </c>
      <c r="G8" s="1453"/>
      <c r="H8" s="1452">
        <v>0</v>
      </c>
      <c r="I8" s="1452">
        <v>0</v>
      </c>
      <c r="J8" s="1453"/>
      <c r="K8" s="1452">
        <v>161870172</v>
      </c>
      <c r="L8" s="1452">
        <v>1183133.2956000001</v>
      </c>
      <c r="M8" s="755"/>
    </row>
    <row r="9" spans="1:13" ht="11.25" customHeight="1">
      <c r="A9" s="655" t="s">
        <v>56</v>
      </c>
      <c r="B9" s="1452">
        <v>175762574</v>
      </c>
      <c r="C9" s="1452">
        <v>4978766.1908999998</v>
      </c>
      <c r="D9" s="1453"/>
      <c r="E9" s="1452">
        <v>19191980</v>
      </c>
      <c r="F9" s="1452">
        <v>191919.8</v>
      </c>
      <c r="G9" s="1453"/>
      <c r="H9" s="1452">
        <v>0</v>
      </c>
      <c r="I9" s="1452">
        <v>0</v>
      </c>
      <c r="J9" s="1453"/>
      <c r="K9" s="1452">
        <v>47805016</v>
      </c>
      <c r="L9" s="1452">
        <v>1389737.5175999999</v>
      </c>
      <c r="M9" s="755"/>
    </row>
    <row r="10" spans="1:13" ht="11.25" customHeight="1">
      <c r="A10" s="655" t="s">
        <v>58</v>
      </c>
      <c r="B10" s="1452">
        <v>352570149</v>
      </c>
      <c r="C10" s="1452">
        <v>11687490.748500001</v>
      </c>
      <c r="D10" s="1453"/>
      <c r="E10" s="1452">
        <v>116961290</v>
      </c>
      <c r="F10" s="1452">
        <v>2339225.7999999998</v>
      </c>
      <c r="G10" s="1453"/>
      <c r="H10" s="1452">
        <v>0</v>
      </c>
      <c r="I10" s="1452">
        <v>0</v>
      </c>
      <c r="J10" s="1453"/>
      <c r="K10" s="1452">
        <v>131406037</v>
      </c>
      <c r="L10" s="1452">
        <v>801594.85970000003</v>
      </c>
      <c r="M10" s="755"/>
    </row>
    <row r="11" spans="1:13" ht="18" customHeight="1">
      <c r="A11" s="655" t="s">
        <v>60</v>
      </c>
      <c r="B11" s="1452">
        <v>236559737</v>
      </c>
      <c r="C11" s="1452">
        <v>7003732.3799999999</v>
      </c>
      <c r="D11" s="1453"/>
      <c r="E11" s="1452">
        <v>4362671</v>
      </c>
      <c r="F11" s="1452">
        <v>146149.53</v>
      </c>
      <c r="G11" s="1453"/>
      <c r="H11" s="1452">
        <v>13239024</v>
      </c>
      <c r="I11" s="1452">
        <v>132390.24</v>
      </c>
      <c r="J11" s="1453"/>
      <c r="K11" s="1452">
        <v>146256346</v>
      </c>
      <c r="L11" s="1452">
        <v>939827.55</v>
      </c>
      <c r="M11" s="755"/>
    </row>
    <row r="12" spans="1:13" ht="11.25" customHeight="1">
      <c r="A12" s="655" t="s">
        <v>62</v>
      </c>
      <c r="B12" s="1452">
        <v>2449504080.5999999</v>
      </c>
      <c r="C12" s="1452">
        <v>122475204.03</v>
      </c>
      <c r="D12" s="1453"/>
      <c r="E12" s="1452">
        <v>5349808</v>
      </c>
      <c r="F12" s="1452">
        <v>267490.40000000002</v>
      </c>
      <c r="G12" s="1453"/>
      <c r="H12" s="1452">
        <v>0</v>
      </c>
      <c r="I12" s="1452">
        <v>0</v>
      </c>
      <c r="J12" s="1453"/>
      <c r="K12" s="1452">
        <v>803412108.46000004</v>
      </c>
      <c r="L12" s="1452">
        <v>8145639.3110999996</v>
      </c>
      <c r="M12" s="755"/>
    </row>
    <row r="13" spans="1:13" ht="11.25" customHeight="1">
      <c r="A13" s="655" t="s">
        <v>64</v>
      </c>
      <c r="B13" s="1452">
        <v>1057332840</v>
      </c>
      <c r="C13" s="1452">
        <v>25877078.925000001</v>
      </c>
      <c r="D13" s="1453"/>
      <c r="E13" s="1452">
        <v>284339470</v>
      </c>
      <c r="F13" s="1452">
        <v>5686789.4000000004</v>
      </c>
      <c r="G13" s="1453"/>
      <c r="H13" s="1452">
        <v>0</v>
      </c>
      <c r="I13" s="1452">
        <v>0</v>
      </c>
      <c r="J13" s="1453"/>
      <c r="K13" s="1452">
        <v>420884790</v>
      </c>
      <c r="L13" s="1452">
        <v>2663964.1830000002</v>
      </c>
      <c r="M13" s="755"/>
    </row>
    <row r="14" spans="1:13" ht="11.25" customHeight="1">
      <c r="A14" s="655" t="s">
        <v>66</v>
      </c>
      <c r="B14" s="1452">
        <v>58041100</v>
      </c>
      <c r="C14" s="1452">
        <v>260042.85</v>
      </c>
      <c r="D14" s="1453"/>
      <c r="E14" s="1452">
        <v>3479700</v>
      </c>
      <c r="F14" s="1452">
        <v>15658.65</v>
      </c>
      <c r="G14" s="1453"/>
      <c r="H14" s="1452">
        <v>0</v>
      </c>
      <c r="I14" s="1452">
        <v>0</v>
      </c>
      <c r="J14" s="1453"/>
      <c r="K14" s="1452">
        <v>1329070173</v>
      </c>
      <c r="L14" s="1452">
        <v>7308805.1734999996</v>
      </c>
      <c r="M14" s="755"/>
    </row>
    <row r="15" spans="1:13" ht="11.25" customHeight="1">
      <c r="A15" s="655" t="s">
        <v>809</v>
      </c>
      <c r="B15" s="1452">
        <v>1581388816</v>
      </c>
      <c r="C15" s="1452">
        <v>35732310.531000003</v>
      </c>
      <c r="D15" s="1453"/>
      <c r="E15" s="1452">
        <v>294192424</v>
      </c>
      <c r="F15" s="1452">
        <v>3530909.09</v>
      </c>
      <c r="G15" s="1453"/>
      <c r="H15" s="1452">
        <v>0</v>
      </c>
      <c r="I15" s="1452">
        <v>0</v>
      </c>
      <c r="J15" s="1453"/>
      <c r="K15" s="1452">
        <v>287155088</v>
      </c>
      <c r="L15" s="1452">
        <v>1436401.9424999999</v>
      </c>
      <c r="M15" s="755"/>
    </row>
    <row r="16" spans="1:13" ht="18" customHeight="1">
      <c r="A16" s="655" t="s">
        <v>69</v>
      </c>
      <c r="B16" s="1452">
        <v>95570189.599999994</v>
      </c>
      <c r="C16" s="1452">
        <v>2137208.7097</v>
      </c>
      <c r="D16" s="1453"/>
      <c r="E16" s="1452">
        <v>26362445</v>
      </c>
      <c r="F16" s="1452">
        <v>276805.67249999999</v>
      </c>
      <c r="G16" s="1453"/>
      <c r="H16" s="1452">
        <v>29307911</v>
      </c>
      <c r="I16" s="1452">
        <v>213947.75030000001</v>
      </c>
      <c r="J16" s="1453"/>
      <c r="K16" s="1452">
        <v>99681043</v>
      </c>
      <c r="L16" s="1452">
        <v>598086.25800000003</v>
      </c>
      <c r="M16" s="755"/>
    </row>
    <row r="17" spans="1:13" ht="11.25" customHeight="1">
      <c r="A17" s="655" t="s">
        <v>71</v>
      </c>
      <c r="B17" s="1452">
        <v>596202861</v>
      </c>
      <c r="C17" s="1452">
        <v>16046619.7347</v>
      </c>
      <c r="D17" s="1453"/>
      <c r="E17" s="1452">
        <v>268580153</v>
      </c>
      <c r="F17" s="1452">
        <v>4834442.7539999997</v>
      </c>
      <c r="G17" s="1453"/>
      <c r="H17" s="1452">
        <v>0</v>
      </c>
      <c r="I17" s="1452">
        <v>0</v>
      </c>
      <c r="J17" s="1453"/>
      <c r="K17" s="1452">
        <v>456255099</v>
      </c>
      <c r="L17" s="1452">
        <v>3606900.6645</v>
      </c>
      <c r="M17" s="755"/>
    </row>
    <row r="18" spans="1:13" ht="11.25" customHeight="1">
      <c r="A18" s="655" t="s">
        <v>73</v>
      </c>
      <c r="B18" s="1452">
        <v>200834300</v>
      </c>
      <c r="C18" s="1452">
        <v>7483459.2240000004</v>
      </c>
      <c r="D18" s="1453"/>
      <c r="E18" s="1452">
        <v>9230850</v>
      </c>
      <c r="F18" s="1452">
        <v>313848.90000000002</v>
      </c>
      <c r="G18" s="1453"/>
      <c r="H18" s="1452">
        <v>0</v>
      </c>
      <c r="I18" s="1452">
        <v>0</v>
      </c>
      <c r="J18" s="1453"/>
      <c r="K18" s="1452">
        <v>902886218</v>
      </c>
      <c r="L18" s="1452">
        <v>5870142.5930000003</v>
      </c>
      <c r="M18" s="755"/>
    </row>
    <row r="19" spans="1:13" ht="11.25" customHeight="1">
      <c r="A19" s="655" t="s">
        <v>75</v>
      </c>
      <c r="B19" s="1452">
        <v>333274319</v>
      </c>
      <c r="C19" s="1452">
        <v>6266891.5700000003</v>
      </c>
      <c r="D19" s="1453"/>
      <c r="E19" s="1452">
        <v>213805459</v>
      </c>
      <c r="F19" s="1452">
        <v>4169206.48</v>
      </c>
      <c r="G19" s="1453"/>
      <c r="H19" s="1452">
        <v>3434498</v>
      </c>
      <c r="I19" s="1452">
        <v>68689.960000000006</v>
      </c>
      <c r="J19" s="1453"/>
      <c r="K19" s="1452">
        <v>160915955</v>
      </c>
      <c r="L19" s="1452">
        <v>633344.93000000005</v>
      </c>
      <c r="M19" s="755"/>
    </row>
    <row r="20" spans="1:13" ht="11.25" customHeight="1">
      <c r="A20" s="655" t="s">
        <v>77</v>
      </c>
      <c r="B20" s="1452">
        <v>158112010</v>
      </c>
      <c r="C20" s="1452">
        <v>6043812.0332000004</v>
      </c>
      <c r="D20" s="1453"/>
      <c r="E20" s="1452">
        <v>11455570</v>
      </c>
      <c r="F20" s="1452">
        <v>332211.53000000003</v>
      </c>
      <c r="G20" s="1453"/>
      <c r="H20" s="1452">
        <v>17869770</v>
      </c>
      <c r="I20" s="1452">
        <v>178697.7</v>
      </c>
      <c r="J20" s="1453"/>
      <c r="K20" s="1452">
        <v>513794279</v>
      </c>
      <c r="L20" s="1452">
        <v>2674939.7267999998</v>
      </c>
      <c r="M20" s="755"/>
    </row>
    <row r="21" spans="1:13" ht="18" customHeight="1">
      <c r="A21" s="655" t="s">
        <v>79</v>
      </c>
      <c r="B21" s="1452">
        <v>470269914</v>
      </c>
      <c r="C21" s="1452">
        <v>18740568.4245</v>
      </c>
      <c r="D21" s="1453"/>
      <c r="E21" s="1452">
        <v>207739434</v>
      </c>
      <c r="F21" s="1452">
        <v>6647661.8880000003</v>
      </c>
      <c r="G21" s="1453"/>
      <c r="H21" s="1452">
        <v>0</v>
      </c>
      <c r="I21" s="1452">
        <v>0</v>
      </c>
      <c r="J21" s="1453"/>
      <c r="K21" s="1452">
        <v>430900240</v>
      </c>
      <c r="L21" s="1452">
        <v>2280424.2870999998</v>
      </c>
      <c r="M21" s="755"/>
    </row>
    <row r="22" spans="1:13" ht="11.25" customHeight="1">
      <c r="A22" s="655" t="s">
        <v>81</v>
      </c>
      <c r="B22" s="1452">
        <v>514505051</v>
      </c>
      <c r="C22" s="1452">
        <v>17264241.719999999</v>
      </c>
      <c r="D22" s="1453"/>
      <c r="E22" s="1452">
        <v>9870700</v>
      </c>
      <c r="F22" s="1452">
        <v>345474.5</v>
      </c>
      <c r="G22" s="1453"/>
      <c r="H22" s="1452">
        <v>0</v>
      </c>
      <c r="I22" s="1452">
        <v>0</v>
      </c>
      <c r="J22" s="1453"/>
      <c r="K22" s="1452">
        <v>405991601</v>
      </c>
      <c r="L22" s="1452">
        <v>3225263.65</v>
      </c>
      <c r="M22" s="755"/>
    </row>
    <row r="23" spans="1:13" ht="11.25" customHeight="1">
      <c r="A23" s="655" t="s">
        <v>83</v>
      </c>
      <c r="B23" s="1452">
        <v>417241720</v>
      </c>
      <c r="C23" s="1452">
        <v>9437066.7599999998</v>
      </c>
      <c r="D23" s="1453"/>
      <c r="E23" s="1452">
        <v>61803450</v>
      </c>
      <c r="F23" s="1452">
        <v>1236069</v>
      </c>
      <c r="G23" s="1453"/>
      <c r="H23" s="1452">
        <v>32389465</v>
      </c>
      <c r="I23" s="1452">
        <v>223487.30850000001</v>
      </c>
      <c r="J23" s="1453"/>
      <c r="K23" s="1452">
        <v>132170377</v>
      </c>
      <c r="L23" s="1452">
        <v>851460.14439999999</v>
      </c>
      <c r="M23" s="755"/>
    </row>
    <row r="24" spans="1:13" ht="11.25" customHeight="1">
      <c r="A24" s="655" t="s">
        <v>85</v>
      </c>
      <c r="B24" s="1452">
        <v>121527436</v>
      </c>
      <c r="C24" s="1452">
        <v>4460953.4850000003</v>
      </c>
      <c r="D24" s="1453"/>
      <c r="E24" s="1452">
        <v>3556368</v>
      </c>
      <c r="F24" s="1452">
        <v>106691.04</v>
      </c>
      <c r="G24" s="1453"/>
      <c r="H24" s="1452">
        <v>2370288</v>
      </c>
      <c r="I24" s="1452">
        <v>66368.063999999998</v>
      </c>
      <c r="J24" s="1453"/>
      <c r="K24" s="1452">
        <v>120903814</v>
      </c>
      <c r="L24" s="1452">
        <v>918868.98640000005</v>
      </c>
      <c r="M24" s="755"/>
    </row>
    <row r="25" spans="1:13" ht="11.25" customHeight="1">
      <c r="A25" s="655" t="s">
        <v>87</v>
      </c>
      <c r="B25" s="1452">
        <v>139579039</v>
      </c>
      <c r="C25" s="1452">
        <v>3542593.1461999998</v>
      </c>
      <c r="D25" s="1453"/>
      <c r="E25" s="1452">
        <v>22191108</v>
      </c>
      <c r="F25" s="1452">
        <v>665733.24</v>
      </c>
      <c r="G25" s="1453"/>
      <c r="H25" s="1452">
        <v>1183416.7</v>
      </c>
      <c r="I25" s="1452">
        <v>37869.3344</v>
      </c>
      <c r="J25" s="1453"/>
      <c r="K25" s="1452">
        <v>122487493</v>
      </c>
      <c r="L25" s="1452">
        <v>759422.45660000003</v>
      </c>
      <c r="M25" s="755"/>
    </row>
    <row r="26" spans="1:13" ht="18" customHeight="1">
      <c r="A26" s="655" t="s">
        <v>89</v>
      </c>
      <c r="B26" s="1452">
        <v>6801389318</v>
      </c>
      <c r="C26" s="1452">
        <v>240503699.81560001</v>
      </c>
      <c r="D26" s="1453"/>
      <c r="E26" s="1452">
        <v>555103821</v>
      </c>
      <c r="F26" s="1452">
        <v>5551038.21</v>
      </c>
      <c r="G26" s="1453"/>
      <c r="H26" s="1452">
        <v>0</v>
      </c>
      <c r="I26" s="1452">
        <v>0</v>
      </c>
      <c r="J26" s="1453"/>
      <c r="K26" s="1452">
        <v>1786610594</v>
      </c>
      <c r="L26" s="1452">
        <v>16403834.0195</v>
      </c>
      <c r="M26" s="755"/>
    </row>
    <row r="27" spans="1:13" ht="11.25" customHeight="1">
      <c r="A27" s="655" t="s">
        <v>393</v>
      </c>
      <c r="B27" s="1452">
        <v>236721121</v>
      </c>
      <c r="C27" s="1452">
        <v>10601119.1982</v>
      </c>
      <c r="D27" s="1453"/>
      <c r="E27" s="1452">
        <v>18520264</v>
      </c>
      <c r="F27" s="1452">
        <v>231503.3</v>
      </c>
      <c r="G27" s="1453"/>
      <c r="H27" s="1452">
        <v>0</v>
      </c>
      <c r="I27" s="1452">
        <v>0</v>
      </c>
      <c r="J27" s="1453"/>
      <c r="K27" s="1452">
        <v>77930141</v>
      </c>
      <c r="L27" s="1452">
        <v>475373.86009999999</v>
      </c>
      <c r="M27" s="755"/>
    </row>
    <row r="28" spans="1:13" ht="11.25" customHeight="1">
      <c r="A28" s="655" t="s">
        <v>93</v>
      </c>
      <c r="B28" s="1452">
        <v>60766488</v>
      </c>
      <c r="C28" s="1452">
        <v>2022515.2653999999</v>
      </c>
      <c r="D28" s="1453"/>
      <c r="E28" s="1452">
        <v>1551929</v>
      </c>
      <c r="F28" s="1452">
        <v>54317.514999999999</v>
      </c>
      <c r="G28" s="1453"/>
      <c r="H28" s="1452">
        <v>355921</v>
      </c>
      <c r="I28" s="1452">
        <v>12457.235000000001</v>
      </c>
      <c r="J28" s="1453"/>
      <c r="K28" s="1452">
        <v>20352460</v>
      </c>
      <c r="L28" s="1452">
        <v>139120.6145</v>
      </c>
      <c r="M28" s="755"/>
    </row>
    <row r="29" spans="1:13" ht="11.25" customHeight="1">
      <c r="A29" s="655" t="s">
        <v>95</v>
      </c>
      <c r="B29" s="1452">
        <v>1321998771</v>
      </c>
      <c r="C29" s="1452">
        <v>40605798.971000001</v>
      </c>
      <c r="D29" s="1453"/>
      <c r="E29" s="1452">
        <v>108601328</v>
      </c>
      <c r="F29" s="1452">
        <v>2172026.56</v>
      </c>
      <c r="G29" s="1453"/>
      <c r="H29" s="1452">
        <v>0</v>
      </c>
      <c r="I29" s="1452">
        <v>0</v>
      </c>
      <c r="J29" s="1453"/>
      <c r="K29" s="1452">
        <v>257021149</v>
      </c>
      <c r="L29" s="1452">
        <v>1539514.5674999999</v>
      </c>
      <c r="M29" s="755"/>
    </row>
    <row r="30" spans="1:13" ht="11.25" customHeight="1">
      <c r="A30" s="655" t="s">
        <v>97</v>
      </c>
      <c r="B30" s="1452">
        <v>91980962</v>
      </c>
      <c r="C30" s="1452">
        <v>3918837.69</v>
      </c>
      <c r="D30" s="1453"/>
      <c r="E30" s="1452">
        <v>5941446</v>
      </c>
      <c r="F30" s="1452">
        <v>222804.22500000001</v>
      </c>
      <c r="G30" s="1453"/>
      <c r="H30" s="1452">
        <v>0</v>
      </c>
      <c r="I30" s="1452">
        <v>0</v>
      </c>
      <c r="J30" s="1453"/>
      <c r="K30" s="1452">
        <v>113616748</v>
      </c>
      <c r="L30" s="1452">
        <v>858879.13500000001</v>
      </c>
      <c r="M30" s="755"/>
    </row>
    <row r="31" spans="1:13" ht="18" customHeight="1">
      <c r="A31" s="655" t="s">
        <v>99</v>
      </c>
      <c r="B31" s="1452">
        <v>134136993</v>
      </c>
      <c r="C31" s="1452">
        <v>2344042.3080000002</v>
      </c>
      <c r="D31" s="1453"/>
      <c r="E31" s="1452">
        <v>110322253</v>
      </c>
      <c r="F31" s="1452">
        <v>2040961.6805</v>
      </c>
      <c r="G31" s="1453"/>
      <c r="H31" s="1452">
        <v>1503802</v>
      </c>
      <c r="I31" s="1452">
        <v>157899.21</v>
      </c>
      <c r="J31" s="1453"/>
      <c r="K31" s="1452">
        <v>125925993</v>
      </c>
      <c r="L31" s="1452">
        <v>756379.97050000005</v>
      </c>
      <c r="M31" s="755"/>
    </row>
    <row r="32" spans="1:13" ht="11.25" customHeight="1">
      <c r="A32" s="655" t="s">
        <v>101</v>
      </c>
      <c r="B32" s="1452">
        <v>380068239</v>
      </c>
      <c r="C32" s="1452">
        <v>16721093.2106</v>
      </c>
      <c r="D32" s="1453"/>
      <c r="E32" s="1452">
        <v>110489448</v>
      </c>
      <c r="F32" s="1452">
        <v>3646151.784</v>
      </c>
      <c r="G32" s="1453"/>
      <c r="H32" s="1452">
        <v>0</v>
      </c>
      <c r="I32" s="1452">
        <v>0</v>
      </c>
      <c r="J32" s="1453"/>
      <c r="K32" s="1452">
        <v>262805118</v>
      </c>
      <c r="L32" s="1452">
        <v>2100351.3032999998</v>
      </c>
      <c r="M32" s="755"/>
    </row>
    <row r="33" spans="1:13" ht="11.25" customHeight="1">
      <c r="A33" s="655" t="s">
        <v>103</v>
      </c>
      <c r="B33" s="1452">
        <v>200031280</v>
      </c>
      <c r="C33" s="1452">
        <v>5409659.6100000003</v>
      </c>
      <c r="D33" s="1453"/>
      <c r="E33" s="1452">
        <v>10343600</v>
      </c>
      <c r="F33" s="1452">
        <v>124123.2</v>
      </c>
      <c r="G33" s="1453"/>
      <c r="H33" s="1452">
        <v>2129950</v>
      </c>
      <c r="I33" s="1452">
        <v>79873.125</v>
      </c>
      <c r="J33" s="1453"/>
      <c r="K33" s="1452">
        <v>52975014</v>
      </c>
      <c r="L33" s="1452">
        <v>386717.60220000002</v>
      </c>
      <c r="M33" s="755"/>
    </row>
    <row r="34" spans="1:13" ht="11.25" customHeight="1">
      <c r="A34" s="655" t="s">
        <v>733</v>
      </c>
      <c r="B34" s="1452">
        <v>17984017249</v>
      </c>
      <c r="C34" s="1452">
        <v>702736702</v>
      </c>
      <c r="D34" s="1453"/>
      <c r="E34" s="1452">
        <v>11737516</v>
      </c>
      <c r="F34" s="1452">
        <v>239367</v>
      </c>
      <c r="G34" s="1453"/>
      <c r="H34" s="1452">
        <v>0</v>
      </c>
      <c r="I34" s="1452">
        <v>0</v>
      </c>
      <c r="J34" s="1453"/>
      <c r="K34" s="1452">
        <v>4522266569</v>
      </c>
      <c r="L34" s="1452">
        <v>50449750.9221</v>
      </c>
      <c r="M34" s="755"/>
    </row>
    <row r="35" spans="1:13" ht="11.25" customHeight="1">
      <c r="A35" s="655" t="s">
        <v>107</v>
      </c>
      <c r="B35" s="1452">
        <v>1780459858</v>
      </c>
      <c r="C35" s="1452">
        <v>60327872.124300003</v>
      </c>
      <c r="D35" s="1453"/>
      <c r="E35" s="1452">
        <v>20707147</v>
      </c>
      <c r="F35" s="1452">
        <v>714396.57149999996</v>
      </c>
      <c r="G35" s="1453"/>
      <c r="H35" s="1452">
        <v>0</v>
      </c>
      <c r="I35" s="1452">
        <v>0</v>
      </c>
      <c r="J35" s="1453"/>
      <c r="K35" s="1452">
        <v>824384856</v>
      </c>
      <c r="L35" s="1452">
        <v>7448890.1857000003</v>
      </c>
      <c r="M35" s="755"/>
    </row>
    <row r="36" spans="1:13" ht="15" customHeight="1">
      <c r="A36" s="825" t="s">
        <v>845</v>
      </c>
      <c r="B36" s="681"/>
      <c r="C36" s="681"/>
      <c r="D36" s="669"/>
      <c r="E36" s="681"/>
      <c r="F36" s="681"/>
      <c r="G36" s="669"/>
      <c r="H36" s="681"/>
      <c r="I36" s="681"/>
      <c r="J36" s="669"/>
      <c r="K36" s="681"/>
      <c r="L36" s="681"/>
      <c r="M36" s="683"/>
    </row>
    <row r="37" spans="1:13" ht="15" customHeight="1">
      <c r="A37" s="944" t="str">
        <f>A2</f>
        <v>Tangible Personal Property, Machinery &amp; Tools, Merchants' Capital, and Public Service Corporations:  Assessed Values &amp; Levies by Locality - Tax Year 2022</v>
      </c>
      <c r="B37" s="682"/>
      <c r="C37" s="682"/>
      <c r="D37" s="682"/>
      <c r="E37" s="682"/>
      <c r="F37" s="682"/>
      <c r="G37" s="682"/>
      <c r="H37" s="682"/>
      <c r="I37" s="682"/>
      <c r="J37" s="682"/>
      <c r="K37" s="682"/>
      <c r="L37" s="682"/>
      <c r="M37" s="683"/>
    </row>
    <row r="38" spans="1:13" ht="5.15" customHeight="1" thickBot="1">
      <c r="A38" s="657"/>
      <c r="B38" s="657"/>
      <c r="C38" s="657"/>
      <c r="D38" s="657"/>
      <c r="E38" s="657"/>
      <c r="F38" s="657"/>
      <c r="G38" s="657"/>
      <c r="H38" s="657"/>
      <c r="I38" s="657"/>
      <c r="J38" s="657"/>
      <c r="K38" s="657"/>
      <c r="L38" s="657"/>
      <c r="M38" s="684"/>
    </row>
    <row r="39" spans="1:13" ht="12.75" customHeight="1">
      <c r="A39" s="677"/>
      <c r="B39" s="945" t="s">
        <v>839</v>
      </c>
      <c r="C39" s="945"/>
      <c r="D39" s="677"/>
      <c r="E39" s="946" t="s">
        <v>840</v>
      </c>
      <c r="F39" s="946"/>
      <c r="G39" s="677"/>
      <c r="H39" s="946" t="s">
        <v>841</v>
      </c>
      <c r="I39" s="946"/>
      <c r="J39" s="677"/>
      <c r="K39" s="946" t="s">
        <v>842</v>
      </c>
      <c r="L39" s="946"/>
      <c r="M39" s="683"/>
    </row>
    <row r="40" spans="1:13" ht="12.75" customHeight="1">
      <c r="A40" s="1329" t="s">
        <v>21</v>
      </c>
      <c r="B40" s="1327" t="s">
        <v>843</v>
      </c>
      <c r="C40" s="1327" t="s">
        <v>844</v>
      </c>
      <c r="D40" s="781"/>
      <c r="E40" s="1327" t="s">
        <v>843</v>
      </c>
      <c r="F40" s="1327" t="s">
        <v>844</v>
      </c>
      <c r="G40" s="781"/>
      <c r="H40" s="1326" t="s">
        <v>843</v>
      </c>
      <c r="I40" s="1326" t="s">
        <v>844</v>
      </c>
      <c r="J40" s="781"/>
      <c r="K40" s="1328" t="s">
        <v>843</v>
      </c>
      <c r="L40" s="1327" t="s">
        <v>844</v>
      </c>
      <c r="M40" s="684"/>
    </row>
    <row r="41" spans="1:13" ht="18" customHeight="1">
      <c r="A41" s="655" t="s">
        <v>109</v>
      </c>
      <c r="B41" s="1450">
        <v>197050594</v>
      </c>
      <c r="C41" s="1450">
        <v>6062533.1179999998</v>
      </c>
      <c r="D41" s="1451"/>
      <c r="E41" s="1450">
        <v>25950854</v>
      </c>
      <c r="F41" s="1450">
        <v>402238.23700000002</v>
      </c>
      <c r="G41" s="1451"/>
      <c r="H41" s="1450">
        <v>1991910</v>
      </c>
      <c r="I41" s="1450">
        <v>69716.850000000006</v>
      </c>
      <c r="J41" s="1451"/>
      <c r="K41" s="1450">
        <v>73486342</v>
      </c>
      <c r="L41" s="1450">
        <v>489362.86700000003</v>
      </c>
      <c r="M41" s="755"/>
    </row>
    <row r="42" spans="1:13" ht="11.25" customHeight="1">
      <c r="A42" s="655" t="s">
        <v>111</v>
      </c>
      <c r="B42" s="1452">
        <v>371182750</v>
      </c>
      <c r="C42" s="1452">
        <v>13676410.186899999</v>
      </c>
      <c r="D42" s="1453"/>
      <c r="E42" s="1452">
        <v>3328454</v>
      </c>
      <c r="F42" s="1452">
        <v>63240.625999999997</v>
      </c>
      <c r="G42" s="1453"/>
      <c r="H42" s="1452">
        <v>15386005</v>
      </c>
      <c r="I42" s="1452">
        <v>446194.14500000002</v>
      </c>
      <c r="J42" s="1453"/>
      <c r="K42" s="1452">
        <v>457819913</v>
      </c>
      <c r="L42" s="1452">
        <v>4018233.2359000002</v>
      </c>
      <c r="M42" s="755"/>
    </row>
    <row r="43" spans="1:13" s="686" customFormat="1" ht="11.25" customHeight="1">
      <c r="A43" s="686" t="s">
        <v>424</v>
      </c>
      <c r="B43" s="1452">
        <v>872547513</v>
      </c>
      <c r="C43" s="1452">
        <v>19768550.3248</v>
      </c>
      <c r="D43" s="1454"/>
      <c r="E43" s="1452">
        <v>157282541</v>
      </c>
      <c r="F43" s="1452">
        <v>1100977.787</v>
      </c>
      <c r="G43" s="1454"/>
      <c r="H43" s="1452">
        <v>74559718</v>
      </c>
      <c r="I43" s="1452">
        <v>805244.95440000005</v>
      </c>
      <c r="J43" s="1454"/>
      <c r="K43" s="1452">
        <v>166207166</v>
      </c>
      <c r="L43" s="1452">
        <v>1018860.8132</v>
      </c>
      <c r="M43" s="755"/>
    </row>
    <row r="44" spans="1:13" ht="11.25" customHeight="1">
      <c r="A44" s="655" t="s">
        <v>114</v>
      </c>
      <c r="B44" s="1452">
        <v>2113601554</v>
      </c>
      <c r="C44" s="1452">
        <v>87582235.697699994</v>
      </c>
      <c r="D44" s="1453"/>
      <c r="E44" s="1452">
        <v>497521046</v>
      </c>
      <c r="F44" s="1452">
        <v>9950420.9199999999</v>
      </c>
      <c r="G44" s="1453"/>
      <c r="H44" s="1452">
        <v>0</v>
      </c>
      <c r="I44" s="1452">
        <v>0</v>
      </c>
      <c r="J44" s="1453"/>
      <c r="K44" s="1452">
        <v>393466084</v>
      </c>
      <c r="L44" s="1452">
        <v>2050000.392</v>
      </c>
      <c r="M44" s="755"/>
    </row>
    <row r="45" spans="1:13">
      <c r="A45" s="655" t="s">
        <v>116</v>
      </c>
      <c r="B45" s="1452">
        <v>282248608</v>
      </c>
      <c r="C45" s="1452">
        <v>5616422.5839999998</v>
      </c>
      <c r="D45" s="1453"/>
      <c r="E45" s="1452">
        <v>282074559</v>
      </c>
      <c r="F45" s="1452">
        <v>5782528.4594999999</v>
      </c>
      <c r="G45" s="1453"/>
      <c r="H45" s="1452">
        <v>25742305</v>
      </c>
      <c r="I45" s="1452">
        <v>221383.823</v>
      </c>
      <c r="J45" s="1453"/>
      <c r="K45" s="1452">
        <v>111446868</v>
      </c>
      <c r="L45" s="1452">
        <v>761215.79379999998</v>
      </c>
      <c r="M45" s="755"/>
    </row>
    <row r="46" spans="1:13" s="685" customFormat="1" ht="18" customHeight="1">
      <c r="A46" s="687" t="s">
        <v>432</v>
      </c>
      <c r="B46" s="1452">
        <v>746889916</v>
      </c>
      <c r="C46" s="1452">
        <v>15547990.590500001</v>
      </c>
      <c r="D46" s="1454"/>
      <c r="E46" s="1452">
        <v>8958870</v>
      </c>
      <c r="F46" s="1452">
        <v>264286.66499999998</v>
      </c>
      <c r="G46" s="1454"/>
      <c r="H46" s="1452">
        <v>0</v>
      </c>
      <c r="I46" s="1452">
        <v>0</v>
      </c>
      <c r="J46" s="1454"/>
      <c r="K46" s="1452">
        <v>131955872</v>
      </c>
      <c r="L46" s="1452">
        <v>959063.2</v>
      </c>
      <c r="M46" s="755"/>
    </row>
    <row r="47" spans="1:13" s="685" customFormat="1" ht="11.25" customHeight="1">
      <c r="A47" s="687" t="s">
        <v>434</v>
      </c>
      <c r="B47" s="1452">
        <v>561352063</v>
      </c>
      <c r="C47" s="1452">
        <v>20981237.2568</v>
      </c>
      <c r="D47" s="1454"/>
      <c r="E47" s="1452">
        <v>53869870</v>
      </c>
      <c r="F47" s="1452">
        <v>538698.69999999995</v>
      </c>
      <c r="G47" s="1454"/>
      <c r="H47" s="1452">
        <v>0</v>
      </c>
      <c r="I47" s="1452">
        <v>0</v>
      </c>
      <c r="J47" s="1454"/>
      <c r="K47" s="1452">
        <v>180633744</v>
      </c>
      <c r="L47" s="1452">
        <v>969492.47939999995</v>
      </c>
      <c r="M47" s="755"/>
    </row>
    <row r="48" spans="1:13" s="685" customFormat="1" ht="11.25" customHeight="1">
      <c r="A48" s="687" t="s">
        <v>436</v>
      </c>
      <c r="B48" s="1452">
        <v>197982175</v>
      </c>
      <c r="C48" s="1452">
        <v>4375233.5075000003</v>
      </c>
      <c r="D48" s="1454"/>
      <c r="E48" s="1452">
        <v>14130812</v>
      </c>
      <c r="F48" s="1452">
        <v>247289.21</v>
      </c>
      <c r="G48" s="1454"/>
      <c r="H48" s="1452">
        <v>605167</v>
      </c>
      <c r="I48" s="1452">
        <v>40546.188999999998</v>
      </c>
      <c r="J48" s="1454"/>
      <c r="K48" s="1452">
        <v>63681875</v>
      </c>
      <c r="L48" s="1452">
        <v>343882.125</v>
      </c>
      <c r="M48" s="755"/>
    </row>
    <row r="49" spans="1:13" ht="11.25" customHeight="1">
      <c r="A49" s="655" t="s">
        <v>57</v>
      </c>
      <c r="B49" s="1452">
        <v>227069585</v>
      </c>
      <c r="C49" s="1452">
        <v>11353479.25</v>
      </c>
      <c r="D49" s="1453"/>
      <c r="E49" s="1452">
        <v>11410644</v>
      </c>
      <c r="F49" s="1452">
        <v>285266.09999999998</v>
      </c>
      <c r="G49" s="1453"/>
      <c r="H49" s="1452">
        <v>0</v>
      </c>
      <c r="I49" s="1452">
        <v>0</v>
      </c>
      <c r="J49" s="1453"/>
      <c r="K49" s="1452">
        <v>63069324</v>
      </c>
      <c r="L49" s="1452">
        <v>517168.45679999999</v>
      </c>
      <c r="M49" s="755"/>
    </row>
    <row r="50" spans="1:13" ht="11.25" customHeight="1">
      <c r="A50" s="655" t="s">
        <v>59</v>
      </c>
      <c r="B50" s="1452">
        <v>94003520</v>
      </c>
      <c r="C50" s="1452">
        <v>4479930.7580000004</v>
      </c>
      <c r="D50" s="1454"/>
      <c r="E50" s="1452">
        <v>25756590</v>
      </c>
      <c r="F50" s="1452">
        <v>1030263.6</v>
      </c>
      <c r="G50" s="1454"/>
      <c r="H50" s="1452">
        <v>0</v>
      </c>
      <c r="I50" s="1452">
        <v>0</v>
      </c>
      <c r="J50" s="1455"/>
      <c r="K50" s="1452">
        <v>915626133</v>
      </c>
      <c r="L50" s="1452">
        <v>6161928.4528999999</v>
      </c>
      <c r="M50" s="755"/>
    </row>
    <row r="51" spans="1:13" ht="18" customHeight="1">
      <c r="A51" s="655" t="s">
        <v>318</v>
      </c>
      <c r="B51" s="1452">
        <v>395499900</v>
      </c>
      <c r="C51" s="1452">
        <v>14360991.210000001</v>
      </c>
      <c r="D51" s="1452"/>
      <c r="E51" s="1452">
        <v>135585700</v>
      </c>
      <c r="F51" s="1452">
        <v>1708379.82</v>
      </c>
      <c r="G51" s="1452"/>
      <c r="H51" s="1452">
        <v>0</v>
      </c>
      <c r="I51" s="1452">
        <v>0</v>
      </c>
      <c r="J51" s="1456"/>
      <c r="K51" s="1452">
        <v>1176952688</v>
      </c>
      <c r="L51" s="1452">
        <v>5897493.4400000004</v>
      </c>
      <c r="M51" s="755"/>
    </row>
    <row r="52" spans="1:13" ht="11.25" customHeight="1">
      <c r="A52" s="655" t="s">
        <v>63</v>
      </c>
      <c r="B52" s="1452">
        <v>2266879755.6399999</v>
      </c>
      <c r="C52" s="1452">
        <v>70128409.359999999</v>
      </c>
      <c r="D52" s="1454"/>
      <c r="E52" s="1452">
        <v>49773812.079999998</v>
      </c>
      <c r="F52" s="1452">
        <v>1777106.17</v>
      </c>
      <c r="G52" s="1454"/>
      <c r="H52" s="1452">
        <v>102365844.73999999</v>
      </c>
      <c r="I52" s="1452">
        <v>1945244.28</v>
      </c>
      <c r="J52" s="1454"/>
      <c r="K52" s="1452">
        <v>767744324</v>
      </c>
      <c r="L52" s="1452">
        <v>6230670.4680000003</v>
      </c>
      <c r="M52" s="755"/>
    </row>
    <row r="53" spans="1:13" ht="11.25" customHeight="1">
      <c r="A53" s="655" t="s">
        <v>65</v>
      </c>
      <c r="B53" s="1452">
        <v>6876435966</v>
      </c>
      <c r="C53" s="1452">
        <v>191121093.074</v>
      </c>
      <c r="D53" s="1454"/>
      <c r="E53" s="1452">
        <v>346003770</v>
      </c>
      <c r="F53" s="1452">
        <v>1038011.31</v>
      </c>
      <c r="G53" s="1454"/>
      <c r="H53" s="1452">
        <v>0</v>
      </c>
      <c r="I53" s="1452">
        <v>0</v>
      </c>
      <c r="J53" s="1455"/>
      <c r="K53" s="1452">
        <v>1275013983</v>
      </c>
      <c r="L53" s="1452">
        <v>10875022.4925</v>
      </c>
      <c r="M53" s="755"/>
    </row>
    <row r="54" spans="1:13" ht="11.25" customHeight="1">
      <c r="A54" s="655" t="s">
        <v>67</v>
      </c>
      <c r="B54" s="1452">
        <v>614565636</v>
      </c>
      <c r="C54" s="1452">
        <v>9330969.3424999993</v>
      </c>
      <c r="D54" s="1454"/>
      <c r="E54" s="1452">
        <v>393362462</v>
      </c>
      <c r="F54" s="1452">
        <v>6097118.1610000003</v>
      </c>
      <c r="G54" s="1454"/>
      <c r="H54" s="1452">
        <v>0</v>
      </c>
      <c r="I54" s="1452">
        <v>0</v>
      </c>
      <c r="J54" s="1455"/>
      <c r="K54" s="1452">
        <v>239318029</v>
      </c>
      <c r="L54" s="1452">
        <v>1329391.4594000001</v>
      </c>
      <c r="M54" s="755"/>
    </row>
    <row r="55" spans="1:13" ht="10.5" customHeight="1">
      <c r="A55" s="655" t="s">
        <v>68</v>
      </c>
      <c r="B55" s="1452">
        <v>29320227</v>
      </c>
      <c r="C55" s="1452">
        <v>790071.8835</v>
      </c>
      <c r="D55" s="1453"/>
      <c r="E55" s="1452">
        <v>108825</v>
      </c>
      <c r="F55" s="1452">
        <v>1088.25</v>
      </c>
      <c r="G55" s="1453"/>
      <c r="H55" s="1452">
        <v>370023</v>
      </c>
      <c r="I55" s="1452">
        <v>3700.23</v>
      </c>
      <c r="J55" s="1453"/>
      <c r="K55" s="1452">
        <v>23112587</v>
      </c>
      <c r="L55" s="1452">
        <v>299435.52000000002</v>
      </c>
      <c r="M55" s="755"/>
    </row>
    <row r="56" spans="1:13" ht="18" customHeight="1">
      <c r="A56" s="655" t="s">
        <v>70</v>
      </c>
      <c r="B56" s="1452">
        <v>549749800</v>
      </c>
      <c r="C56" s="1452">
        <v>20440814.004500002</v>
      </c>
      <c r="D56" s="1453"/>
      <c r="E56" s="1452">
        <v>293523367</v>
      </c>
      <c r="F56" s="1452">
        <v>5136658.9225000003</v>
      </c>
      <c r="G56" s="1453"/>
      <c r="H56" s="1452">
        <v>0</v>
      </c>
      <c r="I56" s="1452">
        <v>0</v>
      </c>
      <c r="J56" s="1453"/>
      <c r="K56" s="1452">
        <v>168903431</v>
      </c>
      <c r="L56" s="1452">
        <v>1462881.5645000001</v>
      </c>
      <c r="M56" s="755"/>
    </row>
    <row r="57" spans="1:13" ht="11.25" customHeight="1">
      <c r="A57" s="655" t="s">
        <v>342</v>
      </c>
      <c r="B57" s="1452">
        <v>1102197459</v>
      </c>
      <c r="C57" s="1452">
        <v>44018404.075000003</v>
      </c>
      <c r="D57" s="1453"/>
      <c r="E57" s="1452">
        <v>162485170</v>
      </c>
      <c r="F57" s="1452">
        <v>6499406.7999999998</v>
      </c>
      <c r="G57" s="1453"/>
      <c r="H57" s="1452">
        <v>0</v>
      </c>
      <c r="I57" s="1452">
        <v>0</v>
      </c>
      <c r="J57" s="1453"/>
      <c r="K57" s="1452">
        <v>491902958</v>
      </c>
      <c r="L57" s="1452">
        <v>4131984.8472000002</v>
      </c>
      <c r="M57" s="755"/>
    </row>
    <row r="58" spans="1:13" ht="11.25" customHeight="1">
      <c r="A58" s="655" t="s">
        <v>74</v>
      </c>
      <c r="B58" s="1452">
        <v>137315598</v>
      </c>
      <c r="C58" s="1452">
        <v>4090363.4517999999</v>
      </c>
      <c r="D58" s="1453"/>
      <c r="E58" s="1452">
        <v>11905235</v>
      </c>
      <c r="F58" s="1452">
        <v>130957.58500000001</v>
      </c>
      <c r="G58" s="1453"/>
      <c r="H58" s="1452">
        <v>6727340</v>
      </c>
      <c r="I58" s="1452">
        <v>43727.71</v>
      </c>
      <c r="J58" s="1453"/>
      <c r="K58" s="1452">
        <v>45076383</v>
      </c>
      <c r="L58" s="1452">
        <v>248105.33609999999</v>
      </c>
      <c r="M58" s="755"/>
    </row>
    <row r="59" spans="1:13" ht="11.25" customHeight="1">
      <c r="A59" s="655" t="s">
        <v>76</v>
      </c>
      <c r="B59" s="1452">
        <v>434392813</v>
      </c>
      <c r="C59" s="1452">
        <v>14022639.5176</v>
      </c>
      <c r="D59" s="1454"/>
      <c r="E59" s="1452">
        <v>6107310</v>
      </c>
      <c r="F59" s="1452">
        <v>152682.75</v>
      </c>
      <c r="G59" s="1454"/>
      <c r="H59" s="1452">
        <v>0</v>
      </c>
      <c r="I59" s="1452">
        <v>0</v>
      </c>
      <c r="J59" s="1455"/>
      <c r="K59" s="1452">
        <v>124160939</v>
      </c>
      <c r="L59" s="1452">
        <v>797317.44830000005</v>
      </c>
      <c r="M59" s="755"/>
    </row>
    <row r="60" spans="1:13" ht="11.25" customHeight="1">
      <c r="A60" s="655" t="s">
        <v>78</v>
      </c>
      <c r="B60" s="1452">
        <v>225581756</v>
      </c>
      <c r="C60" s="1452">
        <v>6273392.9847999997</v>
      </c>
      <c r="D60" s="1454"/>
      <c r="E60" s="1452">
        <v>27793451</v>
      </c>
      <c r="F60" s="1452">
        <v>625352.64749999996</v>
      </c>
      <c r="G60" s="1454"/>
      <c r="H60" s="1452">
        <v>0</v>
      </c>
      <c r="I60" s="1452">
        <v>0</v>
      </c>
      <c r="J60" s="1454"/>
      <c r="K60" s="1452">
        <v>36578301</v>
      </c>
      <c r="L60" s="1452">
        <v>305632.74680000002</v>
      </c>
      <c r="M60" s="755"/>
    </row>
    <row r="61" spans="1:13" ht="18" customHeight="1">
      <c r="A61" s="655" t="s">
        <v>80</v>
      </c>
      <c r="B61" s="1452">
        <v>194446581</v>
      </c>
      <c r="C61" s="1452">
        <v>3766866.9862000002</v>
      </c>
      <c r="D61" s="1454"/>
      <c r="E61" s="1452">
        <v>498850</v>
      </c>
      <c r="F61" s="1452">
        <v>7582.52</v>
      </c>
      <c r="G61" s="1454"/>
      <c r="H61" s="1452">
        <v>12426928</v>
      </c>
      <c r="I61" s="1452">
        <v>124269.28</v>
      </c>
      <c r="J61" s="1454"/>
      <c r="K61" s="1452">
        <v>84656501</v>
      </c>
      <c r="L61" s="1452">
        <v>533868.76710000006</v>
      </c>
      <c r="M61" s="755"/>
    </row>
    <row r="62" spans="1:13" ht="11.25" customHeight="1">
      <c r="A62" s="655" t="s">
        <v>82</v>
      </c>
      <c r="B62" s="1452">
        <v>234893042</v>
      </c>
      <c r="C62" s="1452">
        <v>4446641.1431</v>
      </c>
      <c r="D62" s="1454"/>
      <c r="E62" s="1452">
        <v>28239663</v>
      </c>
      <c r="F62" s="1452">
        <v>564793.26</v>
      </c>
      <c r="G62" s="1455"/>
      <c r="H62" s="1452">
        <v>5390737</v>
      </c>
      <c r="I62" s="1452">
        <v>76009.391699999993</v>
      </c>
      <c r="J62" s="1454"/>
      <c r="K62" s="1452">
        <v>85518779</v>
      </c>
      <c r="L62" s="1452">
        <v>531784.06229999999</v>
      </c>
      <c r="M62" s="755"/>
    </row>
    <row r="63" spans="1:13" ht="11.25" customHeight="1">
      <c r="A63" s="655" t="s">
        <v>84</v>
      </c>
      <c r="B63" s="1452">
        <v>18749579891</v>
      </c>
      <c r="C63" s="1452">
        <v>766063918.89020002</v>
      </c>
      <c r="D63" s="1454"/>
      <c r="E63" s="1452">
        <v>112745254</v>
      </c>
      <c r="F63" s="1452">
        <v>3644461.96</v>
      </c>
      <c r="G63" s="1454"/>
      <c r="H63" s="1452">
        <v>0</v>
      </c>
      <c r="I63" s="1452">
        <v>0</v>
      </c>
      <c r="J63" s="1455"/>
      <c r="K63" s="1452">
        <v>3586286445</v>
      </c>
      <c r="L63" s="1452">
        <v>31987368.467900001</v>
      </c>
      <c r="M63" s="755"/>
    </row>
    <row r="64" spans="1:13" ht="11.25" customHeight="1">
      <c r="A64" s="655" t="s">
        <v>86</v>
      </c>
      <c r="B64" s="1452">
        <v>690180475</v>
      </c>
      <c r="C64" s="1452">
        <v>15698501.091</v>
      </c>
      <c r="D64" s="1454"/>
      <c r="E64" s="1452">
        <v>19620295</v>
      </c>
      <c r="F64" s="1452">
        <v>372785.60499999998</v>
      </c>
      <c r="G64" s="1454"/>
      <c r="H64" s="1452">
        <v>77648870</v>
      </c>
      <c r="I64" s="1452">
        <v>504717.65500000003</v>
      </c>
      <c r="J64" s="1454"/>
      <c r="K64" s="1452">
        <v>2271258210</v>
      </c>
      <c r="L64" s="1452">
        <v>16363936.627</v>
      </c>
      <c r="M64" s="755"/>
    </row>
    <row r="65" spans="1:13" ht="11.25" customHeight="1">
      <c r="A65" s="655" t="s">
        <v>88</v>
      </c>
      <c r="B65" s="1452">
        <v>117802297</v>
      </c>
      <c r="C65" s="1452">
        <v>4231322.9948000005</v>
      </c>
      <c r="D65" s="1454"/>
      <c r="E65" s="1452">
        <v>19466118</v>
      </c>
      <c r="F65" s="1452">
        <v>320948.34000000003</v>
      </c>
      <c r="G65" s="1454"/>
      <c r="H65" s="1452">
        <v>8783475</v>
      </c>
      <c r="I65" s="1452">
        <v>105401.7</v>
      </c>
      <c r="J65" s="1454"/>
      <c r="K65" s="1452">
        <v>63238557</v>
      </c>
      <c r="L65" s="1452">
        <v>240306.5166</v>
      </c>
      <c r="M65" s="755"/>
    </row>
    <row r="66" spans="1:13" ht="18" customHeight="1">
      <c r="A66" s="655" t="s">
        <v>90</v>
      </c>
      <c r="B66" s="1452">
        <v>221117300.63</v>
      </c>
      <c r="C66" s="1452">
        <v>6623677.0051999995</v>
      </c>
      <c r="D66" s="1454"/>
      <c r="E66" s="1452">
        <v>9546206.5</v>
      </c>
      <c r="F66" s="1452">
        <v>159421.64859999999</v>
      </c>
      <c r="G66" s="1454"/>
      <c r="H66" s="1452">
        <v>33712618</v>
      </c>
      <c r="I66" s="1452">
        <v>289928.5148</v>
      </c>
      <c r="J66" s="1454"/>
      <c r="K66" s="1452">
        <v>46294472</v>
      </c>
      <c r="L66" s="1452">
        <v>342579.09279999998</v>
      </c>
      <c r="M66" s="755"/>
    </row>
    <row r="67" spans="1:13" ht="11.25" customHeight="1">
      <c r="A67" s="655" t="s">
        <v>92</v>
      </c>
      <c r="B67" s="1456">
        <v>212752118</v>
      </c>
      <c r="C67" s="1456">
        <v>6421523.9347999999</v>
      </c>
      <c r="D67" s="1453"/>
      <c r="E67" s="1456">
        <v>0</v>
      </c>
      <c r="F67" s="1456">
        <v>0</v>
      </c>
      <c r="G67" s="1453"/>
      <c r="H67" s="1456">
        <v>0</v>
      </c>
      <c r="I67" s="1456">
        <v>0</v>
      </c>
      <c r="J67" s="1453"/>
      <c r="K67" s="1456">
        <v>23868341</v>
      </c>
      <c r="L67" s="1456">
        <v>152786.5748</v>
      </c>
      <c r="M67" s="755"/>
    </row>
    <row r="68" spans="1:13" ht="11.25" customHeight="1">
      <c r="A68" s="655" t="s">
        <v>94</v>
      </c>
      <c r="B68" s="1452">
        <v>2266787288</v>
      </c>
      <c r="C68" s="1452">
        <v>75659579.709999993</v>
      </c>
      <c r="D68" s="1454"/>
      <c r="E68" s="1452">
        <v>110304813</v>
      </c>
      <c r="F68" s="1452">
        <v>728011.76</v>
      </c>
      <c r="G68" s="1454"/>
      <c r="H68" s="1452">
        <v>87156739</v>
      </c>
      <c r="I68" s="1452">
        <v>627528.52</v>
      </c>
      <c r="J68" s="1454"/>
      <c r="K68" s="1452">
        <v>344666977</v>
      </c>
      <c r="L68" s="1452">
        <v>1508900.74</v>
      </c>
      <c r="M68" s="755"/>
    </row>
    <row r="69" spans="1:13" ht="11.25" customHeight="1">
      <c r="A69" s="655" t="s">
        <v>96</v>
      </c>
      <c r="B69" s="1452">
        <v>347561593</v>
      </c>
      <c r="C69" s="1452">
        <v>6925403.2372000003</v>
      </c>
      <c r="D69" s="1454"/>
      <c r="E69" s="1452">
        <v>0</v>
      </c>
      <c r="F69" s="1452">
        <v>0</v>
      </c>
      <c r="G69" s="1454"/>
      <c r="H69" s="1452">
        <v>0</v>
      </c>
      <c r="I69" s="1452">
        <v>0</v>
      </c>
      <c r="J69" s="1454"/>
      <c r="K69" s="1452">
        <v>124861943</v>
      </c>
      <c r="L69" s="1452">
        <v>763242.42960000003</v>
      </c>
      <c r="M69" s="755"/>
    </row>
    <row r="70" spans="1:13" ht="11.25" customHeight="1">
      <c r="A70" s="655" t="s">
        <v>98</v>
      </c>
      <c r="B70" s="1452">
        <v>1015471522</v>
      </c>
      <c r="C70" s="1452">
        <v>25349807.359999999</v>
      </c>
      <c r="D70" s="1453"/>
      <c r="E70" s="1452">
        <v>171223293</v>
      </c>
      <c r="F70" s="1452">
        <v>3116263.97</v>
      </c>
      <c r="G70" s="1453"/>
      <c r="H70" s="1452">
        <v>49996153</v>
      </c>
      <c r="I70" s="1452">
        <v>1524882.98</v>
      </c>
      <c r="J70" s="1453"/>
      <c r="K70" s="1452">
        <v>254238485</v>
      </c>
      <c r="L70" s="1452">
        <v>2269849.6038000002</v>
      </c>
      <c r="M70" s="755"/>
    </row>
    <row r="71" spans="1:13" ht="15" customHeight="1">
      <c r="A71" s="825" t="s">
        <v>845</v>
      </c>
      <c r="B71" s="681"/>
      <c r="C71" s="681"/>
      <c r="D71" s="669"/>
      <c r="E71" s="681"/>
      <c r="F71" s="681"/>
      <c r="G71" s="669"/>
      <c r="H71" s="681"/>
      <c r="I71" s="681"/>
      <c r="J71" s="669"/>
      <c r="K71" s="681"/>
      <c r="L71" s="681"/>
      <c r="M71" s="683"/>
    </row>
    <row r="72" spans="1:13" ht="15" customHeight="1">
      <c r="A72" s="944" t="str">
        <f>A2</f>
        <v>Tangible Personal Property, Machinery &amp; Tools, Merchants' Capital, and Public Service Corporations:  Assessed Values &amp; Levies by Locality - Tax Year 2022</v>
      </c>
      <c r="B72" s="682"/>
      <c r="C72" s="682"/>
      <c r="D72" s="682"/>
      <c r="E72" s="682"/>
      <c r="F72" s="682"/>
      <c r="G72" s="682"/>
      <c r="H72" s="682"/>
      <c r="I72" s="682"/>
      <c r="J72" s="682"/>
      <c r="K72" s="682"/>
      <c r="L72" s="682"/>
      <c r="M72" s="683"/>
    </row>
    <row r="73" spans="1:13" ht="5.15" customHeight="1" thickBot="1">
      <c r="A73" s="657"/>
      <c r="B73" s="657"/>
      <c r="C73" s="657"/>
      <c r="D73" s="657"/>
      <c r="E73" s="657"/>
      <c r="F73" s="657"/>
      <c r="G73" s="657"/>
      <c r="H73" s="657"/>
      <c r="I73" s="657"/>
      <c r="J73" s="657"/>
      <c r="K73" s="657"/>
      <c r="L73" s="657"/>
      <c r="M73" s="684"/>
    </row>
    <row r="74" spans="1:13" ht="12.75" customHeight="1">
      <c r="A74" s="677"/>
      <c r="B74" s="945" t="s">
        <v>839</v>
      </c>
      <c r="C74" s="945"/>
      <c r="D74" s="677"/>
      <c r="E74" s="946" t="s">
        <v>840</v>
      </c>
      <c r="F74" s="946"/>
      <c r="G74" s="677"/>
      <c r="H74" s="946" t="s">
        <v>841</v>
      </c>
      <c r="I74" s="946"/>
      <c r="J74" s="677"/>
      <c r="K74" s="946" t="s">
        <v>842</v>
      </c>
      <c r="L74" s="946"/>
      <c r="M74" s="683"/>
    </row>
    <row r="75" spans="1:13" ht="12.75" customHeight="1">
      <c r="A75" s="1329" t="s">
        <v>21</v>
      </c>
      <c r="B75" s="1327" t="s">
        <v>843</v>
      </c>
      <c r="C75" s="1327" t="s">
        <v>844</v>
      </c>
      <c r="D75" s="781"/>
      <c r="E75" s="1327" t="s">
        <v>843</v>
      </c>
      <c r="F75" s="1327" t="s">
        <v>844</v>
      </c>
      <c r="G75" s="781"/>
      <c r="H75" s="1326" t="s">
        <v>843</v>
      </c>
      <c r="I75" s="1326" t="s">
        <v>844</v>
      </c>
      <c r="J75" s="781"/>
      <c r="K75" s="1328" t="s">
        <v>843</v>
      </c>
      <c r="L75" s="1327" t="s">
        <v>844</v>
      </c>
      <c r="M75" s="684"/>
    </row>
    <row r="76" spans="1:13" ht="18" customHeight="1">
      <c r="A76" s="655" t="s">
        <v>100</v>
      </c>
      <c r="B76" s="1450">
        <v>282963059</v>
      </c>
      <c r="C76" s="1450">
        <v>7780098.0475000003</v>
      </c>
      <c r="D76" s="1451"/>
      <c r="E76" s="1450">
        <v>7739700</v>
      </c>
      <c r="F76" s="1450">
        <v>96746.25</v>
      </c>
      <c r="G76" s="1451"/>
      <c r="H76" s="1450">
        <v>0</v>
      </c>
      <c r="I76" s="1450">
        <v>0</v>
      </c>
      <c r="J76" s="1451"/>
      <c r="K76" s="1450">
        <v>164580572</v>
      </c>
      <c r="L76" s="1450">
        <v>1107299.26</v>
      </c>
      <c r="M76" s="755"/>
    </row>
    <row r="77" spans="1:13" ht="11.25" customHeight="1">
      <c r="A77" s="655" t="s">
        <v>102</v>
      </c>
      <c r="B77" s="1453">
        <v>433724170</v>
      </c>
      <c r="C77" s="1453">
        <v>13556228.1329</v>
      </c>
      <c r="D77" s="1453"/>
      <c r="E77" s="1453">
        <v>8576985</v>
      </c>
      <c r="F77" s="1453">
        <v>64327.387499999997</v>
      </c>
      <c r="G77" s="1453"/>
      <c r="H77" s="1453">
        <v>0</v>
      </c>
      <c r="I77" s="1453">
        <v>0</v>
      </c>
      <c r="J77" s="1453"/>
      <c r="K77" s="1453">
        <v>199606636</v>
      </c>
      <c r="L77" s="1453">
        <v>1337445.9391000001</v>
      </c>
      <c r="M77" s="755"/>
    </row>
    <row r="78" spans="1:13" ht="11.25" customHeight="1">
      <c r="A78" s="655" t="s">
        <v>104</v>
      </c>
      <c r="B78" s="1453">
        <v>188091001</v>
      </c>
      <c r="C78" s="1453">
        <v>6278657.3459999999</v>
      </c>
      <c r="D78" s="1454"/>
      <c r="E78" s="1453">
        <v>16434500</v>
      </c>
      <c r="F78" s="1453">
        <v>246066.1</v>
      </c>
      <c r="G78" s="1454"/>
      <c r="H78" s="1453">
        <v>0</v>
      </c>
      <c r="I78" s="1453">
        <v>0</v>
      </c>
      <c r="J78" s="1454"/>
      <c r="K78" s="1453">
        <v>65889700</v>
      </c>
      <c r="L78" s="1453">
        <v>500761.72</v>
      </c>
      <c r="M78" s="755"/>
    </row>
    <row r="79" spans="1:13" ht="11.25" customHeight="1">
      <c r="A79" s="655" t="s">
        <v>106</v>
      </c>
      <c r="B79" s="1453">
        <v>153193911</v>
      </c>
      <c r="C79" s="1453">
        <v>5366123</v>
      </c>
      <c r="D79" s="1454"/>
      <c r="E79" s="1453">
        <v>7455092</v>
      </c>
      <c r="F79" s="1453">
        <v>268383</v>
      </c>
      <c r="G79" s="1454"/>
      <c r="H79" s="1453">
        <v>5063929</v>
      </c>
      <c r="I79" s="1453">
        <v>50639</v>
      </c>
      <c r="J79" s="1454"/>
      <c r="K79" s="1453">
        <v>54569764</v>
      </c>
      <c r="L79" s="1453">
        <v>332876</v>
      </c>
      <c r="M79" s="755"/>
    </row>
    <row r="80" spans="1:13" ht="11.25" customHeight="1">
      <c r="A80" s="655" t="s">
        <v>108</v>
      </c>
      <c r="B80" s="1453">
        <v>141801640</v>
      </c>
      <c r="C80" s="1453">
        <v>4457914.1191999996</v>
      </c>
      <c r="D80" s="1454"/>
      <c r="E80" s="1453">
        <v>11881571</v>
      </c>
      <c r="F80" s="1453">
        <v>160401.20850000001</v>
      </c>
      <c r="G80" s="1454"/>
      <c r="H80" s="1453">
        <v>0</v>
      </c>
      <c r="I80" s="1453">
        <v>0</v>
      </c>
      <c r="J80" s="1455"/>
      <c r="K80" s="1453">
        <v>96840008</v>
      </c>
      <c r="L80" s="1453">
        <v>500251.56420000002</v>
      </c>
      <c r="M80" s="755"/>
    </row>
    <row r="81" spans="1:13" ht="18" customHeight="1">
      <c r="A81" s="655" t="s">
        <v>110</v>
      </c>
      <c r="B81" s="1453">
        <v>560608648</v>
      </c>
      <c r="C81" s="1453">
        <v>17449658.8785</v>
      </c>
      <c r="D81" s="1454"/>
      <c r="E81" s="1453">
        <v>60218409</v>
      </c>
      <c r="F81" s="1453">
        <v>1102599.0688</v>
      </c>
      <c r="G81" s="1454"/>
      <c r="H81" s="1453">
        <v>51187822</v>
      </c>
      <c r="I81" s="1453">
        <v>204751.288</v>
      </c>
      <c r="J81" s="1454"/>
      <c r="K81" s="1453">
        <v>194173029</v>
      </c>
      <c r="L81" s="1453">
        <v>1457607.3174999999</v>
      </c>
      <c r="M81" s="755"/>
    </row>
    <row r="82" spans="1:13" ht="11.25" customHeight="1">
      <c r="A82" s="655" t="s">
        <v>112</v>
      </c>
      <c r="B82" s="1453">
        <v>279300267</v>
      </c>
      <c r="C82" s="1453">
        <v>10155427.822000001</v>
      </c>
      <c r="D82" s="1454"/>
      <c r="E82" s="1453">
        <v>24571997</v>
      </c>
      <c r="F82" s="1453">
        <v>368579.95500000002</v>
      </c>
      <c r="G82" s="1454"/>
      <c r="H82" s="1453">
        <v>0</v>
      </c>
      <c r="I82" s="1453">
        <v>0</v>
      </c>
      <c r="J82" s="1455"/>
      <c r="K82" s="1453">
        <v>99182384</v>
      </c>
      <c r="L82" s="1453">
        <v>744181.17440000002</v>
      </c>
      <c r="M82" s="755"/>
    </row>
    <row r="83" spans="1:13" ht="11.25" customHeight="1">
      <c r="A83" s="655" t="s">
        <v>113</v>
      </c>
      <c r="B83" s="1453">
        <v>237660769</v>
      </c>
      <c r="C83" s="1453">
        <v>3917315.55</v>
      </c>
      <c r="D83" s="1454"/>
      <c r="E83" s="1453">
        <v>48279707</v>
      </c>
      <c r="F83" s="1453">
        <v>825582.99</v>
      </c>
      <c r="G83" s="1454"/>
      <c r="H83" s="1452">
        <v>0</v>
      </c>
      <c r="I83" s="1453">
        <v>0</v>
      </c>
      <c r="J83" s="1455"/>
      <c r="K83" s="1453">
        <v>63572542</v>
      </c>
      <c r="L83" s="1453">
        <v>465431.05</v>
      </c>
      <c r="M83" s="755"/>
    </row>
    <row r="84" spans="1:13" ht="11.25" customHeight="1">
      <c r="A84" s="655" t="s">
        <v>115</v>
      </c>
      <c r="B84" s="1453">
        <v>267569773</v>
      </c>
      <c r="C84" s="1453">
        <v>20277136.228799999</v>
      </c>
      <c r="D84" s="1454"/>
      <c r="E84" s="1453">
        <v>41459680</v>
      </c>
      <c r="F84" s="1453">
        <v>1140141.2</v>
      </c>
      <c r="G84" s="1454"/>
      <c r="H84" s="1453">
        <v>16544091</v>
      </c>
      <c r="I84" s="1453">
        <v>454962.5025</v>
      </c>
      <c r="J84" s="1454"/>
      <c r="K84" s="1453">
        <v>455288622</v>
      </c>
      <c r="L84" s="1453">
        <v>2980934.5537999999</v>
      </c>
      <c r="M84" s="755"/>
    </row>
    <row r="85" spans="1:13" ht="11.25" customHeight="1">
      <c r="A85" s="655" t="s">
        <v>117</v>
      </c>
      <c r="B85" s="1453">
        <v>490464480</v>
      </c>
      <c r="C85" s="1453">
        <v>17392312.877</v>
      </c>
      <c r="D85" s="1454"/>
      <c r="E85" s="1453">
        <v>19745090</v>
      </c>
      <c r="F85" s="1453">
        <v>710823.24</v>
      </c>
      <c r="G85" s="1454"/>
      <c r="H85" s="1453">
        <v>0</v>
      </c>
      <c r="I85" s="1453">
        <v>0</v>
      </c>
      <c r="J85" s="1454"/>
      <c r="K85" s="1453">
        <v>104192167</v>
      </c>
      <c r="L85" s="1453">
        <v>816041.21180000005</v>
      </c>
      <c r="M85" s="755"/>
    </row>
    <row r="86" spans="1:13" ht="18" customHeight="1">
      <c r="A86" s="655" t="s">
        <v>118</v>
      </c>
      <c r="B86" s="1453">
        <v>441305115</v>
      </c>
      <c r="C86" s="1453">
        <v>9652847.3374000005</v>
      </c>
      <c r="D86" s="1453"/>
      <c r="E86" s="1453">
        <v>2148900</v>
      </c>
      <c r="F86" s="1453">
        <v>90253.8</v>
      </c>
      <c r="G86" s="1453"/>
      <c r="H86" s="1453">
        <v>44341500</v>
      </c>
      <c r="I86" s="1453">
        <v>310390.5</v>
      </c>
      <c r="J86" s="1453"/>
      <c r="K86" s="1453">
        <v>121874090</v>
      </c>
      <c r="L86" s="1453">
        <v>602165.59069999994</v>
      </c>
      <c r="M86" s="755"/>
    </row>
    <row r="87" spans="1:13" ht="11.25" customHeight="1">
      <c r="A87" s="655" t="s">
        <v>120</v>
      </c>
      <c r="B87" s="1453">
        <v>473498200</v>
      </c>
      <c r="C87" s="1453">
        <v>14175931.289999999</v>
      </c>
      <c r="D87" s="1454"/>
      <c r="E87" s="1453">
        <v>42135437</v>
      </c>
      <c r="F87" s="1453">
        <v>632031.65</v>
      </c>
      <c r="G87" s="1454"/>
      <c r="H87" s="1453">
        <v>0</v>
      </c>
      <c r="I87" s="1453">
        <v>0</v>
      </c>
      <c r="J87" s="1455"/>
      <c r="K87" s="1453">
        <v>299833874</v>
      </c>
      <c r="L87" s="1453">
        <v>2511152.1800000002</v>
      </c>
      <c r="M87" s="755"/>
    </row>
    <row r="88" spans="1:13" ht="11.25" customHeight="1">
      <c r="A88" s="655" t="s">
        <v>122</v>
      </c>
      <c r="B88" s="1453">
        <v>7174516037.3699999</v>
      </c>
      <c r="C88" s="1453">
        <v>261831068.21509999</v>
      </c>
      <c r="D88" s="1454"/>
      <c r="E88" s="1453">
        <v>3449851</v>
      </c>
      <c r="F88" s="1453">
        <v>126889.985</v>
      </c>
      <c r="G88" s="1454"/>
      <c r="H88" s="1453">
        <v>0</v>
      </c>
      <c r="I88" s="1453">
        <v>0</v>
      </c>
      <c r="J88" s="1455"/>
      <c r="K88" s="1453">
        <v>2027063878</v>
      </c>
      <c r="L88" s="1453">
        <v>20972428.031500001</v>
      </c>
      <c r="M88" s="755"/>
    </row>
    <row r="89" spans="1:13" ht="11.25" customHeight="1">
      <c r="A89" s="655" t="s">
        <v>124</v>
      </c>
      <c r="B89" s="1453">
        <v>501905066</v>
      </c>
      <c r="C89" s="1453">
        <v>11628048.9142</v>
      </c>
      <c r="D89" s="1454"/>
      <c r="E89" s="1453">
        <v>318635475</v>
      </c>
      <c r="F89" s="1453">
        <v>4779532.125</v>
      </c>
      <c r="G89" s="1454"/>
      <c r="H89" s="1453">
        <v>0</v>
      </c>
      <c r="I89" s="1453">
        <v>0</v>
      </c>
      <c r="J89" s="1454"/>
      <c r="K89" s="1453">
        <v>116059063</v>
      </c>
      <c r="L89" s="1453">
        <v>862075.43629999994</v>
      </c>
      <c r="M89" s="755"/>
    </row>
    <row r="90" spans="1:13" ht="11.25" customHeight="1">
      <c r="A90" s="655" t="s">
        <v>126</v>
      </c>
      <c r="B90" s="1453">
        <v>102925660</v>
      </c>
      <c r="C90" s="1453">
        <v>3394845.78</v>
      </c>
      <c r="D90" s="1454"/>
      <c r="E90" s="1453">
        <v>0</v>
      </c>
      <c r="F90" s="1453">
        <v>0</v>
      </c>
      <c r="G90" s="1455"/>
      <c r="H90" s="1453">
        <v>0</v>
      </c>
      <c r="I90" s="1453">
        <v>0</v>
      </c>
      <c r="J90" s="1455"/>
      <c r="K90" s="1453">
        <v>59515945</v>
      </c>
      <c r="L90" s="1453">
        <v>357095.67</v>
      </c>
      <c r="M90" s="755"/>
    </row>
    <row r="91" spans="1:13" ht="18" customHeight="1">
      <c r="A91" s="655" t="s">
        <v>1242</v>
      </c>
      <c r="B91" s="1453">
        <v>107878040</v>
      </c>
      <c r="C91" s="1453">
        <v>3983776.24</v>
      </c>
      <c r="D91" s="1454"/>
      <c r="E91" s="1453">
        <v>13917050</v>
      </c>
      <c r="F91" s="1453">
        <v>55668.2</v>
      </c>
      <c r="G91" s="1454"/>
      <c r="H91" s="1453">
        <v>3014050</v>
      </c>
      <c r="I91" s="1453">
        <v>105491.75</v>
      </c>
      <c r="J91" s="1454"/>
      <c r="K91" s="1453">
        <v>85541883</v>
      </c>
      <c r="L91" s="1453">
        <v>650800.80500000005</v>
      </c>
      <c r="M91" s="755"/>
    </row>
    <row r="92" spans="1:13" ht="11.25" customHeight="1">
      <c r="A92" s="655" t="s">
        <v>25</v>
      </c>
      <c r="B92" s="1453">
        <v>1347826899</v>
      </c>
      <c r="C92" s="1453">
        <v>46531201.950000003</v>
      </c>
      <c r="D92" s="1453"/>
      <c r="E92" s="1453">
        <v>96851430</v>
      </c>
      <c r="F92" s="1453">
        <v>2760265.97</v>
      </c>
      <c r="G92" s="1453"/>
      <c r="H92" s="1453">
        <v>0</v>
      </c>
      <c r="I92" s="1453">
        <v>0</v>
      </c>
      <c r="J92" s="1453"/>
      <c r="K92" s="1453">
        <v>354590600</v>
      </c>
      <c r="L92" s="1453">
        <v>3879663.83</v>
      </c>
      <c r="M92" s="755"/>
    </row>
    <row r="93" spans="1:13" ht="11.25" customHeight="1">
      <c r="A93" s="655" t="s">
        <v>130</v>
      </c>
      <c r="B93" s="1453">
        <v>340770734</v>
      </c>
      <c r="C93" s="1453">
        <v>11942463.91</v>
      </c>
      <c r="D93" s="1453"/>
      <c r="E93" s="1453">
        <v>20106183</v>
      </c>
      <c r="F93" s="1453">
        <v>512707.66649999999</v>
      </c>
      <c r="G93" s="1453"/>
      <c r="H93" s="1453">
        <v>0</v>
      </c>
      <c r="I93" s="1453">
        <v>0</v>
      </c>
      <c r="J93" s="1453"/>
      <c r="K93" s="1453">
        <v>243063912</v>
      </c>
      <c r="L93" s="1453">
        <v>1798672.9487999999</v>
      </c>
      <c r="M93" s="755"/>
    </row>
    <row r="94" spans="1:13" ht="11.25" customHeight="1">
      <c r="A94" s="655" t="s">
        <v>131</v>
      </c>
      <c r="B94" s="1453">
        <v>1357887701</v>
      </c>
      <c r="C94" s="1453">
        <v>33044517.0262</v>
      </c>
      <c r="D94" s="1453"/>
      <c r="E94" s="1453">
        <v>608106322</v>
      </c>
      <c r="F94" s="1453">
        <v>15506711.210999999</v>
      </c>
      <c r="G94" s="1453"/>
      <c r="H94" s="1453">
        <v>217724245</v>
      </c>
      <c r="I94" s="1453">
        <v>1894200.9314999999</v>
      </c>
      <c r="J94" s="1453"/>
      <c r="K94" s="1453">
        <v>314592537</v>
      </c>
      <c r="L94" s="1453">
        <v>2169185.4656000002</v>
      </c>
      <c r="M94" s="755"/>
    </row>
    <row r="95" spans="1:13" ht="11.25" customHeight="1">
      <c r="A95" s="655" t="s">
        <v>133</v>
      </c>
      <c r="B95" s="1453">
        <v>458834694</v>
      </c>
      <c r="C95" s="1453">
        <v>8764197.9714000002</v>
      </c>
      <c r="D95" s="1454"/>
      <c r="E95" s="1453">
        <v>61850609</v>
      </c>
      <c r="F95" s="1453">
        <v>1206086.8755000001</v>
      </c>
      <c r="G95" s="1454"/>
      <c r="H95" s="1453">
        <v>7935384</v>
      </c>
      <c r="I95" s="1453">
        <v>51579.995999999999</v>
      </c>
      <c r="J95" s="1454"/>
      <c r="K95" s="1453">
        <v>309613697</v>
      </c>
      <c r="L95" s="1453">
        <v>1957196.3343</v>
      </c>
      <c r="M95" s="755"/>
    </row>
    <row r="96" spans="1:13" ht="18" customHeight="1">
      <c r="A96" s="655" t="s">
        <v>135</v>
      </c>
      <c r="B96" s="1452">
        <v>254253252</v>
      </c>
      <c r="C96" s="1452">
        <v>3844014.0350000001</v>
      </c>
      <c r="D96" s="1452"/>
      <c r="E96" s="1452">
        <v>43265450</v>
      </c>
      <c r="F96" s="1452">
        <v>497552.67499999999</v>
      </c>
      <c r="G96" s="1452"/>
      <c r="H96" s="1452">
        <v>15588235</v>
      </c>
      <c r="I96" s="1452">
        <v>112235.292</v>
      </c>
      <c r="J96" s="1456"/>
      <c r="K96" s="1452">
        <v>1068582</v>
      </c>
      <c r="L96" s="1452">
        <v>17631.602999999999</v>
      </c>
      <c r="M96" s="755"/>
    </row>
    <row r="97" spans="1:13" ht="11.25" customHeight="1">
      <c r="A97" s="655" t="s">
        <v>137</v>
      </c>
      <c r="B97" s="1453">
        <v>707259339</v>
      </c>
      <c r="C97" s="1453">
        <v>26277958.802999999</v>
      </c>
      <c r="D97" s="1453"/>
      <c r="E97" s="1453">
        <v>85347287</v>
      </c>
      <c r="F97" s="1453">
        <v>2688439.5405000001</v>
      </c>
      <c r="G97" s="1453"/>
      <c r="H97" s="1453">
        <v>53994915</v>
      </c>
      <c r="I97" s="1453">
        <v>323969.49</v>
      </c>
      <c r="J97" s="1453"/>
      <c r="K97" s="1453">
        <v>325292026</v>
      </c>
      <c r="L97" s="1453">
        <v>1904288.1206</v>
      </c>
      <c r="M97" s="755"/>
    </row>
    <row r="98" spans="1:13" ht="11.25" customHeight="1">
      <c r="A98" s="655" t="s">
        <v>139</v>
      </c>
      <c r="B98" s="1453">
        <v>359134466</v>
      </c>
      <c r="C98" s="1453">
        <v>7727323.0903000003</v>
      </c>
      <c r="D98" s="1453"/>
      <c r="E98" s="1453">
        <v>136099882</v>
      </c>
      <c r="F98" s="1453">
        <v>2109548.1710000001</v>
      </c>
      <c r="G98" s="1453"/>
      <c r="H98" s="1453">
        <v>70371811</v>
      </c>
      <c r="I98" s="1453">
        <v>281487.24400000001</v>
      </c>
      <c r="J98" s="1453"/>
      <c r="K98" s="1453">
        <v>241308244</v>
      </c>
      <c r="L98" s="1453">
        <v>1789910.2904000001</v>
      </c>
      <c r="M98" s="755"/>
    </row>
    <row r="99" spans="1:13" ht="11.25" customHeight="1">
      <c r="A99" s="655" t="s">
        <v>141</v>
      </c>
      <c r="B99" s="1453">
        <v>297437358</v>
      </c>
      <c r="C99" s="1453">
        <v>10964946.702</v>
      </c>
      <c r="D99" s="1453"/>
      <c r="E99" s="1453">
        <v>38709025</v>
      </c>
      <c r="F99" s="1453">
        <v>929016.6</v>
      </c>
      <c r="G99" s="1453"/>
      <c r="H99" s="1453">
        <v>20169850</v>
      </c>
      <c r="I99" s="1453">
        <v>100849.25</v>
      </c>
      <c r="J99" s="1453"/>
      <c r="K99" s="1453">
        <v>198729228</v>
      </c>
      <c r="L99" s="1453">
        <v>1771886.9249</v>
      </c>
      <c r="M99" s="755"/>
    </row>
    <row r="100" spans="1:13" ht="11.25" customHeight="1">
      <c r="A100" s="655" t="s">
        <v>143</v>
      </c>
      <c r="B100" s="1453">
        <v>1628335645.6099999</v>
      </c>
      <c r="C100" s="1453">
        <v>85517390.136800006</v>
      </c>
      <c r="D100" s="1454"/>
      <c r="E100" s="1453">
        <v>42496387.090000004</v>
      </c>
      <c r="F100" s="1453">
        <v>807431.35470000003</v>
      </c>
      <c r="G100" s="1454"/>
      <c r="H100" s="1453">
        <v>0</v>
      </c>
      <c r="I100" s="1453">
        <v>0</v>
      </c>
      <c r="J100" s="1455"/>
      <c r="K100" s="1453">
        <v>521208264</v>
      </c>
      <c r="L100" s="1453">
        <v>3884102.2143000001</v>
      </c>
      <c r="M100" s="755"/>
    </row>
    <row r="101" spans="1:13" ht="18" customHeight="1">
      <c r="A101" s="655" t="s">
        <v>145</v>
      </c>
      <c r="B101" s="1453">
        <v>1893317740</v>
      </c>
      <c r="C101" s="1453">
        <v>70613790.640000001</v>
      </c>
      <c r="D101" s="1453"/>
      <c r="E101" s="1453">
        <v>0</v>
      </c>
      <c r="F101" s="1453">
        <v>0</v>
      </c>
      <c r="G101" s="1453"/>
      <c r="H101" s="1453">
        <v>196300450</v>
      </c>
      <c r="I101" s="1453">
        <v>1012172.96</v>
      </c>
      <c r="J101" s="1453"/>
      <c r="K101" s="1453">
        <v>881134</v>
      </c>
      <c r="L101" s="1453">
        <v>52413.31</v>
      </c>
      <c r="M101" s="755"/>
    </row>
    <row r="102" spans="1:13" ht="11.25" customHeight="1">
      <c r="A102" s="655" t="s">
        <v>147</v>
      </c>
      <c r="B102" s="1453">
        <v>90696481</v>
      </c>
      <c r="C102" s="1453">
        <v>3515993.25</v>
      </c>
      <c r="D102" s="1454"/>
      <c r="E102" s="1453">
        <v>2276270</v>
      </c>
      <c r="F102" s="1453">
        <v>22762.7</v>
      </c>
      <c r="G102" s="1454"/>
      <c r="H102" s="1453">
        <v>0</v>
      </c>
      <c r="I102" s="1453">
        <v>0</v>
      </c>
      <c r="J102" s="1455"/>
      <c r="K102" s="1453">
        <v>2156940126</v>
      </c>
      <c r="L102" s="1453">
        <v>15544438.397600001</v>
      </c>
      <c r="M102" s="755"/>
    </row>
    <row r="103" spans="1:13" ht="11.25" customHeight="1">
      <c r="A103" s="655" t="s">
        <v>149</v>
      </c>
      <c r="B103" s="1453">
        <v>123780230</v>
      </c>
      <c r="C103" s="1453">
        <v>5889133.8859999999</v>
      </c>
      <c r="D103" s="1453"/>
      <c r="E103" s="1453">
        <v>40053466</v>
      </c>
      <c r="F103" s="1453">
        <v>973299.22380000004</v>
      </c>
      <c r="G103" s="1453"/>
      <c r="H103" s="1453">
        <v>13201318</v>
      </c>
      <c r="I103" s="1453">
        <v>132013.18</v>
      </c>
      <c r="J103" s="1453"/>
      <c r="K103" s="1453">
        <v>140007060</v>
      </c>
      <c r="L103" s="1453">
        <v>726055.04139999999</v>
      </c>
      <c r="M103" s="755"/>
    </row>
    <row r="104" spans="1:13" ht="11.25" customHeight="1">
      <c r="A104" s="655" t="s">
        <v>151</v>
      </c>
      <c r="B104" s="1453">
        <v>553114772</v>
      </c>
      <c r="C104" s="1453">
        <v>10619273.876</v>
      </c>
      <c r="D104" s="1454"/>
      <c r="E104" s="1453">
        <v>65151700</v>
      </c>
      <c r="F104" s="1453">
        <v>1303034</v>
      </c>
      <c r="G104" s="1454"/>
      <c r="H104" s="1453">
        <v>21458000</v>
      </c>
      <c r="I104" s="1453">
        <v>922694</v>
      </c>
      <c r="J104" s="1454"/>
      <c r="K104" s="1453">
        <v>275692197</v>
      </c>
      <c r="L104" s="1453">
        <v>1605894.2579999999</v>
      </c>
      <c r="M104" s="755"/>
    </row>
    <row r="105" spans="1:13" ht="11.25" customHeight="1">
      <c r="A105" s="655" t="s">
        <v>153</v>
      </c>
      <c r="B105" s="1453">
        <v>786170305</v>
      </c>
      <c r="C105" s="1453">
        <v>26262243.079999998</v>
      </c>
      <c r="D105" s="1454"/>
      <c r="E105" s="1453">
        <v>109005930</v>
      </c>
      <c r="F105" s="1453">
        <v>2175114.9700000002</v>
      </c>
      <c r="G105" s="1454"/>
      <c r="H105" s="1453">
        <v>0</v>
      </c>
      <c r="I105" s="1453">
        <v>0</v>
      </c>
      <c r="J105" s="1454"/>
      <c r="K105" s="1453">
        <v>826275100</v>
      </c>
      <c r="L105" s="1453">
        <v>5516419.0750000002</v>
      </c>
      <c r="M105" s="755"/>
    </row>
    <row r="106" spans="1:13" ht="18" customHeight="1">
      <c r="A106" s="655" t="s">
        <v>155</v>
      </c>
      <c r="B106" s="1450">
        <v>855834923</v>
      </c>
      <c r="C106" s="1450">
        <v>14217919.429</v>
      </c>
      <c r="D106" s="1451"/>
      <c r="E106" s="1450">
        <v>208698110</v>
      </c>
      <c r="F106" s="1450">
        <v>3234820.7050000001</v>
      </c>
      <c r="G106" s="1451"/>
      <c r="H106" s="1450">
        <v>0</v>
      </c>
      <c r="I106" s="1450">
        <v>0</v>
      </c>
      <c r="J106" s="1451"/>
      <c r="K106" s="1450">
        <v>246235491</v>
      </c>
      <c r="L106" s="1450">
        <v>1493607.1129999999</v>
      </c>
      <c r="M106" s="755"/>
    </row>
    <row r="107" spans="1:13" ht="12" customHeight="1">
      <c r="A107" s="655" t="s">
        <v>157</v>
      </c>
      <c r="B107" s="1453">
        <v>253526150</v>
      </c>
      <c r="C107" s="1453">
        <v>8693639.8019999992</v>
      </c>
      <c r="D107" s="1454"/>
      <c r="E107" s="1453">
        <v>13835140</v>
      </c>
      <c r="F107" s="1453">
        <v>257915.65</v>
      </c>
      <c r="G107" s="1454"/>
      <c r="H107" s="1453">
        <v>10585040</v>
      </c>
      <c r="I107" s="1453">
        <v>82141.967999999993</v>
      </c>
      <c r="J107" s="1454"/>
      <c r="K107" s="1453">
        <v>76041400</v>
      </c>
      <c r="L107" s="1453">
        <v>420076.315</v>
      </c>
      <c r="M107" s="755"/>
    </row>
    <row r="108" spans="1:13" ht="12" customHeight="1">
      <c r="A108" s="655" t="s">
        <v>159</v>
      </c>
      <c r="B108" s="1453">
        <v>516577000</v>
      </c>
      <c r="C108" s="1453">
        <v>8263435.7063999996</v>
      </c>
      <c r="D108" s="1454"/>
      <c r="E108" s="1453">
        <v>30126130</v>
      </c>
      <c r="F108" s="1453">
        <v>424778.43300000002</v>
      </c>
      <c r="G108" s="1454"/>
      <c r="H108" s="1453">
        <v>23055431</v>
      </c>
      <c r="I108" s="1453">
        <v>657079.78350000002</v>
      </c>
      <c r="J108" s="1454"/>
      <c r="K108" s="1453">
        <v>1447250058</v>
      </c>
      <c r="L108" s="1453">
        <v>23879625.956999999</v>
      </c>
      <c r="M108" s="755"/>
    </row>
    <row r="109" spans="1:13" ht="12" customHeight="1">
      <c r="A109" s="655" t="s">
        <v>161</v>
      </c>
      <c r="B109" s="1453">
        <v>446945659</v>
      </c>
      <c r="C109" s="1453">
        <v>9658987.4715</v>
      </c>
      <c r="D109" s="1454"/>
      <c r="E109" s="1453">
        <v>169272380</v>
      </c>
      <c r="F109" s="1453">
        <v>2539085.7000000002</v>
      </c>
      <c r="G109" s="1454"/>
      <c r="H109" s="1453">
        <v>73589919</v>
      </c>
      <c r="I109" s="1453">
        <v>412103.54639999999</v>
      </c>
      <c r="J109" s="1454"/>
      <c r="K109" s="1453">
        <v>428181867</v>
      </c>
      <c r="L109" s="1453">
        <v>2188655.6405000002</v>
      </c>
      <c r="M109" s="755"/>
    </row>
    <row r="110" spans="1:13" ht="12" customHeight="1">
      <c r="A110" s="655" t="s">
        <v>163</v>
      </c>
      <c r="B110" s="1453">
        <v>1136796575</v>
      </c>
      <c r="C110" s="1453">
        <v>44898622.130099997</v>
      </c>
      <c r="D110" s="1454"/>
      <c r="E110" s="1453">
        <v>187688</v>
      </c>
      <c r="F110" s="1453">
        <v>7507.52</v>
      </c>
      <c r="G110" s="1454"/>
      <c r="H110" s="1453">
        <v>0</v>
      </c>
      <c r="I110" s="1453">
        <v>0</v>
      </c>
      <c r="J110" s="1455"/>
      <c r="K110" s="1453">
        <v>437386187</v>
      </c>
      <c r="L110" s="1453">
        <v>3412626.8484</v>
      </c>
      <c r="M110" s="755"/>
    </row>
    <row r="111" spans="1:13" ht="5.15" customHeight="1"/>
    <row r="112" spans="1:13" ht="12.75" customHeight="1">
      <c r="A112" s="672" t="s">
        <v>22</v>
      </c>
      <c r="B112" s="672">
        <f>SUM(B6:B35,B41:B70,B76:B105,B106:B110)</f>
        <v>108007251209.95</v>
      </c>
      <c r="C112" s="672">
        <f t="shared" ref="C112:L112" si="0">SUM(C6:D35,C41:C70,C76:C105,C106:C110)</f>
        <v>3787351979.288599</v>
      </c>
      <c r="D112" s="672">
        <f t="shared" si="0"/>
        <v>2768922642</v>
      </c>
      <c r="E112" s="672">
        <f>SUM(E6:E35,E41:E70,E76:E105,E106:E110)</f>
        <v>8145589309.6700001</v>
      </c>
      <c r="F112" s="672">
        <f t="shared" si="0"/>
        <v>154255032.15160003</v>
      </c>
      <c r="G112" s="672">
        <f t="shared" si="0"/>
        <v>103784045.7</v>
      </c>
      <c r="H112" s="672">
        <f>SUM(H6:H35,H41:H70,H76:H105,H106:H110)</f>
        <v>1450773868.4400001</v>
      </c>
      <c r="I112" s="672">
        <f t="shared" si="0"/>
        <v>15108938.832000004</v>
      </c>
      <c r="J112" s="672">
        <f t="shared" si="0"/>
        <v>15699400256.459999</v>
      </c>
      <c r="K112" s="672">
        <f>SUM(K6:K35,K41:K70,K76:K105,K106:K110)</f>
        <v>42242587777.459999</v>
      </c>
      <c r="L112" s="672">
        <f t="shared" si="0"/>
        <v>347046176.8986001</v>
      </c>
      <c r="M112" s="684"/>
    </row>
    <row r="113" spans="1:13" ht="15" customHeight="1">
      <c r="A113" s="825" t="s">
        <v>845</v>
      </c>
      <c r="B113" s="679"/>
      <c r="C113" s="679"/>
      <c r="D113" s="679"/>
      <c r="E113" s="679"/>
      <c r="F113" s="679"/>
      <c r="G113" s="679"/>
      <c r="H113" s="679"/>
      <c r="I113" s="679"/>
      <c r="J113" s="679"/>
      <c r="K113" s="679"/>
      <c r="L113" s="679"/>
      <c r="M113" s="684"/>
    </row>
    <row r="114" spans="1:13" ht="14.15" customHeight="1">
      <c r="A114" s="944" t="str">
        <f>A2</f>
        <v>Tangible Personal Property, Machinery &amp; Tools, Merchants' Capital, and Public Service Corporations:  Assessed Values &amp; Levies by Locality - Tax Year 2022</v>
      </c>
    </row>
    <row r="115" spans="1:13" ht="5.15" customHeight="1" thickBot="1">
      <c r="A115" s="934"/>
      <c r="D115" s="688"/>
      <c r="E115" s="688"/>
      <c r="F115" s="688"/>
      <c r="G115" s="688"/>
      <c r="H115" s="688"/>
      <c r="I115" s="688"/>
      <c r="J115" s="688"/>
      <c r="K115" s="688"/>
      <c r="L115" s="688"/>
      <c r="M115" s="764"/>
    </row>
    <row r="116" spans="1:13" ht="12.65" customHeight="1">
      <c r="A116" s="943"/>
      <c r="B116" s="945" t="s">
        <v>839</v>
      </c>
      <c r="C116" s="945"/>
      <c r="D116" s="677"/>
      <c r="E116" s="946" t="s">
        <v>840</v>
      </c>
      <c r="F116" s="946"/>
      <c r="G116" s="677"/>
      <c r="H116" s="946" t="s">
        <v>841</v>
      </c>
      <c r="I116" s="946"/>
      <c r="J116" s="677"/>
      <c r="K116" s="946" t="s">
        <v>842</v>
      </c>
      <c r="L116" s="946"/>
      <c r="M116" s="683"/>
    </row>
    <row r="117" spans="1:13" ht="12.65" customHeight="1">
      <c r="A117" s="1329" t="s">
        <v>23</v>
      </c>
      <c r="B117" s="1327" t="s">
        <v>843</v>
      </c>
      <c r="C117" s="1327" t="s">
        <v>844</v>
      </c>
      <c r="D117" s="781"/>
      <c r="E117" s="1327" t="s">
        <v>843</v>
      </c>
      <c r="F117" s="1327" t="s">
        <v>844</v>
      </c>
      <c r="G117" s="781"/>
      <c r="H117" s="1326" t="s">
        <v>843</v>
      </c>
      <c r="I117" s="1326" t="s">
        <v>844</v>
      </c>
      <c r="J117" s="781"/>
      <c r="K117" s="1328" t="s">
        <v>843</v>
      </c>
      <c r="L117" s="1327" t="s">
        <v>844</v>
      </c>
      <c r="M117" s="684"/>
    </row>
    <row r="118" spans="1:13" ht="18" customHeight="1">
      <c r="A118" s="655" t="s">
        <v>168</v>
      </c>
      <c r="B118" s="1457">
        <v>2001284910.8499999</v>
      </c>
      <c r="C118" s="1450">
        <v>89055540.177900001</v>
      </c>
      <c r="D118" s="1452"/>
      <c r="E118" s="1457">
        <v>15754933.890000001</v>
      </c>
      <c r="F118" s="1457">
        <v>708972.02500000002</v>
      </c>
      <c r="G118" s="1450"/>
      <c r="H118" s="1457">
        <v>0</v>
      </c>
      <c r="I118" s="1457">
        <v>0</v>
      </c>
      <c r="J118" s="1450"/>
      <c r="K118" s="1457">
        <v>678740344</v>
      </c>
      <c r="L118" s="1450">
        <v>7574470.5696</v>
      </c>
      <c r="M118" s="755"/>
    </row>
    <row r="119" spans="1:13" ht="11.25" customHeight="1">
      <c r="A119" s="655" t="s">
        <v>170</v>
      </c>
      <c r="B119" s="1452">
        <v>144704541</v>
      </c>
      <c r="C119" s="1452">
        <v>4463788.1679999996</v>
      </c>
      <c r="D119" s="1454"/>
      <c r="E119" s="1452">
        <v>30765540</v>
      </c>
      <c r="F119" s="1452">
        <v>799904.04</v>
      </c>
      <c r="G119" s="1454"/>
      <c r="H119" s="1456">
        <v>0</v>
      </c>
      <c r="I119" s="1455">
        <v>0</v>
      </c>
      <c r="J119" s="1455"/>
      <c r="K119" s="1452">
        <v>19961126</v>
      </c>
      <c r="L119" s="1452">
        <v>223564.61120000001</v>
      </c>
      <c r="M119" s="755"/>
    </row>
    <row r="120" spans="1:13" ht="11.25" customHeight="1">
      <c r="A120" s="655" t="s">
        <v>172</v>
      </c>
      <c r="B120" s="1452">
        <v>43916841</v>
      </c>
      <c r="C120" s="1452">
        <v>2525654.98</v>
      </c>
      <c r="D120" s="1453"/>
      <c r="E120" s="1452">
        <v>10142045</v>
      </c>
      <c r="F120" s="1452">
        <v>431036.88</v>
      </c>
      <c r="G120" s="1453"/>
      <c r="H120" s="1456">
        <v>0</v>
      </c>
      <c r="I120" s="1455">
        <v>0</v>
      </c>
      <c r="J120" s="1455"/>
      <c r="K120" s="1452">
        <v>21056911</v>
      </c>
      <c r="L120" s="1452">
        <v>268014.92349999998</v>
      </c>
      <c r="M120" s="755"/>
    </row>
    <row r="121" spans="1:13" ht="11.25" customHeight="1">
      <c r="A121" s="655" t="s">
        <v>174</v>
      </c>
      <c r="B121" s="1452">
        <v>492574239.52380002</v>
      </c>
      <c r="C121" s="1452">
        <v>20654005.989999998</v>
      </c>
      <c r="D121" s="1454"/>
      <c r="E121" s="1452">
        <v>14455562.857100001</v>
      </c>
      <c r="F121" s="1452">
        <v>607133.64</v>
      </c>
      <c r="G121" s="1453"/>
      <c r="H121" s="1456">
        <v>0</v>
      </c>
      <c r="I121" s="1455">
        <v>0</v>
      </c>
      <c r="J121" s="1455"/>
      <c r="K121" s="1452">
        <v>169112865</v>
      </c>
      <c r="L121" s="1452">
        <v>1630567.1808</v>
      </c>
      <c r="M121" s="755"/>
    </row>
    <row r="122" spans="1:13" ht="11.25" customHeight="1">
      <c r="A122" s="655" t="s">
        <v>119</v>
      </c>
      <c r="B122" s="1452">
        <v>2934886158</v>
      </c>
      <c r="C122" s="1452">
        <v>115104433.2358</v>
      </c>
      <c r="D122" s="1454"/>
      <c r="E122" s="1452">
        <v>103826580</v>
      </c>
      <c r="F122" s="1452">
        <v>3322450.56</v>
      </c>
      <c r="G122" s="1453"/>
      <c r="H122" s="1456">
        <v>0</v>
      </c>
      <c r="I122" s="1455">
        <v>0</v>
      </c>
      <c r="J122" s="1455"/>
      <c r="K122" s="1452">
        <v>1166677967</v>
      </c>
      <c r="L122" s="1452">
        <v>12256407.2367</v>
      </c>
      <c r="M122" s="755"/>
    </row>
    <row r="123" spans="1:13" ht="17.149999999999999" customHeight="1">
      <c r="A123" s="655" t="s">
        <v>121</v>
      </c>
      <c r="B123" s="1452">
        <v>179750299</v>
      </c>
      <c r="C123" s="1452">
        <v>5572259.2690000003</v>
      </c>
      <c r="D123" s="1456"/>
      <c r="E123" s="1452">
        <v>2971553</v>
      </c>
      <c r="F123" s="1452">
        <v>59431.06</v>
      </c>
      <c r="G123" s="1453"/>
      <c r="H123" s="1456">
        <v>0</v>
      </c>
      <c r="I123" s="1455">
        <v>0</v>
      </c>
      <c r="J123" s="1455"/>
      <c r="K123" s="1452">
        <v>35405344</v>
      </c>
      <c r="L123" s="1452">
        <v>424864.12800000003</v>
      </c>
      <c r="M123" s="755"/>
    </row>
    <row r="124" spans="1:13" ht="11.25" customHeight="1">
      <c r="A124" s="655" t="s">
        <v>123</v>
      </c>
      <c r="B124" s="1452">
        <v>77063740</v>
      </c>
      <c r="C124" s="1452">
        <v>2354302.0129999998</v>
      </c>
      <c r="D124" s="1452"/>
      <c r="E124" s="1452">
        <v>150463030</v>
      </c>
      <c r="F124" s="1452">
        <v>4152779.628</v>
      </c>
      <c r="G124" s="1453"/>
      <c r="H124" s="1456">
        <v>0</v>
      </c>
      <c r="I124" s="1455">
        <v>0</v>
      </c>
      <c r="J124" s="1455"/>
      <c r="K124" s="1452">
        <v>252477381</v>
      </c>
      <c r="L124" s="1452">
        <v>2146057.7385</v>
      </c>
      <c r="M124" s="755"/>
    </row>
    <row r="125" spans="1:13" ht="11.25" customHeight="1">
      <c r="A125" s="655" t="s">
        <v>125</v>
      </c>
      <c r="B125" s="1452">
        <v>89855081</v>
      </c>
      <c r="C125" s="1452">
        <v>2881457.841</v>
      </c>
      <c r="D125" s="1452"/>
      <c r="E125" s="1452">
        <v>123154727</v>
      </c>
      <c r="F125" s="1452">
        <v>1847320.905</v>
      </c>
      <c r="G125" s="1453"/>
      <c r="H125" s="1456">
        <v>0</v>
      </c>
      <c r="I125" s="1455">
        <v>0</v>
      </c>
      <c r="J125" s="1455"/>
      <c r="K125" s="1452">
        <v>477650425</v>
      </c>
      <c r="L125" s="1452">
        <v>17195415.300000001</v>
      </c>
      <c r="M125" s="755"/>
    </row>
    <row r="126" spans="1:13" ht="11.25" customHeight="1">
      <c r="A126" s="655" t="s">
        <v>127</v>
      </c>
      <c r="B126" s="1452">
        <v>46859598</v>
      </c>
      <c r="C126" s="1452">
        <v>1889037.06</v>
      </c>
      <c r="D126" s="1452"/>
      <c r="E126" s="1452">
        <v>9318700</v>
      </c>
      <c r="F126" s="1452">
        <v>465935</v>
      </c>
      <c r="G126" s="1453"/>
      <c r="H126" s="1456">
        <v>0</v>
      </c>
      <c r="I126" s="1455">
        <v>0</v>
      </c>
      <c r="J126" s="1455"/>
      <c r="K126" s="1452">
        <v>29010831</v>
      </c>
      <c r="L126" s="1452">
        <v>267406.83</v>
      </c>
      <c r="M126" s="755"/>
    </row>
    <row r="127" spans="1:13" ht="11.25" customHeight="1">
      <c r="A127" s="655" t="s">
        <v>105</v>
      </c>
      <c r="B127" s="1452">
        <v>400209824</v>
      </c>
      <c r="C127" s="1452">
        <v>16495595.9332</v>
      </c>
      <c r="D127" s="1453"/>
      <c r="E127" s="1452">
        <v>931936</v>
      </c>
      <c r="F127" s="1452">
        <v>38488.9568</v>
      </c>
      <c r="G127" s="1453"/>
      <c r="H127" s="1452">
        <v>0</v>
      </c>
      <c r="I127" s="1452">
        <v>0</v>
      </c>
      <c r="J127" s="1453"/>
      <c r="K127" s="1452">
        <v>245063894</v>
      </c>
      <c r="L127" s="1452">
        <v>2957518.7686000001</v>
      </c>
      <c r="M127" s="755"/>
    </row>
    <row r="128" spans="1:13" ht="17.149999999999999" customHeight="1">
      <c r="A128" s="655" t="s">
        <v>1235</v>
      </c>
      <c r="B128" s="1452">
        <v>154942442.69999999</v>
      </c>
      <c r="C128" s="1452">
        <v>6922402.4398999996</v>
      </c>
      <c r="D128" s="1453"/>
      <c r="E128" s="1452">
        <v>0</v>
      </c>
      <c r="F128" s="1452">
        <v>0</v>
      </c>
      <c r="G128" s="1453"/>
      <c r="H128" s="1452">
        <v>0</v>
      </c>
      <c r="I128" s="1452">
        <v>0</v>
      </c>
      <c r="J128" s="1453"/>
      <c r="K128" s="1452">
        <v>0</v>
      </c>
      <c r="L128" s="1452">
        <v>0</v>
      </c>
      <c r="M128" s="755"/>
    </row>
    <row r="129" spans="1:13" ht="11.25" customHeight="1">
      <c r="A129" s="655" t="s">
        <v>703</v>
      </c>
      <c r="B129" s="1452">
        <v>64620240</v>
      </c>
      <c r="C129" s="1452">
        <v>2907074.7</v>
      </c>
      <c r="D129" s="1453"/>
      <c r="E129" s="1452">
        <v>1562641</v>
      </c>
      <c r="F129" s="1452">
        <v>31252.82</v>
      </c>
      <c r="G129" s="1453"/>
      <c r="H129" s="1452">
        <v>0</v>
      </c>
      <c r="I129" s="1452">
        <v>0</v>
      </c>
      <c r="J129" s="1453"/>
      <c r="K129" s="1452">
        <v>6449819</v>
      </c>
      <c r="L129" s="1452">
        <v>66537.83</v>
      </c>
      <c r="M129" s="755"/>
    </row>
    <row r="130" spans="1:13" ht="11.25" customHeight="1">
      <c r="A130" s="655" t="s">
        <v>132</v>
      </c>
      <c r="B130" s="1452">
        <v>517522208</v>
      </c>
      <c r="C130" s="1452">
        <v>15784887.037</v>
      </c>
      <c r="D130" s="1453"/>
      <c r="E130" s="1452">
        <v>17620831</v>
      </c>
      <c r="F130" s="1452">
        <v>140966.64799999999</v>
      </c>
      <c r="G130" s="1453"/>
      <c r="H130" s="1452">
        <v>0</v>
      </c>
      <c r="I130" s="1452">
        <v>0</v>
      </c>
      <c r="J130" s="1453"/>
      <c r="K130" s="1452">
        <v>112879449</v>
      </c>
      <c r="L130" s="1452">
        <v>937004.64249999996</v>
      </c>
      <c r="M130" s="755"/>
    </row>
    <row r="131" spans="1:13" ht="11.25" customHeight="1">
      <c r="A131" s="655" t="s">
        <v>134</v>
      </c>
      <c r="B131" s="1452">
        <v>73958235</v>
      </c>
      <c r="C131" s="1452">
        <v>1652472.075</v>
      </c>
      <c r="D131" s="1452"/>
      <c r="E131" s="1452">
        <v>81089300</v>
      </c>
      <c r="F131" s="1452">
        <v>1297428.8</v>
      </c>
      <c r="G131" s="1452"/>
      <c r="H131" s="1452">
        <v>0</v>
      </c>
      <c r="I131" s="1452">
        <v>0</v>
      </c>
      <c r="J131" s="1452"/>
      <c r="K131" s="1452">
        <v>25455130</v>
      </c>
      <c r="L131" s="1452">
        <v>255791.77499999999</v>
      </c>
      <c r="M131" s="755"/>
    </row>
    <row r="132" spans="1:13" ht="11.25" customHeight="1">
      <c r="A132" s="655" t="s">
        <v>136</v>
      </c>
      <c r="B132" s="1452">
        <v>1380234305</v>
      </c>
      <c r="C132" s="1452">
        <v>57782953.204999998</v>
      </c>
      <c r="D132" s="1453"/>
      <c r="E132" s="1452">
        <v>86963910</v>
      </c>
      <c r="F132" s="1452">
        <v>2894908.585</v>
      </c>
      <c r="G132" s="1453"/>
      <c r="H132" s="1452">
        <v>0</v>
      </c>
      <c r="I132" s="1452">
        <v>0</v>
      </c>
      <c r="J132" s="1453"/>
      <c r="K132" s="1452">
        <v>415624932</v>
      </c>
      <c r="L132" s="1452">
        <v>5165166.2961999997</v>
      </c>
      <c r="M132" s="755"/>
    </row>
    <row r="133" spans="1:13" ht="17.149999999999999" customHeight="1">
      <c r="A133" s="655" t="s">
        <v>811</v>
      </c>
      <c r="B133" s="1452">
        <v>622973842</v>
      </c>
      <c r="C133" s="1452">
        <v>17116652.334399998</v>
      </c>
      <c r="D133" s="1452"/>
      <c r="E133" s="1452">
        <v>138318349</v>
      </c>
      <c r="F133" s="1452">
        <v>2932348.9988000002</v>
      </c>
      <c r="G133" s="1452"/>
      <c r="H133" s="1452">
        <v>0</v>
      </c>
      <c r="I133" s="1452">
        <v>0</v>
      </c>
      <c r="J133" s="1456"/>
      <c r="K133" s="1452">
        <v>64714897</v>
      </c>
      <c r="L133" s="1452">
        <v>603020.21369999996</v>
      </c>
      <c r="M133" s="755"/>
    </row>
    <row r="134" spans="1:13" ht="11.25" customHeight="1">
      <c r="A134" s="655" t="s">
        <v>140</v>
      </c>
      <c r="B134" s="1452">
        <v>217631606</v>
      </c>
      <c r="C134" s="1452">
        <v>7611264.8472999996</v>
      </c>
      <c r="D134" s="1452"/>
      <c r="E134" s="1452">
        <v>297437789</v>
      </c>
      <c r="F134" s="1452">
        <v>9220571.4590000007</v>
      </c>
      <c r="G134" s="1452"/>
      <c r="H134" s="1452">
        <v>0</v>
      </c>
      <c r="I134" s="1452">
        <v>0</v>
      </c>
      <c r="J134" s="1452"/>
      <c r="K134" s="1452">
        <v>368004902</v>
      </c>
      <c r="L134" s="1452">
        <v>4180752.6132999999</v>
      </c>
      <c r="M134" s="755"/>
    </row>
    <row r="135" spans="1:13" ht="11.25" customHeight="1">
      <c r="A135" s="655" t="s">
        <v>812</v>
      </c>
      <c r="B135" s="1452">
        <v>52088873.979999997</v>
      </c>
      <c r="C135" s="1452">
        <v>1983914.48</v>
      </c>
      <c r="D135" s="1452"/>
      <c r="E135" s="1452">
        <v>100339.65</v>
      </c>
      <c r="F135" s="1452">
        <v>4264.24</v>
      </c>
      <c r="G135" s="1452"/>
      <c r="H135" s="1452">
        <v>0</v>
      </c>
      <c r="I135" s="1452">
        <v>0</v>
      </c>
      <c r="J135" s="1452"/>
      <c r="K135" s="1452">
        <v>161189</v>
      </c>
      <c r="L135" s="1452">
        <v>6850.5325000000003</v>
      </c>
      <c r="M135" s="755"/>
    </row>
    <row r="136" spans="1:13" ht="11.25" customHeight="1">
      <c r="A136" s="655" t="s">
        <v>144</v>
      </c>
      <c r="B136" s="1452">
        <v>819396937</v>
      </c>
      <c r="C136" s="1452">
        <v>26291260.164000001</v>
      </c>
      <c r="D136" s="1452"/>
      <c r="E136" s="1452">
        <v>165722794</v>
      </c>
      <c r="F136" s="1452">
        <v>4991044.28</v>
      </c>
      <c r="G136" s="1452"/>
      <c r="H136" s="1452">
        <v>0</v>
      </c>
      <c r="I136" s="1452">
        <v>0</v>
      </c>
      <c r="J136" s="1456"/>
      <c r="K136" s="1452">
        <v>249636007</v>
      </c>
      <c r="L136" s="1452">
        <v>2776743.3122</v>
      </c>
      <c r="M136" s="755"/>
    </row>
    <row r="137" spans="1:13" ht="11.25" customHeight="1">
      <c r="A137" s="655" t="s">
        <v>813</v>
      </c>
      <c r="B137" s="1452">
        <v>603579700</v>
      </c>
      <c r="C137" s="1452">
        <v>21483394.197500002</v>
      </c>
      <c r="D137" s="1452"/>
      <c r="E137" s="1452">
        <v>677699040</v>
      </c>
      <c r="F137" s="1452">
        <v>5575435.4914999995</v>
      </c>
      <c r="G137" s="1452"/>
      <c r="H137" s="1452">
        <v>0</v>
      </c>
      <c r="I137" s="1452">
        <v>0</v>
      </c>
      <c r="J137" s="1456"/>
      <c r="K137" s="1452">
        <v>136092660</v>
      </c>
      <c r="L137" s="1452">
        <v>1944845.7409999999</v>
      </c>
      <c r="M137" s="755"/>
    </row>
    <row r="138" spans="1:13" ht="17.149999999999999" customHeight="1">
      <c r="A138" s="655" t="s">
        <v>1347</v>
      </c>
      <c r="B138" s="1450">
        <v>180522242</v>
      </c>
      <c r="C138" s="1450">
        <v>6314119.7637999998</v>
      </c>
      <c r="D138" s="1451"/>
      <c r="E138" s="1450">
        <v>701010</v>
      </c>
      <c r="F138" s="1450">
        <v>24535.35</v>
      </c>
      <c r="G138" s="1451"/>
      <c r="H138" s="1450">
        <v>0</v>
      </c>
      <c r="I138" s="1450">
        <v>0</v>
      </c>
      <c r="J138" s="1451"/>
      <c r="K138" s="1450">
        <v>39036747</v>
      </c>
      <c r="L138" s="1450">
        <v>605069.57849999995</v>
      </c>
      <c r="M138" s="755"/>
    </row>
    <row r="139" spans="1:13" ht="11.25" customHeight="1">
      <c r="A139" s="655" t="s">
        <v>150</v>
      </c>
      <c r="B139" s="1452">
        <v>146114365</v>
      </c>
      <c r="C139" s="1452">
        <v>3360205.7075</v>
      </c>
      <c r="D139" s="1454"/>
      <c r="E139" s="1452">
        <v>3620087</v>
      </c>
      <c r="F139" s="1452">
        <v>66971.609500000006</v>
      </c>
      <c r="G139" s="1454"/>
      <c r="H139" s="1452">
        <v>0</v>
      </c>
      <c r="I139" s="1452">
        <v>0</v>
      </c>
      <c r="J139" s="1454"/>
      <c r="K139" s="1452">
        <v>28916187</v>
      </c>
      <c r="L139" s="1452">
        <v>305287.95199999999</v>
      </c>
      <c r="M139" s="755"/>
    </row>
    <row r="140" spans="1:13" ht="11.25" customHeight="1">
      <c r="A140" s="655" t="s">
        <v>152</v>
      </c>
      <c r="B140" s="1452">
        <v>1772791396</v>
      </c>
      <c r="C140" s="1452">
        <v>75983522.711600006</v>
      </c>
      <c r="D140" s="1454"/>
      <c r="E140" s="1452">
        <v>707773780</v>
      </c>
      <c r="F140" s="1452">
        <v>26541516.75</v>
      </c>
      <c r="G140" s="1454"/>
      <c r="H140" s="1452">
        <v>0</v>
      </c>
      <c r="I140" s="1452">
        <v>0</v>
      </c>
      <c r="J140" s="1454"/>
      <c r="K140" s="1452">
        <v>365077836.72000003</v>
      </c>
      <c r="L140" s="1452">
        <v>4580453.1727999998</v>
      </c>
      <c r="M140" s="755"/>
    </row>
    <row r="141" spans="1:13" ht="11.25" customHeight="1">
      <c r="A141" s="655" t="s">
        <v>336</v>
      </c>
      <c r="B141" s="1452">
        <v>3388550865</v>
      </c>
      <c r="C141" s="1452">
        <v>142751830.14570001</v>
      </c>
      <c r="D141" s="1453"/>
      <c r="E141" s="1452">
        <v>156086922</v>
      </c>
      <c r="F141" s="1452">
        <v>6633694.1849999996</v>
      </c>
      <c r="G141" s="1453"/>
      <c r="H141" s="1452">
        <v>0</v>
      </c>
      <c r="I141" s="1452">
        <v>0</v>
      </c>
      <c r="J141" s="1453"/>
      <c r="K141" s="1452">
        <v>908627698</v>
      </c>
      <c r="L141" s="1452">
        <v>11388305.022600001</v>
      </c>
      <c r="M141" s="755"/>
    </row>
    <row r="142" spans="1:13" ht="11.25" customHeight="1">
      <c r="A142" s="655" t="s">
        <v>814</v>
      </c>
      <c r="B142" s="1452">
        <v>42808975</v>
      </c>
      <c r="C142" s="1452">
        <v>863874.06700000004</v>
      </c>
      <c r="D142" s="1453"/>
      <c r="E142" s="1452">
        <v>4013967</v>
      </c>
      <c r="F142" s="1452">
        <v>82286.323499999999</v>
      </c>
      <c r="G142" s="1453"/>
      <c r="H142" s="1452">
        <v>0</v>
      </c>
      <c r="I142" s="1452">
        <v>0</v>
      </c>
      <c r="J142" s="1453"/>
      <c r="K142" s="1452">
        <v>35265812</v>
      </c>
      <c r="L142" s="1452">
        <v>317392.30800000002</v>
      </c>
      <c r="M142" s="755"/>
    </row>
    <row r="143" spans="1:13" ht="17.149999999999999" customHeight="1">
      <c r="A143" s="655" t="s">
        <v>344</v>
      </c>
      <c r="B143" s="1452">
        <v>300103795</v>
      </c>
      <c r="C143" s="1452">
        <v>14639658.471999999</v>
      </c>
      <c r="D143" s="1453"/>
      <c r="E143" s="1452">
        <v>44191895</v>
      </c>
      <c r="F143" s="1452">
        <v>1679273.2760000001</v>
      </c>
      <c r="G143" s="1453"/>
      <c r="H143" s="1452">
        <v>0</v>
      </c>
      <c r="I143" s="1452">
        <v>0</v>
      </c>
      <c r="J143" s="1453"/>
      <c r="K143" s="1452">
        <v>341543133</v>
      </c>
      <c r="L143" s="1452">
        <v>2623065.747</v>
      </c>
      <c r="M143" s="755"/>
    </row>
    <row r="144" spans="1:13" ht="11.25" customHeight="1">
      <c r="A144" s="655" t="s">
        <v>1237</v>
      </c>
      <c r="B144" s="1452">
        <v>180912510</v>
      </c>
      <c r="C144" s="1452">
        <v>6350860.0429999996</v>
      </c>
      <c r="D144" s="1453"/>
      <c r="E144" s="1452">
        <v>0</v>
      </c>
      <c r="F144" s="1452">
        <v>0</v>
      </c>
      <c r="G144" s="1453"/>
      <c r="H144" s="1452">
        <v>0</v>
      </c>
      <c r="I144" s="1452">
        <v>0</v>
      </c>
      <c r="J144" s="1453"/>
      <c r="K144" s="1452">
        <v>23089851</v>
      </c>
      <c r="L144" s="1452">
        <v>260915.31630000001</v>
      </c>
      <c r="M144" s="755"/>
    </row>
    <row r="145" spans="1:13" ht="11.25" customHeight="1">
      <c r="A145" s="655" t="s">
        <v>162</v>
      </c>
      <c r="B145" s="1452">
        <v>1034911167</v>
      </c>
      <c r="C145" s="1452">
        <v>50732050.068000004</v>
      </c>
      <c r="D145" s="1453"/>
      <c r="E145" s="1452">
        <v>37644512</v>
      </c>
      <c r="F145" s="1452">
        <v>1129335.3600000001</v>
      </c>
      <c r="G145" s="1453"/>
      <c r="H145" s="1452">
        <v>0</v>
      </c>
      <c r="I145" s="1452">
        <v>0</v>
      </c>
      <c r="J145" s="1453"/>
      <c r="K145" s="1452">
        <v>226434209</v>
      </c>
      <c r="L145" s="1452">
        <v>2981085.7940000002</v>
      </c>
      <c r="M145" s="755"/>
    </row>
    <row r="146" spans="1:13" ht="11.25" customHeight="1">
      <c r="A146" s="655" t="s">
        <v>164</v>
      </c>
      <c r="B146" s="1452">
        <v>103875960</v>
      </c>
      <c r="C146" s="1452">
        <v>2528350.96</v>
      </c>
      <c r="D146" s="1454"/>
      <c r="E146" s="1452">
        <v>21304046</v>
      </c>
      <c r="F146" s="1452">
        <v>374951.2096</v>
      </c>
      <c r="G146" s="1454"/>
      <c r="H146" s="1452">
        <v>0</v>
      </c>
      <c r="I146" s="1452">
        <v>0</v>
      </c>
      <c r="J146" s="1454"/>
      <c r="K146" s="1452">
        <v>26424479</v>
      </c>
      <c r="L146" s="1452">
        <v>221984.48759999999</v>
      </c>
      <c r="M146" s="755"/>
    </row>
    <row r="147" spans="1:13" ht="10.5" customHeight="1">
      <c r="A147" s="655" t="s">
        <v>128</v>
      </c>
      <c r="B147" s="1452">
        <v>2279102136</v>
      </c>
      <c r="C147" s="1452">
        <v>84013668.957000002</v>
      </c>
      <c r="D147" s="1454"/>
      <c r="E147" s="1452">
        <v>646930691</v>
      </c>
      <c r="F147" s="1452">
        <v>14879405.892999999</v>
      </c>
      <c r="G147" s="1454"/>
      <c r="H147" s="1452">
        <v>0</v>
      </c>
      <c r="I147" s="1452">
        <v>0</v>
      </c>
      <c r="J147" s="1454"/>
      <c r="K147" s="1452">
        <v>1092553213</v>
      </c>
      <c r="L147" s="1452">
        <v>13138608.806</v>
      </c>
      <c r="M147" s="755"/>
    </row>
    <row r="148" spans="1:13" ht="17.149999999999999" customHeight="1">
      <c r="A148" s="655" t="s">
        <v>25</v>
      </c>
      <c r="B148" s="1452">
        <v>1406021546</v>
      </c>
      <c r="C148" s="1452">
        <v>47855619.43</v>
      </c>
      <c r="D148" s="1453"/>
      <c r="E148" s="1452">
        <v>97766927</v>
      </c>
      <c r="F148" s="1452">
        <v>3372959.03</v>
      </c>
      <c r="G148" s="1453"/>
      <c r="H148" s="1452">
        <v>0</v>
      </c>
      <c r="I148" s="1452">
        <v>0</v>
      </c>
      <c r="J148" s="1453"/>
      <c r="K148" s="1452">
        <v>483113245</v>
      </c>
      <c r="L148" s="1452">
        <v>5936390.8816</v>
      </c>
      <c r="M148" s="755"/>
    </row>
    <row r="149" spans="1:13" ht="11.25" customHeight="1">
      <c r="A149" s="655" t="s">
        <v>165</v>
      </c>
      <c r="B149" s="1452">
        <v>492542884</v>
      </c>
      <c r="C149" s="1452">
        <v>16721136.602</v>
      </c>
      <c r="D149" s="1453"/>
      <c r="E149" s="1452">
        <v>103243165</v>
      </c>
      <c r="F149" s="1452">
        <v>3303781.28</v>
      </c>
      <c r="G149" s="1453"/>
      <c r="H149" s="1452">
        <v>0</v>
      </c>
      <c r="I149" s="1452">
        <v>0</v>
      </c>
      <c r="J149" s="1453"/>
      <c r="K149" s="1452">
        <v>62248749</v>
      </c>
      <c r="L149" s="1452">
        <v>746984.98800000001</v>
      </c>
      <c r="M149" s="755"/>
    </row>
    <row r="150" spans="1:13" ht="11.25" customHeight="1">
      <c r="A150" s="655" t="s">
        <v>166</v>
      </c>
      <c r="B150" s="1452">
        <v>337250440</v>
      </c>
      <c r="C150" s="1452">
        <v>9779625.3049999997</v>
      </c>
      <c r="D150" s="1453"/>
      <c r="E150" s="1452">
        <v>31314194</v>
      </c>
      <c r="F150" s="1452">
        <v>388296.00559999997</v>
      </c>
      <c r="G150" s="1453"/>
      <c r="H150" s="1452">
        <v>0</v>
      </c>
      <c r="I150" s="1452">
        <v>0</v>
      </c>
      <c r="J150" s="1453"/>
      <c r="K150" s="1452">
        <v>101136798</v>
      </c>
      <c r="L150" s="1452">
        <v>932489.52659999998</v>
      </c>
      <c r="M150" s="755"/>
    </row>
    <row r="151" spans="1:13" ht="11.25" customHeight="1">
      <c r="A151" s="655" t="s">
        <v>167</v>
      </c>
      <c r="B151" s="1452">
        <v>1319564790</v>
      </c>
      <c r="C151" s="1452">
        <v>41799320.159999996</v>
      </c>
      <c r="D151" s="1454"/>
      <c r="E151" s="1452">
        <v>71426500</v>
      </c>
      <c r="F151" s="1452">
        <v>2161692.85</v>
      </c>
      <c r="G151" s="1454"/>
      <c r="H151" s="1452">
        <v>0</v>
      </c>
      <c r="I151" s="1452">
        <v>0</v>
      </c>
      <c r="J151" s="1454"/>
      <c r="K151" s="1452">
        <v>435069538</v>
      </c>
      <c r="L151" s="1452">
        <v>4833477.3052000003</v>
      </c>
      <c r="M151" s="755"/>
    </row>
    <row r="152" spans="1:13" ht="11.25" customHeight="1">
      <c r="A152" s="655" t="s">
        <v>592</v>
      </c>
      <c r="B152" s="1452">
        <v>6726745807</v>
      </c>
      <c r="C152" s="1452">
        <v>235798833.42289999</v>
      </c>
      <c r="D152" s="1454"/>
      <c r="E152" s="1452">
        <v>242600689.74000001</v>
      </c>
      <c r="F152" s="1452">
        <v>0.24260000000000001</v>
      </c>
      <c r="G152" s="1454"/>
      <c r="H152" s="1452">
        <v>0</v>
      </c>
      <c r="I152" s="1452">
        <v>0</v>
      </c>
      <c r="J152" s="1454"/>
      <c r="K152" s="1452">
        <v>1193996259</v>
      </c>
      <c r="L152" s="1452">
        <v>11938744</v>
      </c>
      <c r="M152" s="755"/>
    </row>
    <row r="153" spans="1:13" ht="17.149999999999999" customHeight="1">
      <c r="A153" s="655" t="s">
        <v>169</v>
      </c>
      <c r="B153" s="1452">
        <v>290390477</v>
      </c>
      <c r="C153" s="1452">
        <v>7992608.1579</v>
      </c>
      <c r="D153" s="1454"/>
      <c r="E153" s="1452">
        <v>34418641</v>
      </c>
      <c r="F153" s="1452">
        <v>1118605.8325</v>
      </c>
      <c r="G153" s="1454"/>
      <c r="H153" s="1452">
        <v>0</v>
      </c>
      <c r="I153" s="1452">
        <v>0</v>
      </c>
      <c r="J153" s="1455"/>
      <c r="K153" s="1452">
        <v>113405748</v>
      </c>
      <c r="L153" s="1452">
        <v>1021750.0985</v>
      </c>
      <c r="M153" s="755"/>
    </row>
    <row r="154" spans="1:13" ht="11.25" customHeight="1">
      <c r="A154" s="655" t="s">
        <v>171</v>
      </c>
      <c r="B154" s="1452">
        <v>122555630</v>
      </c>
      <c r="C154" s="1452">
        <v>4271622.5999999996</v>
      </c>
      <c r="D154" s="1453"/>
      <c r="E154" s="1452">
        <v>7200</v>
      </c>
      <c r="F154" s="1452">
        <v>252</v>
      </c>
      <c r="G154" s="1453"/>
      <c r="H154" s="1452">
        <v>0</v>
      </c>
      <c r="I154" s="1452">
        <v>0</v>
      </c>
      <c r="J154" s="1453"/>
      <c r="K154" s="1452">
        <v>60518784</v>
      </c>
      <c r="L154" s="1452">
        <v>375216.4608</v>
      </c>
      <c r="M154" s="755"/>
    </row>
    <row r="155" spans="1:13" ht="11.25" customHeight="1">
      <c r="A155" s="655" t="s">
        <v>173</v>
      </c>
      <c r="B155" s="1452">
        <v>726873569</v>
      </c>
      <c r="C155" s="1452">
        <v>21312785.365499999</v>
      </c>
      <c r="D155" s="1454"/>
      <c r="E155" s="1452">
        <v>120582212</v>
      </c>
      <c r="F155" s="1452">
        <v>1567568.7560000001</v>
      </c>
      <c r="G155" s="1454"/>
      <c r="H155" s="1452">
        <v>0</v>
      </c>
      <c r="I155" s="1452">
        <v>0</v>
      </c>
      <c r="J155" s="1455"/>
      <c r="K155" s="1452">
        <v>86059447</v>
      </c>
      <c r="L155" s="1452">
        <v>801258.47580000001</v>
      </c>
      <c r="M155" s="755"/>
    </row>
    <row r="156" spans="1:13" ht="5.15" customHeight="1">
      <c r="A156" s="671"/>
      <c r="M156" s="761"/>
    </row>
    <row r="157" spans="1:13" s="679" customFormat="1" ht="12" customHeight="1">
      <c r="A157" s="782" t="s">
        <v>27</v>
      </c>
      <c r="B157" s="672">
        <f t="shared" ref="B157:L157" si="1">SUM(B118:B137,B138:B155)</f>
        <v>31769692176.053799</v>
      </c>
      <c r="C157" s="672">
        <f t="shared" si="1"/>
        <v>1193602042.0868998</v>
      </c>
      <c r="D157" s="672">
        <f t="shared" si="1"/>
        <v>0</v>
      </c>
      <c r="E157" s="672">
        <f t="shared" si="1"/>
        <v>4251926040.1371002</v>
      </c>
      <c r="F157" s="672">
        <f t="shared" si="1"/>
        <v>102846799.97039998</v>
      </c>
      <c r="G157" s="672">
        <f t="shared" si="1"/>
        <v>0</v>
      </c>
      <c r="H157" s="672">
        <f t="shared" si="1"/>
        <v>0</v>
      </c>
      <c r="I157" s="672">
        <f t="shared" si="1"/>
        <v>0</v>
      </c>
      <c r="J157" s="672">
        <f t="shared" si="1"/>
        <v>0</v>
      </c>
      <c r="K157" s="672">
        <f t="shared" si="1"/>
        <v>10096693806.720001</v>
      </c>
      <c r="L157" s="672">
        <f t="shared" si="1"/>
        <v>123889480.16459998</v>
      </c>
      <c r="M157" s="762"/>
    </row>
    <row r="158" spans="1:13" s="679" customFormat="1" ht="12" customHeight="1">
      <c r="A158" s="782" t="s">
        <v>22</v>
      </c>
      <c r="B158" s="672">
        <f>B112</f>
        <v>108007251209.95</v>
      </c>
      <c r="C158" s="672">
        <f>C112</f>
        <v>3787351979.288599</v>
      </c>
      <c r="D158" s="672"/>
      <c r="E158" s="672">
        <f>E112</f>
        <v>8145589309.6700001</v>
      </c>
      <c r="F158" s="672">
        <f>F112</f>
        <v>154255032.15160003</v>
      </c>
      <c r="G158" s="672"/>
      <c r="H158" s="672">
        <f>H112</f>
        <v>1450773868.4400001</v>
      </c>
      <c r="I158" s="672">
        <f>I112</f>
        <v>15108938.832000004</v>
      </c>
      <c r="J158" s="672"/>
      <c r="K158" s="672">
        <f>K112</f>
        <v>42242587777.459999</v>
      </c>
      <c r="L158" s="672">
        <f>L112</f>
        <v>347046176.8986001</v>
      </c>
      <c r="M158" s="762"/>
    </row>
    <row r="159" spans="1:13" ht="5.15" customHeight="1">
      <c r="A159" s="671"/>
      <c r="M159" s="761"/>
    </row>
    <row r="160" spans="1:13" ht="12" customHeight="1">
      <c r="A160" s="783" t="s">
        <v>28</v>
      </c>
      <c r="B160" s="672">
        <f>SUM(B157:B159)</f>
        <v>139776943386.00378</v>
      </c>
      <c r="C160" s="672">
        <f>SUM(C157:C159)</f>
        <v>4980954021.3754988</v>
      </c>
      <c r="D160" s="672"/>
      <c r="E160" s="672">
        <f>SUM(E157:E159)</f>
        <v>12397515349.8071</v>
      </c>
      <c r="F160" s="672">
        <f>SUM(F157:F159)</f>
        <v>257101832.12200001</v>
      </c>
      <c r="G160" s="672"/>
      <c r="H160" s="672">
        <f>SUM(H157:H159)</f>
        <v>1450773868.4400001</v>
      </c>
      <c r="I160" s="672">
        <f>SUM(I157:I159)</f>
        <v>15108938.832000004</v>
      </c>
      <c r="J160" s="672"/>
      <c r="K160" s="672">
        <f>SUM(K157:K159)</f>
        <v>52339281584.18</v>
      </c>
      <c r="L160" s="672">
        <f>SUM(L157:L159)</f>
        <v>470935657.06320012</v>
      </c>
      <c r="M160" s="762"/>
    </row>
    <row r="161" spans="1:13" ht="5.15" customHeight="1">
      <c r="A161" s="671"/>
      <c r="B161" s="660"/>
      <c r="C161" s="660"/>
      <c r="D161" s="660"/>
      <c r="E161" s="660"/>
      <c r="F161" s="660"/>
      <c r="G161" s="660"/>
      <c r="H161" s="660"/>
      <c r="I161" s="660"/>
      <c r="J161" s="660"/>
      <c r="K161" s="660"/>
      <c r="L161" s="660"/>
      <c r="M161" s="763"/>
    </row>
    <row r="162" spans="1:13" s="1146" customFormat="1" ht="10" customHeight="1">
      <c r="A162" s="1330" t="s">
        <v>1</v>
      </c>
      <c r="B162" s="1448"/>
      <c r="C162" s="1448"/>
      <c r="D162" s="1448"/>
      <c r="E162" s="1448"/>
      <c r="F162" s="1448"/>
      <c r="G162" s="1448"/>
      <c r="H162" s="1448"/>
      <c r="I162" s="1448"/>
      <c r="J162" s="1448"/>
      <c r="K162" s="1448"/>
      <c r="L162" s="1448"/>
      <c r="M162" s="1154"/>
    </row>
    <row r="163" spans="1:13" s="1140" customFormat="1" ht="10" customHeight="1">
      <c r="A163" s="1322" t="s">
        <v>982</v>
      </c>
      <c r="B163" s="1143"/>
      <c r="C163" s="1143"/>
      <c r="D163" s="1143"/>
      <c r="E163" s="1143"/>
      <c r="F163" s="1143"/>
      <c r="G163" s="1143"/>
      <c r="H163" s="1143"/>
      <c r="I163" s="1143"/>
      <c r="J163" s="1143"/>
      <c r="K163" s="1143"/>
      <c r="L163" s="1143"/>
      <c r="M163" s="1155"/>
    </row>
    <row r="164" spans="1:13" s="1140" customFormat="1" ht="10" customHeight="1">
      <c r="A164" s="1322" t="s">
        <v>1241</v>
      </c>
      <c r="B164" s="1143"/>
      <c r="C164" s="1143"/>
      <c r="D164" s="1143"/>
      <c r="E164" s="1143"/>
      <c r="F164" s="1143"/>
      <c r="G164" s="1143"/>
      <c r="H164" s="1143"/>
      <c r="I164" s="1143"/>
      <c r="J164" s="1143"/>
      <c r="K164" s="1143"/>
      <c r="L164" s="1143"/>
      <c r="M164" s="1155"/>
    </row>
    <row r="165" spans="1:13" s="1140" customFormat="1" ht="10" customHeight="1">
      <c r="A165" s="1322" t="s">
        <v>847</v>
      </c>
      <c r="B165" s="1143"/>
      <c r="C165" s="1143"/>
      <c r="D165" s="1143"/>
      <c r="E165" s="1143"/>
      <c r="F165" s="1143"/>
      <c r="G165" s="1143"/>
      <c r="H165" s="1143"/>
      <c r="I165" s="1143"/>
      <c r="J165" s="1143"/>
      <c r="K165" s="1143"/>
      <c r="L165" s="1143"/>
      <c r="M165" s="1156"/>
    </row>
    <row r="166" spans="1:13" s="1140" customFormat="1" ht="10" customHeight="1">
      <c r="A166" s="1322" t="s">
        <v>948</v>
      </c>
      <c r="B166" s="1143"/>
      <c r="C166" s="1143"/>
      <c r="D166" s="1143"/>
      <c r="E166" s="1143"/>
      <c r="F166" s="1143"/>
      <c r="G166" s="1143"/>
      <c r="H166" s="1143"/>
      <c r="I166" s="1143"/>
      <c r="J166" s="1143"/>
      <c r="K166" s="1143"/>
      <c r="L166" s="1143"/>
      <c r="M166" s="1156"/>
    </row>
    <row r="167" spans="1:13" s="1140" customFormat="1" ht="10" customHeight="1">
      <c r="A167" s="1322" t="s">
        <v>848</v>
      </c>
      <c r="B167" s="1143"/>
      <c r="C167" s="1143"/>
      <c r="D167" s="1143"/>
      <c r="E167" s="1143"/>
      <c r="F167" s="1143"/>
      <c r="G167" s="1143"/>
      <c r="H167" s="1143"/>
      <c r="I167" s="1143"/>
      <c r="J167" s="1143"/>
      <c r="K167" s="1143"/>
      <c r="L167" s="1143"/>
      <c r="M167" s="1156"/>
    </row>
    <row r="168" spans="1:13" s="1140" customFormat="1" ht="10" customHeight="1">
      <c r="A168" s="1322" t="s">
        <v>849</v>
      </c>
      <c r="B168" s="1143"/>
      <c r="C168" s="1143"/>
      <c r="D168" s="1143"/>
      <c r="E168" s="1143"/>
      <c r="F168" s="1143"/>
      <c r="G168" s="1143"/>
      <c r="H168" s="1143"/>
      <c r="I168" s="1143"/>
      <c r="J168" s="1143"/>
      <c r="K168" s="1143"/>
      <c r="L168" s="1143"/>
      <c r="M168" s="1156"/>
    </row>
    <row r="169" spans="1:13" s="1140" customFormat="1" ht="10" customHeight="1">
      <c r="A169" s="1322" t="s">
        <v>850</v>
      </c>
      <c r="B169" s="1143"/>
      <c r="C169" s="1143"/>
      <c r="D169" s="1143"/>
      <c r="E169" s="1143"/>
      <c r="F169" s="1143"/>
      <c r="G169" s="1143"/>
      <c r="H169" s="1143"/>
      <c r="I169" s="1143"/>
      <c r="J169" s="1143"/>
      <c r="K169" s="1143"/>
      <c r="L169" s="1143"/>
      <c r="M169" s="1156"/>
    </row>
    <row r="170" spans="1:13" s="1140" customFormat="1" ht="10" customHeight="1">
      <c r="A170" s="1331" t="s">
        <v>1346</v>
      </c>
      <c r="B170" s="1143"/>
      <c r="C170" s="1143"/>
      <c r="D170" s="1143"/>
      <c r="E170" s="1143"/>
      <c r="F170" s="1143"/>
      <c r="G170" s="1143"/>
      <c r="H170" s="1143"/>
      <c r="I170" s="1143"/>
      <c r="J170" s="1143"/>
      <c r="K170" s="1143"/>
      <c r="L170" s="1143"/>
      <c r="M170" s="1156"/>
    </row>
    <row r="171" spans="1:13" s="1140" customFormat="1" ht="10" customHeight="1">
      <c r="A171" s="1331" t="s">
        <v>1350</v>
      </c>
      <c r="B171" s="1458"/>
      <c r="C171" s="1458"/>
      <c r="D171" s="1458"/>
      <c r="E171" s="1458"/>
      <c r="F171" s="1458"/>
      <c r="G171" s="1458"/>
      <c r="H171" s="1458"/>
      <c r="I171" s="1458"/>
      <c r="J171" s="1458"/>
      <c r="K171" s="1458"/>
      <c r="L171" s="1458"/>
      <c r="M171" s="1157"/>
    </row>
    <row r="172" spans="1:13" s="1146" customFormat="1" ht="10" customHeight="1">
      <c r="A172" s="1145" t="s">
        <v>953</v>
      </c>
      <c r="B172" s="1459"/>
      <c r="C172" s="1459"/>
      <c r="D172" s="1459"/>
      <c r="E172" s="1459"/>
      <c r="F172" s="1459"/>
      <c r="G172" s="1459"/>
      <c r="H172" s="1459"/>
      <c r="I172" s="1459"/>
      <c r="J172" s="1459"/>
      <c r="K172" s="1459"/>
      <c r="L172" s="1459"/>
      <c r="M172" s="1158"/>
    </row>
    <row r="173" spans="1:13">
      <c r="A173" s="757"/>
      <c r="D173" s="661"/>
      <c r="G173" s="661"/>
      <c r="J173" s="661"/>
    </row>
    <row r="174" spans="1:13">
      <c r="A174" s="691"/>
      <c r="D174" s="661"/>
      <c r="G174" s="661"/>
      <c r="J174" s="661"/>
    </row>
    <row r="175" spans="1:13">
      <c r="D175" s="661"/>
      <c r="G175" s="661"/>
      <c r="J175" s="661"/>
    </row>
    <row r="176" spans="1:13">
      <c r="D176" s="661"/>
      <c r="G176" s="661"/>
      <c r="J176" s="661"/>
    </row>
    <row r="178" spans="2:12">
      <c r="D178" s="661"/>
      <c r="G178" s="661"/>
      <c r="J178" s="661"/>
    </row>
    <row r="179" spans="2:12">
      <c r="B179" s="820"/>
      <c r="C179" s="820"/>
      <c r="D179" s="820"/>
      <c r="E179" s="820"/>
      <c r="F179" s="820"/>
      <c r="G179" s="820"/>
      <c r="H179" s="820"/>
      <c r="I179" s="820"/>
      <c r="J179" s="820"/>
      <c r="K179" s="820"/>
      <c r="L179" s="820"/>
    </row>
    <row r="180" spans="2:12">
      <c r="B180" s="820"/>
      <c r="C180" s="820"/>
      <c r="D180" s="820"/>
      <c r="E180" s="820"/>
      <c r="F180" s="820"/>
      <c r="G180" s="820"/>
      <c r="H180" s="820"/>
      <c r="I180" s="820"/>
      <c r="J180" s="820"/>
      <c r="K180" s="820"/>
      <c r="L180" s="820"/>
    </row>
    <row r="181" spans="2:12">
      <c r="B181" s="820"/>
      <c r="C181" s="820"/>
      <c r="D181" s="820"/>
      <c r="E181" s="820"/>
      <c r="F181" s="820"/>
      <c r="G181" s="820"/>
      <c r="H181" s="820"/>
      <c r="I181" s="820"/>
      <c r="J181" s="820"/>
      <c r="K181" s="820"/>
      <c r="L181" s="820"/>
    </row>
    <row r="182" spans="2:12">
      <c r="B182" s="820"/>
      <c r="C182" s="820"/>
      <c r="D182" s="820"/>
      <c r="E182" s="820"/>
      <c r="F182" s="820"/>
      <c r="G182" s="820"/>
      <c r="H182" s="820"/>
      <c r="I182" s="820"/>
      <c r="J182" s="820"/>
      <c r="K182" s="820"/>
      <c r="L182" s="820"/>
    </row>
    <row r="183" spans="2:12">
      <c r="D183" s="661"/>
      <c r="G183" s="661"/>
      <c r="J183" s="661"/>
    </row>
    <row r="184" spans="2:12">
      <c r="D184" s="661"/>
      <c r="G184" s="661"/>
      <c r="J184" s="661"/>
    </row>
  </sheetData>
  <hyperlinks>
    <hyperlink ref="M1" location="TOC!A1" display="Back" xr:uid="{00000000-0004-0000-2200-000000000000}"/>
  </hyperlinks>
  <pageMargins left="0.75" right="0.25" top="0.4" bottom="0.2" header="0.25" footer="0"/>
  <pageSetup scale="83" fitToHeight="5" orientation="landscape" r:id="rId1"/>
  <headerFooter scaleWithDoc="0">
    <oddHeader>&amp;R&amp;P</oddHeader>
  </headerFooter>
  <rowBreaks count="3" manualBreakCount="3">
    <brk id="35" max="15" man="1"/>
    <brk id="70" max="15" man="1"/>
    <brk id="112"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7030A0"/>
  </sheetPr>
  <dimension ref="A1:P226"/>
  <sheetViews>
    <sheetView zoomScale="80" zoomScaleNormal="80" workbookViewId="0">
      <selection activeCell="N59" sqref="N59"/>
    </sheetView>
  </sheetViews>
  <sheetFormatPr defaultColWidth="10.81640625" defaultRowHeight="11.5"/>
  <cols>
    <col min="1" max="1" width="13.7265625" style="712" customWidth="1"/>
    <col min="2" max="2" width="19.1796875" style="715" bestFit="1" customWidth="1"/>
    <col min="3" max="3" width="0.81640625" style="712" customWidth="1"/>
    <col min="4" max="4" width="17.26953125" style="715" bestFit="1" customWidth="1"/>
    <col min="5" max="5" width="1.54296875" style="712" customWidth="1"/>
    <col min="6" max="6" width="14.453125" style="715" customWidth="1"/>
    <col min="7" max="7" width="0.81640625" style="712" customWidth="1"/>
    <col min="8" max="8" width="12" style="715" customWidth="1"/>
    <col min="9" max="9" width="0.7265625" style="712" customWidth="1"/>
    <col min="10" max="10" width="13.453125" style="715" customWidth="1"/>
    <col min="11" max="11" width="0.81640625" style="712" customWidth="1"/>
    <col min="12" max="12" width="11" style="715" customWidth="1"/>
    <col min="13" max="13" width="1.54296875" style="712" customWidth="1"/>
    <col min="14" max="14" width="14.453125" style="715" customWidth="1"/>
    <col min="15" max="15" width="0.81640625" style="712" customWidth="1"/>
    <col min="16" max="16" width="15.26953125" style="715" bestFit="1" customWidth="1"/>
    <col min="17" max="16384" width="10.81640625" style="655"/>
  </cols>
  <sheetData>
    <row r="1" spans="1:16" s="669" customFormat="1" ht="14">
      <c r="A1" s="711" t="s">
        <v>837</v>
      </c>
      <c r="B1" s="737"/>
      <c r="C1" s="723"/>
      <c r="D1" s="737"/>
      <c r="E1" s="723"/>
      <c r="F1" s="737"/>
      <c r="G1" s="723"/>
      <c r="H1" s="737"/>
      <c r="I1" s="723"/>
      <c r="J1" s="737"/>
      <c r="K1" s="723"/>
      <c r="L1" s="737"/>
      <c r="M1" s="723"/>
      <c r="N1" s="737"/>
      <c r="O1" s="723"/>
      <c r="P1" s="737"/>
    </row>
    <row r="2" spans="1:16" s="669" customFormat="1" ht="13">
      <c r="A2" s="738" t="s">
        <v>838</v>
      </c>
      <c r="B2" s="739"/>
      <c r="C2" s="739"/>
      <c r="D2" s="739"/>
      <c r="E2" s="739"/>
      <c r="F2" s="739"/>
      <c r="G2" s="739"/>
      <c r="H2" s="739"/>
      <c r="I2" s="739"/>
      <c r="J2" s="739"/>
      <c r="K2" s="739"/>
      <c r="L2" s="739"/>
      <c r="M2" s="739"/>
      <c r="N2" s="739"/>
      <c r="O2" s="739"/>
      <c r="P2" s="739"/>
    </row>
    <row r="3" spans="1:16" ht="13">
      <c r="A3" s="738" t="s">
        <v>879</v>
      </c>
      <c r="B3" s="739"/>
      <c r="C3" s="739"/>
      <c r="D3" s="739"/>
      <c r="E3" s="739"/>
      <c r="F3" s="739"/>
      <c r="G3" s="739"/>
      <c r="H3" s="739"/>
      <c r="I3" s="739"/>
      <c r="J3" s="739"/>
      <c r="K3" s="739"/>
      <c r="L3" s="739"/>
      <c r="M3" s="739"/>
      <c r="N3" s="739"/>
      <c r="O3" s="739"/>
      <c r="P3" s="739"/>
    </row>
    <row r="4" spans="1:16" ht="11.25" customHeight="1" thickBot="1">
      <c r="A4" s="713"/>
      <c r="B4" s="713"/>
      <c r="C4" s="713"/>
      <c r="D4" s="713"/>
      <c r="E4" s="713"/>
      <c r="F4" s="713"/>
      <c r="G4" s="713"/>
      <c r="H4" s="713"/>
      <c r="I4" s="713"/>
      <c r="J4" s="713"/>
      <c r="K4" s="713"/>
      <c r="L4" s="713"/>
      <c r="M4" s="713"/>
      <c r="N4" s="713"/>
      <c r="O4" s="713"/>
      <c r="P4" s="713"/>
    </row>
    <row r="5" spans="1:16" ht="14.25" customHeight="1">
      <c r="A5" s="723"/>
      <c r="B5" s="1649" t="s">
        <v>839</v>
      </c>
      <c r="C5" s="1649"/>
      <c r="D5" s="1649"/>
      <c r="E5" s="723"/>
      <c r="F5" s="1649" t="s">
        <v>840</v>
      </c>
      <c r="G5" s="1649"/>
      <c r="H5" s="1649"/>
      <c r="I5" s="723"/>
      <c r="J5" s="1649" t="s">
        <v>841</v>
      </c>
      <c r="K5" s="1649"/>
      <c r="L5" s="1649"/>
      <c r="M5" s="723"/>
      <c r="N5" s="1649" t="s">
        <v>842</v>
      </c>
      <c r="O5" s="1649"/>
      <c r="P5" s="1649"/>
    </row>
    <row r="6" spans="1:16" ht="12" customHeight="1">
      <c r="A6" s="740" t="s">
        <v>21</v>
      </c>
      <c r="B6" s="741" t="s">
        <v>843</v>
      </c>
      <c r="C6" s="740"/>
      <c r="D6" s="741" t="s">
        <v>844</v>
      </c>
      <c r="E6" s="714"/>
      <c r="F6" s="741" t="s">
        <v>843</v>
      </c>
      <c r="G6" s="714"/>
      <c r="H6" s="741" t="s">
        <v>844</v>
      </c>
      <c r="I6" s="714"/>
      <c r="J6" s="741" t="s">
        <v>843</v>
      </c>
      <c r="K6" s="714"/>
      <c r="L6" s="741" t="s">
        <v>844</v>
      </c>
      <c r="M6" s="714"/>
      <c r="N6" s="741" t="s">
        <v>843</v>
      </c>
      <c r="O6" s="714"/>
      <c r="P6" s="741" t="s">
        <v>844</v>
      </c>
    </row>
    <row r="7" spans="1:16" ht="8.25" customHeight="1"/>
    <row r="8" spans="1:16" ht="12" customHeight="1">
      <c r="A8" s="712" t="s">
        <v>50</v>
      </c>
      <c r="B8" s="742">
        <v>375448134</v>
      </c>
      <c r="C8" s="743"/>
      <c r="D8" s="742">
        <v>11880295</v>
      </c>
      <c r="E8" s="743"/>
      <c r="F8" s="742">
        <v>23821929</v>
      </c>
      <c r="G8" s="743"/>
      <c r="H8" s="742">
        <v>886703</v>
      </c>
      <c r="I8" s="743"/>
      <c r="J8" s="742">
        <v>0</v>
      </c>
      <c r="K8" s="743"/>
      <c r="L8" s="742">
        <v>0</v>
      </c>
      <c r="M8" s="743"/>
      <c r="N8" s="742">
        <v>462414985</v>
      </c>
      <c r="O8" s="743"/>
      <c r="P8" s="742">
        <v>2867116</v>
      </c>
    </row>
    <row r="9" spans="1:16" ht="12" customHeight="1">
      <c r="A9" s="712" t="s">
        <v>52</v>
      </c>
      <c r="B9" s="744">
        <v>1212930334.5</v>
      </c>
      <c r="C9" s="745"/>
      <c r="D9" s="744">
        <v>47404517.059999995</v>
      </c>
      <c r="E9" s="745"/>
      <c r="F9" s="744">
        <v>18476311</v>
      </c>
      <c r="G9" s="745"/>
      <c r="H9" s="744">
        <v>790786.12</v>
      </c>
      <c r="I9" s="745"/>
      <c r="J9" s="744">
        <v>0</v>
      </c>
      <c r="K9" s="745"/>
      <c r="L9" s="744">
        <v>0</v>
      </c>
      <c r="M9" s="745"/>
      <c r="N9" s="744">
        <v>460969187.5</v>
      </c>
      <c r="O9" s="745"/>
      <c r="P9" s="744">
        <v>3960449.14</v>
      </c>
    </row>
    <row r="10" spans="1:16" ht="12" customHeight="1">
      <c r="A10" s="712" t="s">
        <v>54</v>
      </c>
      <c r="B10" s="744">
        <v>144692925</v>
      </c>
      <c r="C10" s="745"/>
      <c r="D10" s="744">
        <v>4244428.41</v>
      </c>
      <c r="E10" s="745"/>
      <c r="F10" s="744">
        <v>185257582</v>
      </c>
      <c r="G10" s="745"/>
      <c r="H10" s="744">
        <v>5520675.9500000002</v>
      </c>
      <c r="I10" s="745"/>
      <c r="J10" s="744">
        <v>0</v>
      </c>
      <c r="K10" s="745"/>
      <c r="L10" s="744">
        <v>0</v>
      </c>
      <c r="M10" s="745"/>
      <c r="N10" s="744">
        <v>190132613</v>
      </c>
      <c r="O10" s="745"/>
      <c r="P10" s="744">
        <v>1389172.49</v>
      </c>
    </row>
    <row r="11" spans="1:16" ht="12" customHeight="1">
      <c r="A11" s="712" t="s">
        <v>56</v>
      </c>
      <c r="B11" s="744">
        <v>103033872</v>
      </c>
      <c r="C11" s="745"/>
      <c r="D11" s="744">
        <v>4144563.0589999999</v>
      </c>
      <c r="E11" s="745"/>
      <c r="F11" s="744">
        <v>6391875</v>
      </c>
      <c r="G11" s="745"/>
      <c r="H11" s="744">
        <v>63918.75</v>
      </c>
      <c r="I11" s="745"/>
      <c r="J11" s="744">
        <v>0</v>
      </c>
      <c r="K11" s="745"/>
      <c r="L11" s="744">
        <v>0</v>
      </c>
      <c r="M11" s="745"/>
      <c r="N11" s="744">
        <v>59148370</v>
      </c>
      <c r="O11" s="745"/>
      <c r="P11" s="744">
        <v>288391.74</v>
      </c>
    </row>
    <row r="12" spans="1:16" ht="12" customHeight="1">
      <c r="A12" s="712" t="s">
        <v>58</v>
      </c>
      <c r="B12" s="744">
        <v>280615933</v>
      </c>
      <c r="C12" s="745"/>
      <c r="D12" s="744">
        <v>9338390.6799999997</v>
      </c>
      <c r="E12" s="745"/>
      <c r="F12" s="744">
        <v>106547800</v>
      </c>
      <c r="G12" s="745"/>
      <c r="H12" s="744">
        <v>2130956</v>
      </c>
      <c r="I12" s="745"/>
      <c r="J12" s="744">
        <v>8391240</v>
      </c>
      <c r="K12" s="745"/>
      <c r="L12" s="744">
        <v>331453.98</v>
      </c>
      <c r="M12" s="745"/>
      <c r="N12" s="744">
        <v>114637911</v>
      </c>
      <c r="O12" s="745"/>
      <c r="P12" s="744">
        <v>699404.97</v>
      </c>
    </row>
    <row r="13" spans="1:16" ht="8.25" customHeight="1">
      <c r="B13" s="744"/>
      <c r="C13" s="745"/>
      <c r="D13" s="744"/>
      <c r="E13" s="745"/>
      <c r="F13" s="744"/>
      <c r="G13" s="745"/>
      <c r="H13" s="744"/>
      <c r="I13" s="745"/>
      <c r="J13" s="744"/>
      <c r="K13" s="745"/>
      <c r="L13" s="744"/>
      <c r="M13" s="745"/>
      <c r="N13" s="744"/>
      <c r="O13" s="745"/>
      <c r="P13" s="744"/>
    </row>
    <row r="14" spans="1:16" ht="12" customHeight="1">
      <c r="A14" s="712" t="s">
        <v>60</v>
      </c>
      <c r="B14" s="744">
        <v>155789121</v>
      </c>
      <c r="C14" s="745"/>
      <c r="D14" s="744">
        <v>4978028.7300000004</v>
      </c>
      <c r="E14" s="745"/>
      <c r="F14" s="744">
        <v>2768153</v>
      </c>
      <c r="G14" s="745"/>
      <c r="H14" s="744">
        <v>92733.14</v>
      </c>
      <c r="I14" s="745"/>
      <c r="J14" s="744">
        <v>13954156</v>
      </c>
      <c r="K14" s="745"/>
      <c r="L14" s="744">
        <v>139541.56</v>
      </c>
      <c r="M14" s="745"/>
      <c r="N14" s="744">
        <v>122205825</v>
      </c>
      <c r="O14" s="745"/>
      <c r="P14" s="744">
        <v>816687.71</v>
      </c>
    </row>
    <row r="15" spans="1:16" ht="12" customHeight="1">
      <c r="A15" s="712" t="s">
        <v>891</v>
      </c>
      <c r="B15" s="744">
        <v>176265400</v>
      </c>
      <c r="C15" s="745"/>
      <c r="D15" s="744">
        <v>202881.4754</v>
      </c>
      <c r="E15" s="745"/>
      <c r="F15" s="744">
        <v>0</v>
      </c>
      <c r="G15" s="745"/>
      <c r="H15" s="744">
        <v>0</v>
      </c>
      <c r="I15" s="745"/>
      <c r="J15" s="744">
        <v>0</v>
      </c>
      <c r="K15" s="745"/>
      <c r="L15" s="744">
        <v>0</v>
      </c>
      <c r="M15" s="745"/>
      <c r="N15" s="744">
        <v>0</v>
      </c>
      <c r="O15" s="745"/>
      <c r="P15" s="744">
        <v>0</v>
      </c>
    </row>
    <row r="16" spans="1:16" ht="12" customHeight="1">
      <c r="A16" s="712" t="s">
        <v>64</v>
      </c>
      <c r="B16" s="744">
        <v>757708190</v>
      </c>
      <c r="C16" s="745"/>
      <c r="D16" s="744">
        <v>17719021.600000001</v>
      </c>
      <c r="E16" s="745"/>
      <c r="F16" s="744">
        <v>233718440</v>
      </c>
      <c r="G16" s="745"/>
      <c r="H16" s="744">
        <v>4674368.8</v>
      </c>
      <c r="I16" s="745"/>
      <c r="J16" s="744">
        <v>0</v>
      </c>
      <c r="K16" s="745"/>
      <c r="L16" s="744">
        <v>0</v>
      </c>
      <c r="M16" s="745"/>
      <c r="N16" s="744">
        <v>452604820</v>
      </c>
      <c r="O16" s="745"/>
      <c r="P16" s="744">
        <v>2866800.5349999997</v>
      </c>
    </row>
    <row r="17" spans="1:16" ht="12" customHeight="1">
      <c r="A17" s="712" t="s">
        <v>66</v>
      </c>
      <c r="B17" s="744">
        <v>62539400</v>
      </c>
      <c r="C17" s="745"/>
      <c r="D17" s="744">
        <v>219127.45</v>
      </c>
      <c r="E17" s="745"/>
      <c r="F17" s="744">
        <v>4911200</v>
      </c>
      <c r="G17" s="745"/>
      <c r="H17" s="744">
        <v>17189.2</v>
      </c>
      <c r="I17" s="745"/>
      <c r="J17" s="744">
        <v>0</v>
      </c>
      <c r="K17" s="745"/>
      <c r="L17" s="744">
        <v>0</v>
      </c>
      <c r="M17" s="745"/>
      <c r="N17" s="744">
        <v>1385637012</v>
      </c>
      <c r="O17" s="745"/>
      <c r="P17" s="744">
        <v>6926429.4000000004</v>
      </c>
    </row>
    <row r="18" spans="1:16" ht="12" customHeight="1">
      <c r="A18" s="712" t="s">
        <v>809</v>
      </c>
      <c r="B18" s="744">
        <v>1050347399</v>
      </c>
      <c r="C18" s="745"/>
      <c r="D18" s="744">
        <v>23365557</v>
      </c>
      <c r="E18" s="745"/>
      <c r="F18" s="744">
        <v>338140901</v>
      </c>
      <c r="G18" s="745"/>
      <c r="H18" s="744">
        <v>4057690</v>
      </c>
      <c r="I18" s="745"/>
      <c r="J18" s="744">
        <v>0</v>
      </c>
      <c r="K18" s="745"/>
      <c r="L18" s="744">
        <v>0</v>
      </c>
      <c r="M18" s="745"/>
      <c r="N18" s="744">
        <v>338030874</v>
      </c>
      <c r="O18" s="745"/>
      <c r="P18" s="744">
        <v>1691680</v>
      </c>
    </row>
    <row r="19" spans="1:16" ht="8.25" customHeight="1">
      <c r="B19" s="744"/>
      <c r="C19" s="746"/>
      <c r="D19" s="744"/>
      <c r="E19" s="746"/>
      <c r="F19" s="744"/>
      <c r="G19" s="746"/>
      <c r="H19" s="744"/>
      <c r="I19" s="746"/>
      <c r="J19" s="744"/>
      <c r="K19" s="746"/>
      <c r="L19" s="744"/>
      <c r="M19" s="746"/>
      <c r="N19" s="744"/>
      <c r="O19" s="746"/>
      <c r="P19" s="744"/>
    </row>
    <row r="20" spans="1:16" ht="12" customHeight="1">
      <c r="A20" s="712" t="s">
        <v>69</v>
      </c>
      <c r="B20" s="744">
        <v>73336876</v>
      </c>
      <c r="C20" s="745"/>
      <c r="D20" s="744">
        <v>1613173.94</v>
      </c>
      <c r="E20" s="745"/>
      <c r="F20" s="744">
        <v>28110787</v>
      </c>
      <c r="G20" s="745"/>
      <c r="H20" s="744">
        <v>250186.02</v>
      </c>
      <c r="I20" s="745"/>
      <c r="J20" s="744">
        <v>22753443</v>
      </c>
      <c r="K20" s="745"/>
      <c r="L20" s="744">
        <v>166100.17000000001</v>
      </c>
      <c r="M20" s="745"/>
      <c r="N20" s="744">
        <v>99214574</v>
      </c>
      <c r="O20" s="745"/>
      <c r="P20" s="744">
        <v>595287.44999999995</v>
      </c>
    </row>
    <row r="21" spans="1:16" ht="12" customHeight="1">
      <c r="A21" s="712" t="s">
        <v>71</v>
      </c>
      <c r="B21" s="744">
        <v>356839104</v>
      </c>
      <c r="C21" s="745"/>
      <c r="D21" s="744">
        <v>9545365.1711999997</v>
      </c>
      <c r="E21" s="745"/>
      <c r="F21" s="744">
        <v>246466871</v>
      </c>
      <c r="G21" s="745"/>
      <c r="H21" s="744">
        <v>4436403.6780000003</v>
      </c>
      <c r="I21" s="745"/>
      <c r="J21" s="744">
        <v>0</v>
      </c>
      <c r="K21" s="745"/>
      <c r="L21" s="744">
        <v>0</v>
      </c>
      <c r="M21" s="745"/>
      <c r="N21" s="744">
        <v>394237249</v>
      </c>
      <c r="O21" s="745"/>
      <c r="P21" s="744">
        <v>3119289.5887000002</v>
      </c>
    </row>
    <row r="22" spans="1:16" ht="12" customHeight="1">
      <c r="A22" s="712" t="s">
        <v>73</v>
      </c>
      <c r="B22" s="744">
        <v>128117385</v>
      </c>
      <c r="C22" s="745"/>
      <c r="D22" s="744">
        <v>4442601.3899999997</v>
      </c>
      <c r="E22" s="745"/>
      <c r="F22" s="744">
        <v>19495420</v>
      </c>
      <c r="G22" s="745"/>
      <c r="H22" s="744">
        <v>662844.28</v>
      </c>
      <c r="I22" s="745"/>
      <c r="J22" s="744">
        <v>0</v>
      </c>
      <c r="K22" s="745"/>
      <c r="L22" s="744">
        <v>0</v>
      </c>
      <c r="M22" s="745"/>
      <c r="N22" s="744">
        <v>1024761593</v>
      </c>
      <c r="O22" s="745"/>
      <c r="P22" s="744">
        <v>5431695.1799999997</v>
      </c>
    </row>
    <row r="23" spans="1:16" ht="12" customHeight="1">
      <c r="A23" s="712" t="s">
        <v>75</v>
      </c>
      <c r="B23" s="744">
        <v>238229628</v>
      </c>
      <c r="C23" s="745"/>
      <c r="D23" s="744">
        <v>4384867.6871999996</v>
      </c>
      <c r="E23" s="745"/>
      <c r="F23" s="744">
        <v>271126122</v>
      </c>
      <c r="G23" s="745"/>
      <c r="H23" s="744">
        <v>670696.37699999998</v>
      </c>
      <c r="I23" s="745"/>
      <c r="J23" s="744">
        <v>3602843</v>
      </c>
      <c r="K23" s="745"/>
      <c r="L23" s="744">
        <v>72056.86</v>
      </c>
      <c r="M23" s="745"/>
      <c r="N23" s="744">
        <v>158170042</v>
      </c>
      <c r="O23" s="745"/>
      <c r="P23" s="744">
        <v>620560.62589999998</v>
      </c>
    </row>
    <row r="24" spans="1:16" ht="12" customHeight="1">
      <c r="A24" s="712" t="s">
        <v>77</v>
      </c>
      <c r="B24" s="744">
        <v>118984597</v>
      </c>
      <c r="C24" s="745"/>
      <c r="D24" s="744">
        <v>4470429.82</v>
      </c>
      <c r="E24" s="745"/>
      <c r="F24" s="744">
        <v>9010020</v>
      </c>
      <c r="G24" s="745"/>
      <c r="H24" s="744">
        <v>261290.58</v>
      </c>
      <c r="I24" s="745"/>
      <c r="J24" s="744">
        <v>18530910</v>
      </c>
      <c r="K24" s="745"/>
      <c r="L24" s="744">
        <v>185309.1</v>
      </c>
      <c r="M24" s="745"/>
      <c r="N24" s="744">
        <v>610816192</v>
      </c>
      <c r="O24" s="745"/>
      <c r="P24" s="744">
        <v>3361203.29</v>
      </c>
    </row>
    <row r="25" spans="1:16" ht="8.25" customHeight="1">
      <c r="B25" s="744"/>
      <c r="C25" s="745"/>
      <c r="D25" s="744"/>
      <c r="E25" s="745"/>
      <c r="F25" s="744"/>
      <c r="G25" s="745"/>
      <c r="H25" s="744"/>
      <c r="I25" s="745"/>
      <c r="J25" s="744"/>
      <c r="K25" s="745"/>
      <c r="L25" s="744"/>
      <c r="M25" s="745"/>
      <c r="N25" s="744"/>
      <c r="O25" s="745"/>
      <c r="P25" s="744"/>
    </row>
    <row r="26" spans="1:16" ht="12" customHeight="1">
      <c r="A26" s="712" t="s">
        <v>79</v>
      </c>
      <c r="B26" s="744">
        <v>404157393</v>
      </c>
      <c r="C26" s="745"/>
      <c r="D26" s="744">
        <v>16408017.509999998</v>
      </c>
      <c r="E26" s="745"/>
      <c r="F26" s="744">
        <v>189522060</v>
      </c>
      <c r="G26" s="745"/>
      <c r="H26" s="744">
        <v>6159467</v>
      </c>
      <c r="I26" s="745"/>
      <c r="J26" s="744">
        <v>0</v>
      </c>
      <c r="K26" s="745"/>
      <c r="L26" s="744">
        <v>0</v>
      </c>
      <c r="M26" s="745"/>
      <c r="N26" s="744">
        <v>412378444</v>
      </c>
      <c r="O26" s="745"/>
      <c r="P26" s="744">
        <v>2184958.5300000003</v>
      </c>
    </row>
    <row r="27" spans="1:16" ht="12" customHeight="1">
      <c r="A27" s="712" t="s">
        <v>81</v>
      </c>
      <c r="B27" s="744">
        <v>337038736</v>
      </c>
      <c r="C27" s="745"/>
      <c r="D27" s="744">
        <v>12598383.004999999</v>
      </c>
      <c r="E27" s="745"/>
      <c r="F27" s="744">
        <v>7735500</v>
      </c>
      <c r="G27" s="745"/>
      <c r="H27" s="744">
        <v>270742.5</v>
      </c>
      <c r="I27" s="745"/>
      <c r="J27" s="744">
        <v>0</v>
      </c>
      <c r="K27" s="745"/>
      <c r="L27" s="744">
        <v>0</v>
      </c>
      <c r="M27" s="745"/>
      <c r="N27" s="744">
        <v>418038530</v>
      </c>
      <c r="O27" s="745"/>
      <c r="P27" s="744">
        <v>3550869.6732999999</v>
      </c>
    </row>
    <row r="28" spans="1:16" ht="12" customHeight="1">
      <c r="A28" s="712" t="s">
        <v>83</v>
      </c>
      <c r="B28" s="744">
        <v>297040170</v>
      </c>
      <c r="C28" s="745"/>
      <c r="D28" s="744">
        <v>5636949.0999999996</v>
      </c>
      <c r="E28" s="745"/>
      <c r="F28" s="744">
        <v>55356480</v>
      </c>
      <c r="G28" s="745"/>
      <c r="H28" s="744">
        <v>968738.61</v>
      </c>
      <c r="I28" s="745"/>
      <c r="J28" s="744">
        <v>33517105</v>
      </c>
      <c r="K28" s="745"/>
      <c r="L28" s="744">
        <v>231268.18</v>
      </c>
      <c r="M28" s="745"/>
      <c r="N28" s="744">
        <v>137102552</v>
      </c>
      <c r="O28" s="745"/>
      <c r="P28" s="744">
        <v>959536.69000000006</v>
      </c>
    </row>
    <row r="29" spans="1:16" ht="12" customHeight="1">
      <c r="A29" s="712" t="s">
        <v>85</v>
      </c>
      <c r="B29" s="744">
        <v>90537583</v>
      </c>
      <c r="C29" s="745"/>
      <c r="D29" s="744">
        <v>3343862.58</v>
      </c>
      <c r="E29" s="745"/>
      <c r="F29" s="744">
        <v>6846927</v>
      </c>
      <c r="G29" s="745"/>
      <c r="H29" s="744">
        <v>205407.81</v>
      </c>
      <c r="I29" s="745"/>
      <c r="J29" s="744">
        <v>630926</v>
      </c>
      <c r="K29" s="745"/>
      <c r="L29" s="744">
        <v>17665.928</v>
      </c>
      <c r="M29" s="745"/>
      <c r="N29" s="744">
        <v>159541859</v>
      </c>
      <c r="O29" s="745"/>
      <c r="P29" s="744">
        <v>1212518.1284</v>
      </c>
    </row>
    <row r="30" spans="1:16" ht="12" customHeight="1">
      <c r="A30" s="712" t="s">
        <v>87</v>
      </c>
      <c r="B30" s="744">
        <v>112073326.40000001</v>
      </c>
      <c r="C30" s="745"/>
      <c r="D30" s="744">
        <v>4289863.9290999994</v>
      </c>
      <c r="E30" s="745"/>
      <c r="F30" s="744">
        <v>18046727.809999999</v>
      </c>
      <c r="G30" s="745"/>
      <c r="H30" s="744">
        <v>541401.83429999987</v>
      </c>
      <c r="I30" s="745"/>
      <c r="J30" s="744">
        <v>0</v>
      </c>
      <c r="K30" s="745"/>
      <c r="L30" s="744">
        <v>0</v>
      </c>
      <c r="M30" s="745"/>
      <c r="N30" s="744">
        <v>94277236</v>
      </c>
      <c r="O30" s="745"/>
      <c r="P30" s="744">
        <v>584518.86320000002</v>
      </c>
    </row>
    <row r="31" spans="1:16" ht="8.25" customHeight="1">
      <c r="B31" s="744"/>
      <c r="C31" s="746"/>
      <c r="D31" s="744"/>
      <c r="E31" s="746"/>
      <c r="F31" s="744"/>
      <c r="G31" s="746"/>
      <c r="H31" s="744"/>
      <c r="I31" s="746"/>
      <c r="J31" s="744"/>
      <c r="K31" s="746"/>
      <c r="L31" s="744"/>
      <c r="M31" s="746"/>
      <c r="N31" s="744"/>
      <c r="O31" s="746"/>
      <c r="P31" s="744"/>
    </row>
    <row r="32" spans="1:16" ht="12" customHeight="1">
      <c r="A32" s="712" t="s">
        <v>89</v>
      </c>
      <c r="B32" s="744">
        <v>4468795582</v>
      </c>
      <c r="C32" s="745"/>
      <c r="D32" s="744">
        <v>90912879.810000002</v>
      </c>
      <c r="E32" s="745"/>
      <c r="F32" s="744">
        <v>530677724</v>
      </c>
      <c r="G32" s="745"/>
      <c r="H32" s="744">
        <v>5306778</v>
      </c>
      <c r="I32" s="745"/>
      <c r="J32" s="744">
        <v>0</v>
      </c>
      <c r="K32" s="745"/>
      <c r="L32" s="744">
        <v>0</v>
      </c>
      <c r="M32" s="745"/>
      <c r="N32" s="744">
        <v>1774760170</v>
      </c>
      <c r="O32" s="745"/>
      <c r="P32" s="744">
        <v>16853607</v>
      </c>
    </row>
    <row r="33" spans="1:16" ht="12" customHeight="1">
      <c r="A33" s="712" t="s">
        <v>91</v>
      </c>
      <c r="B33" s="744">
        <v>181519679</v>
      </c>
      <c r="C33" s="745"/>
      <c r="D33" s="744">
        <v>8154942.2298400002</v>
      </c>
      <c r="E33" s="745"/>
      <c r="F33" s="744">
        <v>13206507</v>
      </c>
      <c r="G33" s="745"/>
      <c r="H33" s="744">
        <v>165081.33749999999</v>
      </c>
      <c r="I33" s="745"/>
      <c r="J33" s="744">
        <v>0</v>
      </c>
      <c r="K33" s="745"/>
      <c r="L33" s="744">
        <v>0</v>
      </c>
      <c r="M33" s="745"/>
      <c r="N33" s="744">
        <v>67952264</v>
      </c>
      <c r="O33" s="745"/>
      <c r="P33" s="744">
        <v>482461.07439999998</v>
      </c>
    </row>
    <row r="34" spans="1:16" ht="12" customHeight="1">
      <c r="A34" s="712" t="s">
        <v>93</v>
      </c>
      <c r="B34" s="744">
        <v>40259838</v>
      </c>
      <c r="C34" s="745"/>
      <c r="D34" s="744">
        <v>1306496.1900000002</v>
      </c>
      <c r="E34" s="745"/>
      <c r="F34" s="744">
        <v>2182037</v>
      </c>
      <c r="G34" s="745"/>
      <c r="H34" s="744">
        <v>48004.82</v>
      </c>
      <c r="I34" s="745"/>
      <c r="J34" s="744">
        <v>367673</v>
      </c>
      <c r="K34" s="745"/>
      <c r="L34" s="744">
        <v>12868.6</v>
      </c>
      <c r="M34" s="745"/>
      <c r="N34" s="744">
        <v>400192</v>
      </c>
      <c r="O34" s="745"/>
      <c r="P34" s="744">
        <v>14006.73</v>
      </c>
    </row>
    <row r="35" spans="1:16" ht="12" customHeight="1">
      <c r="A35" s="712" t="s">
        <v>95</v>
      </c>
      <c r="B35" s="744">
        <v>950969299</v>
      </c>
      <c r="C35" s="745"/>
      <c r="D35" s="744">
        <v>29365620.900000006</v>
      </c>
      <c r="E35" s="745"/>
      <c r="F35" s="744">
        <v>95395875</v>
      </c>
      <c r="G35" s="745"/>
      <c r="H35" s="744">
        <v>1907917.5</v>
      </c>
      <c r="I35" s="745"/>
      <c r="J35" s="744">
        <v>0</v>
      </c>
      <c r="K35" s="745"/>
      <c r="L35" s="744">
        <v>0</v>
      </c>
      <c r="M35" s="745"/>
      <c r="N35" s="744">
        <v>268521330</v>
      </c>
      <c r="O35" s="745"/>
      <c r="P35" s="744">
        <v>1760618.97</v>
      </c>
    </row>
    <row r="36" spans="1:16" ht="12" customHeight="1">
      <c r="A36" s="712" t="s">
        <v>97</v>
      </c>
      <c r="B36" s="744">
        <v>73889768</v>
      </c>
      <c r="C36" s="745"/>
      <c r="D36" s="744">
        <v>3059270.39</v>
      </c>
      <c r="E36" s="745"/>
      <c r="F36" s="744">
        <v>6316950</v>
      </c>
      <c r="G36" s="745"/>
      <c r="H36" s="744">
        <v>236885.62</v>
      </c>
      <c r="I36" s="745"/>
      <c r="J36" s="744">
        <v>0</v>
      </c>
      <c r="K36" s="745"/>
      <c r="L36" s="744">
        <v>0</v>
      </c>
      <c r="M36" s="745"/>
      <c r="N36" s="744">
        <v>112585165</v>
      </c>
      <c r="O36" s="745"/>
      <c r="P36" s="744">
        <v>886991.03</v>
      </c>
    </row>
    <row r="37" spans="1:16" ht="8.25" customHeight="1">
      <c r="B37" s="744"/>
      <c r="C37" s="745"/>
      <c r="D37" s="744"/>
      <c r="E37" s="745"/>
      <c r="F37" s="744"/>
      <c r="G37" s="745"/>
      <c r="H37" s="744"/>
      <c r="I37" s="745"/>
      <c r="J37" s="747"/>
      <c r="K37" s="745"/>
      <c r="L37" s="747"/>
      <c r="M37" s="745"/>
      <c r="N37" s="744"/>
      <c r="O37" s="745"/>
      <c r="P37" s="744"/>
    </row>
    <row r="38" spans="1:16" ht="12" customHeight="1">
      <c r="A38" s="712" t="s">
        <v>99</v>
      </c>
      <c r="B38" s="744">
        <v>118008511</v>
      </c>
      <c r="C38" s="745"/>
      <c r="D38" s="744">
        <v>2043765</v>
      </c>
      <c r="E38" s="745"/>
      <c r="F38" s="744">
        <v>81006466</v>
      </c>
      <c r="G38" s="745"/>
      <c r="H38" s="744">
        <v>1498619.62</v>
      </c>
      <c r="I38" s="745"/>
      <c r="J38" s="744">
        <v>884919</v>
      </c>
      <c r="K38" s="745"/>
      <c r="L38" s="744">
        <v>92916.69</v>
      </c>
      <c r="M38" s="745"/>
      <c r="N38" s="744">
        <v>119034999</v>
      </c>
      <c r="O38" s="745"/>
      <c r="P38" s="744">
        <v>716216.05999999994</v>
      </c>
    </row>
    <row r="39" spans="1:16" ht="12" customHeight="1">
      <c r="A39" s="712" t="s">
        <v>101</v>
      </c>
      <c r="B39" s="744">
        <v>277683945</v>
      </c>
      <c r="C39" s="745"/>
      <c r="D39" s="744">
        <v>12044238.58</v>
      </c>
      <c r="E39" s="745"/>
      <c r="F39" s="744">
        <v>105351429</v>
      </c>
      <c r="G39" s="745"/>
      <c r="H39" s="744">
        <v>3468619.87</v>
      </c>
      <c r="I39" s="745"/>
      <c r="J39" s="744">
        <v>0</v>
      </c>
      <c r="K39" s="745"/>
      <c r="L39" s="744">
        <v>0</v>
      </c>
      <c r="M39" s="745"/>
      <c r="N39" s="744">
        <v>224625992</v>
      </c>
      <c r="O39" s="745"/>
      <c r="P39" s="744">
        <v>1782826.0099999998</v>
      </c>
    </row>
    <row r="40" spans="1:16" ht="12" customHeight="1">
      <c r="A40" s="712" t="s">
        <v>103</v>
      </c>
      <c r="B40" s="744">
        <v>141395174</v>
      </c>
      <c r="C40" s="745"/>
      <c r="D40" s="744">
        <v>4471127.2176000001</v>
      </c>
      <c r="E40" s="745"/>
      <c r="F40" s="744">
        <v>6805175</v>
      </c>
      <c r="G40" s="745"/>
      <c r="H40" s="744">
        <v>81662.100000000006</v>
      </c>
      <c r="I40" s="745"/>
      <c r="J40" s="744">
        <v>2481440</v>
      </c>
      <c r="K40" s="745"/>
      <c r="L40" s="744">
        <v>93054</v>
      </c>
      <c r="M40" s="745"/>
      <c r="N40" s="744">
        <v>45301553</v>
      </c>
      <c r="O40" s="745"/>
      <c r="P40" s="744">
        <v>398858.77520000003</v>
      </c>
    </row>
    <row r="41" spans="1:16" ht="12" customHeight="1">
      <c r="A41" s="712" t="s">
        <v>105</v>
      </c>
      <c r="B41" s="744">
        <v>15420863641</v>
      </c>
      <c r="C41" s="745"/>
      <c r="D41" s="744">
        <v>701029765.94169998</v>
      </c>
      <c r="E41" s="745"/>
      <c r="F41" s="744">
        <v>28399028</v>
      </c>
      <c r="G41" s="745"/>
      <c r="H41" s="744">
        <v>1297835.5796000001</v>
      </c>
      <c r="I41" s="745"/>
      <c r="J41" s="744">
        <v>0</v>
      </c>
      <c r="K41" s="745"/>
      <c r="L41" s="744">
        <v>0</v>
      </c>
      <c r="M41" s="745"/>
      <c r="N41" s="744">
        <v>4174740736</v>
      </c>
      <c r="O41" s="745"/>
      <c r="P41" s="744">
        <v>48229418.991999999</v>
      </c>
    </row>
    <row r="42" spans="1:16" ht="12" customHeight="1">
      <c r="A42" s="712" t="s">
        <v>107</v>
      </c>
      <c r="B42" s="744">
        <v>1149259013</v>
      </c>
      <c r="C42" s="745"/>
      <c r="D42" s="744">
        <v>42708860.539999992</v>
      </c>
      <c r="E42" s="745"/>
      <c r="F42" s="744">
        <v>16266517</v>
      </c>
      <c r="G42" s="745"/>
      <c r="H42" s="744">
        <v>374129.99</v>
      </c>
      <c r="I42" s="745"/>
      <c r="J42" s="744">
        <v>0</v>
      </c>
      <c r="K42" s="745"/>
      <c r="L42" s="744">
        <v>0</v>
      </c>
      <c r="M42" s="745"/>
      <c r="N42" s="744">
        <v>738721754</v>
      </c>
      <c r="O42" s="745"/>
      <c r="P42" s="744">
        <v>7346495.7237999998</v>
      </c>
    </row>
    <row r="43" spans="1:16" ht="14">
      <c r="A43" s="711" t="s">
        <v>845</v>
      </c>
      <c r="B43" s="737"/>
      <c r="C43" s="723"/>
      <c r="D43" s="737"/>
      <c r="E43" s="723"/>
      <c r="F43" s="737"/>
      <c r="G43" s="723"/>
      <c r="H43" s="737"/>
      <c r="I43" s="723"/>
      <c r="J43" s="737"/>
      <c r="K43" s="723"/>
      <c r="L43" s="737"/>
      <c r="M43" s="723"/>
      <c r="N43" s="737"/>
      <c r="O43" s="723"/>
      <c r="P43" s="737"/>
    </row>
    <row r="44" spans="1:16" ht="13">
      <c r="A44" s="738" t="s">
        <v>838</v>
      </c>
      <c r="B44" s="739"/>
      <c r="C44" s="739"/>
      <c r="D44" s="739"/>
      <c r="E44" s="739"/>
      <c r="F44" s="739"/>
      <c r="G44" s="739"/>
      <c r="H44" s="739"/>
      <c r="I44" s="739"/>
      <c r="J44" s="739"/>
      <c r="K44" s="739"/>
      <c r="L44" s="739"/>
      <c r="M44" s="739"/>
      <c r="N44" s="739"/>
      <c r="O44" s="739"/>
      <c r="P44" s="739"/>
    </row>
    <row r="45" spans="1:16" ht="13">
      <c r="A45" s="738" t="s">
        <v>879</v>
      </c>
      <c r="B45" s="739"/>
      <c r="C45" s="739"/>
      <c r="D45" s="739"/>
      <c r="E45" s="739"/>
      <c r="F45" s="739"/>
      <c r="G45" s="739"/>
      <c r="H45" s="739"/>
      <c r="I45" s="739"/>
      <c r="J45" s="739"/>
      <c r="K45" s="739"/>
      <c r="L45" s="739"/>
      <c r="M45" s="739"/>
      <c r="N45" s="739"/>
      <c r="O45" s="739"/>
      <c r="P45" s="739"/>
    </row>
    <row r="46" spans="1:16" ht="11.25" customHeight="1" thickBot="1">
      <c r="A46" s="713"/>
      <c r="B46" s="713"/>
      <c r="C46" s="713"/>
      <c r="D46" s="713"/>
      <c r="E46" s="713"/>
      <c r="F46" s="713"/>
      <c r="G46" s="713"/>
      <c r="H46" s="713"/>
      <c r="I46" s="713"/>
      <c r="J46" s="713"/>
      <c r="K46" s="713"/>
      <c r="L46" s="713"/>
      <c r="M46" s="713"/>
      <c r="N46" s="713"/>
      <c r="O46" s="713"/>
      <c r="P46" s="713"/>
    </row>
    <row r="47" spans="1:16" ht="14.25" customHeight="1">
      <c r="A47" s="723"/>
      <c r="B47" s="1649" t="s">
        <v>839</v>
      </c>
      <c r="C47" s="1649"/>
      <c r="D47" s="1649"/>
      <c r="E47" s="723"/>
      <c r="F47" s="1649" t="s">
        <v>840</v>
      </c>
      <c r="G47" s="1649"/>
      <c r="H47" s="1649"/>
      <c r="I47" s="723"/>
      <c r="J47" s="1649" t="s">
        <v>841</v>
      </c>
      <c r="K47" s="1649"/>
      <c r="L47" s="1649"/>
      <c r="M47" s="723"/>
      <c r="N47" s="1649" t="s">
        <v>842</v>
      </c>
      <c r="O47" s="1649"/>
      <c r="P47" s="1649"/>
    </row>
    <row r="48" spans="1:16" ht="12" customHeight="1">
      <c r="A48" s="740" t="s">
        <v>21</v>
      </c>
      <c r="B48" s="741" t="s">
        <v>843</v>
      </c>
      <c r="C48" s="714"/>
      <c r="D48" s="741" t="s">
        <v>844</v>
      </c>
      <c r="E48" s="714"/>
      <c r="F48" s="741" t="s">
        <v>843</v>
      </c>
      <c r="G48" s="714"/>
      <c r="H48" s="741" t="s">
        <v>844</v>
      </c>
      <c r="I48" s="714"/>
      <c r="J48" s="741" t="s">
        <v>843</v>
      </c>
      <c r="K48" s="714"/>
      <c r="L48" s="741" t="s">
        <v>844</v>
      </c>
      <c r="M48" s="714"/>
      <c r="N48" s="741" t="s">
        <v>843</v>
      </c>
      <c r="O48" s="714"/>
      <c r="P48" s="741" t="s">
        <v>844</v>
      </c>
    </row>
    <row r="49" spans="1:16" ht="8.25" customHeight="1">
      <c r="B49" s="744"/>
      <c r="C49" s="746"/>
      <c r="D49" s="744"/>
      <c r="E49" s="746"/>
      <c r="F49" s="744"/>
      <c r="G49" s="746"/>
      <c r="H49" s="744"/>
      <c r="I49" s="746"/>
      <c r="J49" s="744"/>
      <c r="K49" s="746"/>
      <c r="L49" s="744"/>
      <c r="M49" s="746"/>
      <c r="N49" s="744"/>
      <c r="O49" s="746"/>
      <c r="P49" s="744"/>
    </row>
    <row r="50" spans="1:16" ht="12" customHeight="1">
      <c r="A50" s="712" t="s">
        <v>109</v>
      </c>
      <c r="B50" s="742">
        <v>131580691</v>
      </c>
      <c r="C50" s="743"/>
      <c r="D50" s="742">
        <v>3655334.0795000005</v>
      </c>
      <c r="E50" s="743"/>
      <c r="F50" s="742">
        <v>17307927</v>
      </c>
      <c r="G50" s="743"/>
      <c r="H50" s="742">
        <v>268272.86849999998</v>
      </c>
      <c r="I50" s="743"/>
      <c r="J50" s="742">
        <v>2153388</v>
      </c>
      <c r="K50" s="743"/>
      <c r="L50" s="742">
        <v>75368.58</v>
      </c>
      <c r="M50" s="743"/>
      <c r="N50" s="742">
        <v>60073354</v>
      </c>
      <c r="O50" s="743"/>
      <c r="P50" s="742">
        <v>371541.52399999998</v>
      </c>
    </row>
    <row r="51" spans="1:16" ht="12" customHeight="1">
      <c r="A51" s="712" t="s">
        <v>111</v>
      </c>
      <c r="B51" s="744">
        <v>236697213</v>
      </c>
      <c r="C51" s="745"/>
      <c r="D51" s="744">
        <v>10222350.75</v>
      </c>
      <c r="E51" s="745"/>
      <c r="F51" s="744">
        <v>590595</v>
      </c>
      <c r="G51" s="745"/>
      <c r="H51" s="744">
        <v>11221.3</v>
      </c>
      <c r="I51" s="745"/>
      <c r="J51" s="744">
        <v>12841686</v>
      </c>
      <c r="K51" s="745"/>
      <c r="L51" s="744">
        <v>372408.89</v>
      </c>
      <c r="M51" s="745"/>
      <c r="N51" s="744">
        <v>575551601</v>
      </c>
      <c r="O51" s="745"/>
      <c r="P51" s="744">
        <v>5364821.1700000009</v>
      </c>
    </row>
    <row r="52" spans="1:16" s="686" customFormat="1" ht="12" customHeight="1">
      <c r="A52" s="748" t="s">
        <v>24</v>
      </c>
      <c r="B52" s="744">
        <v>663112681</v>
      </c>
      <c r="C52" s="749"/>
      <c r="D52" s="744">
        <v>15269989.310000001</v>
      </c>
      <c r="E52" s="749"/>
      <c r="F52" s="744">
        <v>132597424</v>
      </c>
      <c r="G52" s="749"/>
      <c r="H52" s="744">
        <v>928182.05</v>
      </c>
      <c r="I52" s="749"/>
      <c r="J52" s="744">
        <v>78239240</v>
      </c>
      <c r="K52" s="749"/>
      <c r="L52" s="744">
        <v>844983.83</v>
      </c>
      <c r="M52" s="749"/>
      <c r="N52" s="744">
        <v>179241818</v>
      </c>
      <c r="O52" s="749"/>
      <c r="P52" s="744">
        <v>1100450.1399999999</v>
      </c>
    </row>
    <row r="53" spans="1:16" ht="12" customHeight="1">
      <c r="A53" s="712" t="s">
        <v>114</v>
      </c>
      <c r="B53" s="744">
        <v>1133847750</v>
      </c>
      <c r="C53" s="745"/>
      <c r="D53" s="744">
        <v>52008092.899999999</v>
      </c>
      <c r="E53" s="745"/>
      <c r="F53" s="744">
        <v>406949415</v>
      </c>
      <c r="G53" s="745"/>
      <c r="H53" s="744">
        <v>8138988.2999999998</v>
      </c>
      <c r="I53" s="745"/>
      <c r="J53" s="744">
        <v>0</v>
      </c>
      <c r="K53" s="745"/>
      <c r="L53" s="744">
        <v>0</v>
      </c>
      <c r="M53" s="745"/>
      <c r="N53" s="744">
        <v>405888133</v>
      </c>
      <c r="O53" s="745"/>
      <c r="P53" s="744">
        <v>2538511.8400000003</v>
      </c>
    </row>
    <row r="54" spans="1:16" ht="12" customHeight="1">
      <c r="A54" s="712" t="s">
        <v>116</v>
      </c>
      <c r="B54" s="744">
        <v>202559270</v>
      </c>
      <c r="C54" s="745"/>
      <c r="D54" s="744">
        <v>3978677.27</v>
      </c>
      <c r="E54" s="745"/>
      <c r="F54" s="744">
        <v>260510116</v>
      </c>
      <c r="G54" s="745"/>
      <c r="H54" s="744">
        <v>5262304.3600000003</v>
      </c>
      <c r="I54" s="745"/>
      <c r="J54" s="744">
        <v>25340459</v>
      </c>
      <c r="K54" s="745"/>
      <c r="L54" s="744">
        <v>210325.81</v>
      </c>
      <c r="M54" s="745"/>
      <c r="N54" s="744">
        <v>115917047</v>
      </c>
      <c r="O54" s="745"/>
      <c r="P54" s="744">
        <v>780051.49</v>
      </c>
    </row>
    <row r="55" spans="1:16" ht="8.25" customHeight="1">
      <c r="B55" s="744"/>
      <c r="C55" s="745"/>
      <c r="D55" s="744"/>
      <c r="E55" s="745"/>
      <c r="F55" s="744"/>
      <c r="G55" s="745"/>
      <c r="H55" s="744"/>
      <c r="I55" s="745"/>
      <c r="J55" s="744"/>
      <c r="K55" s="745"/>
      <c r="L55" s="744"/>
      <c r="M55" s="745"/>
      <c r="N55" s="744"/>
      <c r="O55" s="745"/>
      <c r="P55" s="744"/>
    </row>
    <row r="56" spans="1:16" s="685" customFormat="1" ht="12" customHeight="1">
      <c r="A56" s="750" t="s">
        <v>51</v>
      </c>
      <c r="B56" s="744">
        <v>510481624</v>
      </c>
      <c r="C56" s="749"/>
      <c r="D56" s="744">
        <v>13614018.682300001</v>
      </c>
      <c r="E56" s="749"/>
      <c r="F56" s="744">
        <v>9117208</v>
      </c>
      <c r="G56" s="749"/>
      <c r="H56" s="744">
        <v>268957.636</v>
      </c>
      <c r="I56" s="749"/>
      <c r="J56" s="744">
        <v>0</v>
      </c>
      <c r="K56" s="749"/>
      <c r="L56" s="744">
        <v>0</v>
      </c>
      <c r="M56" s="749"/>
      <c r="N56" s="744">
        <v>147547319</v>
      </c>
      <c r="O56" s="749"/>
      <c r="P56" s="744">
        <v>1027727.3806</v>
      </c>
    </row>
    <row r="57" spans="1:16" s="685" customFormat="1" ht="12" customHeight="1">
      <c r="A57" s="750" t="s">
        <v>53</v>
      </c>
      <c r="B57" s="744">
        <v>543971378</v>
      </c>
      <c r="C57" s="749"/>
      <c r="D57" s="744">
        <v>21431263.940000001</v>
      </c>
      <c r="E57" s="749"/>
      <c r="F57" s="744">
        <v>47075783</v>
      </c>
      <c r="G57" s="749"/>
      <c r="H57" s="744">
        <v>470757.83</v>
      </c>
      <c r="I57" s="749"/>
      <c r="J57" s="744">
        <v>0</v>
      </c>
      <c r="K57" s="749"/>
      <c r="L57" s="744">
        <v>0</v>
      </c>
      <c r="M57" s="749"/>
      <c r="N57" s="744">
        <v>93048545</v>
      </c>
      <c r="O57" s="749"/>
      <c r="P57" s="744">
        <v>511069.35000000003</v>
      </c>
    </row>
    <row r="58" spans="1:16" s="685" customFormat="1" ht="12" customHeight="1">
      <c r="A58" s="750" t="s">
        <v>55</v>
      </c>
      <c r="B58" s="744">
        <v>127786990</v>
      </c>
      <c r="C58" s="749"/>
      <c r="D58" s="744">
        <v>2178719.0300000003</v>
      </c>
      <c r="E58" s="749"/>
      <c r="F58" s="744">
        <v>21724721</v>
      </c>
      <c r="G58" s="749"/>
      <c r="H58" s="744">
        <v>380182.62</v>
      </c>
      <c r="I58" s="749"/>
      <c r="J58" s="744">
        <v>796294</v>
      </c>
      <c r="K58" s="749"/>
      <c r="L58" s="744">
        <v>53351.7</v>
      </c>
      <c r="M58" s="749"/>
      <c r="N58" s="744">
        <v>58454919</v>
      </c>
      <c r="O58" s="749"/>
      <c r="P58" s="744">
        <v>327347.55</v>
      </c>
    </row>
    <row r="59" spans="1:16" ht="12" customHeight="1">
      <c r="A59" s="712" t="s">
        <v>57</v>
      </c>
      <c r="B59" s="744">
        <v>146184766</v>
      </c>
      <c r="C59" s="745"/>
      <c r="D59" s="744">
        <v>7007003.3999999994</v>
      </c>
      <c r="E59" s="745"/>
      <c r="F59" s="744">
        <v>9207972</v>
      </c>
      <c r="G59" s="745"/>
      <c r="H59" s="744">
        <v>230199.3</v>
      </c>
      <c r="I59" s="745"/>
      <c r="J59" s="744">
        <v>0</v>
      </c>
      <c r="K59" s="745"/>
      <c r="L59" s="744">
        <v>0</v>
      </c>
      <c r="M59" s="745"/>
      <c r="N59" s="744">
        <v>58478798</v>
      </c>
      <c r="O59" s="745"/>
      <c r="P59" s="744">
        <v>479526.14</v>
      </c>
    </row>
    <row r="60" spans="1:16" ht="12" customHeight="1">
      <c r="A60" s="712" t="s">
        <v>59</v>
      </c>
      <c r="B60" s="744">
        <v>71156050</v>
      </c>
      <c r="C60" s="749"/>
      <c r="D60" s="744">
        <v>3325374.1100000003</v>
      </c>
      <c r="E60" s="749"/>
      <c r="F60" s="744">
        <v>24115970</v>
      </c>
      <c r="G60" s="749"/>
      <c r="H60" s="744">
        <v>964638.8</v>
      </c>
      <c r="I60" s="749"/>
      <c r="J60" s="744">
        <v>0</v>
      </c>
      <c r="K60" s="751"/>
      <c r="L60" s="744">
        <v>0</v>
      </c>
      <c r="M60" s="751"/>
      <c r="N60" s="744">
        <v>955974281</v>
      </c>
      <c r="O60" s="749"/>
      <c r="P60" s="744">
        <v>6439318.6400000006</v>
      </c>
    </row>
    <row r="61" spans="1:16" ht="8.25" customHeight="1">
      <c r="B61" s="712"/>
      <c r="D61" s="712"/>
      <c r="F61" s="712"/>
      <c r="H61" s="712"/>
      <c r="J61" s="712"/>
      <c r="L61" s="712"/>
      <c r="N61" s="712"/>
      <c r="P61" s="712"/>
    </row>
    <row r="62" spans="1:16" ht="12" customHeight="1">
      <c r="A62" s="712" t="s">
        <v>318</v>
      </c>
      <c r="B62" s="744">
        <v>274897100</v>
      </c>
      <c r="C62" s="749"/>
      <c r="D62" s="744">
        <v>9694647.2300000004</v>
      </c>
      <c r="E62" s="744"/>
      <c r="F62" s="744">
        <v>121191900</v>
      </c>
      <c r="G62" s="744"/>
      <c r="H62" s="744">
        <v>1527017.94</v>
      </c>
      <c r="I62" s="744"/>
      <c r="J62" s="744">
        <v>0</v>
      </c>
      <c r="K62" s="747"/>
      <c r="L62" s="744">
        <v>0</v>
      </c>
      <c r="M62" s="747"/>
      <c r="N62" s="744">
        <v>1087342959</v>
      </c>
      <c r="O62" s="744"/>
      <c r="P62" s="744">
        <v>5454617.3300000001</v>
      </c>
    </row>
    <row r="63" spans="1:16" ht="12" customHeight="1">
      <c r="A63" s="712" t="s">
        <v>63</v>
      </c>
      <c r="B63" s="744">
        <v>1791291203.5899999</v>
      </c>
      <c r="C63" s="749"/>
      <c r="D63" s="744">
        <v>56123283.999999993</v>
      </c>
      <c r="E63" s="749"/>
      <c r="F63" s="744">
        <v>56346964.689999998</v>
      </c>
      <c r="G63" s="749"/>
      <c r="H63" s="744">
        <v>2010179.52</v>
      </c>
      <c r="I63" s="749"/>
      <c r="J63" s="744">
        <v>87540555.709999993</v>
      </c>
      <c r="K63" s="749"/>
      <c r="L63" s="744">
        <v>1663478.55</v>
      </c>
      <c r="M63" s="749"/>
      <c r="N63" s="744">
        <v>770850468</v>
      </c>
      <c r="O63" s="749"/>
      <c r="P63" s="744">
        <v>6433877.4399999995</v>
      </c>
    </row>
    <row r="64" spans="1:16" ht="12" customHeight="1">
      <c r="A64" s="712" t="s">
        <v>65</v>
      </c>
      <c r="B64" s="744">
        <v>4213909674</v>
      </c>
      <c r="C64" s="749"/>
      <c r="D64" s="744">
        <v>128827390</v>
      </c>
      <c r="E64" s="749"/>
      <c r="F64" s="744">
        <v>289496363</v>
      </c>
      <c r="G64" s="749"/>
      <c r="H64" s="744">
        <v>868489</v>
      </c>
      <c r="I64" s="749"/>
      <c r="J64" s="744">
        <v>0</v>
      </c>
      <c r="K64" s="751"/>
      <c r="L64" s="744">
        <v>0</v>
      </c>
      <c r="M64" s="751"/>
      <c r="N64" s="744">
        <v>1164433236</v>
      </c>
      <c r="O64" s="749"/>
      <c r="P64" s="744">
        <v>10183007</v>
      </c>
    </row>
    <row r="65" spans="1:16" ht="12" customHeight="1">
      <c r="A65" s="712" t="s">
        <v>67</v>
      </c>
      <c r="B65" s="744">
        <v>462881447</v>
      </c>
      <c r="C65" s="749"/>
      <c r="D65" s="744">
        <v>6947548</v>
      </c>
      <c r="E65" s="749"/>
      <c r="F65" s="744">
        <v>338244156</v>
      </c>
      <c r="G65" s="749"/>
      <c r="H65" s="744">
        <v>5242784</v>
      </c>
      <c r="I65" s="749"/>
      <c r="J65" s="744">
        <v>0</v>
      </c>
      <c r="K65" s="751"/>
      <c r="L65" s="744">
        <v>0</v>
      </c>
      <c r="M65" s="751"/>
      <c r="N65" s="744">
        <v>196870290</v>
      </c>
      <c r="O65" s="749"/>
      <c r="P65" s="744">
        <v>1094040.44</v>
      </c>
    </row>
    <row r="66" spans="1:16" ht="12" customHeight="1">
      <c r="A66" s="712" t="s">
        <v>68</v>
      </c>
      <c r="B66" s="744">
        <v>24272628</v>
      </c>
      <c r="C66" s="745"/>
      <c r="D66" s="744">
        <v>652088.51</v>
      </c>
      <c r="E66" s="745"/>
      <c r="F66" s="744">
        <v>113772</v>
      </c>
      <c r="G66" s="745"/>
      <c r="H66" s="744">
        <v>1137.72</v>
      </c>
      <c r="I66" s="745"/>
      <c r="J66" s="744">
        <v>339413</v>
      </c>
      <c r="K66" s="745"/>
      <c r="L66" s="744">
        <v>3394.13</v>
      </c>
      <c r="M66" s="745"/>
      <c r="N66" s="744">
        <v>24063134</v>
      </c>
      <c r="O66" s="745"/>
      <c r="P66" s="744">
        <v>119282.03289999999</v>
      </c>
    </row>
    <row r="67" spans="1:16" ht="8.25" customHeight="1">
      <c r="B67" s="744"/>
      <c r="C67" s="745"/>
      <c r="D67" s="744"/>
      <c r="E67" s="745"/>
      <c r="F67" s="744"/>
      <c r="G67" s="745"/>
      <c r="H67" s="744"/>
      <c r="I67" s="745"/>
      <c r="J67" s="744"/>
      <c r="K67" s="745"/>
      <c r="L67" s="744"/>
      <c r="M67" s="745"/>
      <c r="N67" s="744"/>
      <c r="O67" s="745"/>
      <c r="P67" s="744"/>
    </row>
    <row r="68" spans="1:16" ht="12" customHeight="1">
      <c r="A68" s="712" t="s">
        <v>70</v>
      </c>
      <c r="B68" s="744">
        <v>376683327</v>
      </c>
      <c r="C68" s="745"/>
      <c r="D68" s="744">
        <v>15941736.008000001</v>
      </c>
      <c r="E68" s="745"/>
      <c r="F68" s="744">
        <v>285002834</v>
      </c>
      <c r="G68" s="745"/>
      <c r="H68" s="744">
        <v>4987549.5949999997</v>
      </c>
      <c r="I68" s="745"/>
      <c r="J68" s="744">
        <v>0</v>
      </c>
      <c r="K68" s="745"/>
      <c r="L68" s="744">
        <v>0</v>
      </c>
      <c r="M68" s="745"/>
      <c r="N68" s="744">
        <v>863553</v>
      </c>
      <c r="O68" s="745"/>
      <c r="P68" s="744">
        <v>38859.885000000002</v>
      </c>
    </row>
    <row r="69" spans="1:16" ht="12" customHeight="1">
      <c r="A69" s="712" t="s">
        <v>890</v>
      </c>
      <c r="B69" s="744">
        <v>887639206</v>
      </c>
      <c r="C69" s="745"/>
      <c r="D69" s="744">
        <v>34396220</v>
      </c>
      <c r="E69" s="745"/>
      <c r="F69" s="744">
        <v>151207956</v>
      </c>
      <c r="G69" s="745"/>
      <c r="H69" s="744">
        <v>6069230</v>
      </c>
      <c r="I69" s="745"/>
      <c r="J69" s="744">
        <v>0</v>
      </c>
      <c r="K69" s="745"/>
      <c r="L69" s="744">
        <v>0</v>
      </c>
      <c r="M69" s="745"/>
      <c r="N69" s="744">
        <v>262267902</v>
      </c>
      <c r="O69" s="745"/>
      <c r="P69" s="744">
        <v>2209163</v>
      </c>
    </row>
    <row r="70" spans="1:16" ht="12" customHeight="1">
      <c r="A70" s="712" t="s">
        <v>74</v>
      </c>
      <c r="B70" s="744">
        <v>100753547</v>
      </c>
      <c r="C70" s="745"/>
      <c r="D70" s="744">
        <v>30671.931858999993</v>
      </c>
      <c r="E70" s="745"/>
      <c r="F70" s="744">
        <v>11678015</v>
      </c>
      <c r="G70" s="745"/>
      <c r="H70" s="744">
        <v>1284.5816499999999</v>
      </c>
      <c r="I70" s="745"/>
      <c r="J70" s="744">
        <v>6804866</v>
      </c>
      <c r="K70" s="745"/>
      <c r="L70" s="744">
        <v>442.31628999999998</v>
      </c>
      <c r="M70" s="745"/>
      <c r="N70" s="744">
        <v>32038265</v>
      </c>
      <c r="O70" s="745"/>
      <c r="P70" s="744">
        <v>1670.166626</v>
      </c>
    </row>
    <row r="71" spans="1:16" ht="12" customHeight="1">
      <c r="A71" s="712" t="s">
        <v>76</v>
      </c>
      <c r="B71" s="744">
        <v>277704377</v>
      </c>
      <c r="C71" s="749"/>
      <c r="D71" s="744">
        <v>9617240.9500000011</v>
      </c>
      <c r="E71" s="749"/>
      <c r="F71" s="744">
        <v>7324571</v>
      </c>
      <c r="G71" s="749"/>
      <c r="H71" s="744">
        <v>183114.34</v>
      </c>
      <c r="I71" s="749"/>
      <c r="J71" s="744">
        <v>0</v>
      </c>
      <c r="K71" s="751"/>
      <c r="L71" s="744">
        <v>0</v>
      </c>
      <c r="M71" s="751"/>
      <c r="N71" s="744">
        <v>255843825</v>
      </c>
      <c r="O71" s="749"/>
      <c r="P71" s="744">
        <v>1796653.43</v>
      </c>
    </row>
    <row r="72" spans="1:16" ht="12" customHeight="1">
      <c r="A72" s="712" t="s">
        <v>354</v>
      </c>
      <c r="B72" s="744">
        <v>132155856</v>
      </c>
      <c r="C72" s="749"/>
      <c r="D72" s="744">
        <v>486980.73</v>
      </c>
      <c r="E72" s="749"/>
      <c r="F72" s="744">
        <v>23780554</v>
      </c>
      <c r="G72" s="749"/>
      <c r="H72" s="744">
        <v>535063</v>
      </c>
      <c r="I72" s="749"/>
      <c r="J72" s="744">
        <v>0</v>
      </c>
      <c r="K72" s="749"/>
      <c r="L72" s="744">
        <v>0</v>
      </c>
      <c r="M72" s="749"/>
      <c r="N72" s="744">
        <v>39636899</v>
      </c>
      <c r="O72" s="749"/>
      <c r="P72" s="744">
        <v>342916.18</v>
      </c>
    </row>
    <row r="73" spans="1:16" ht="8.25" customHeight="1">
      <c r="B73" s="744"/>
      <c r="C73" s="746"/>
      <c r="D73" s="744"/>
      <c r="E73" s="746"/>
      <c r="F73" s="744"/>
      <c r="G73" s="746"/>
      <c r="H73" s="744"/>
      <c r="I73" s="746"/>
      <c r="J73" s="744"/>
      <c r="K73" s="746"/>
      <c r="L73" s="744"/>
      <c r="M73" s="746"/>
      <c r="N73" s="744"/>
      <c r="O73" s="746"/>
      <c r="P73" s="744"/>
    </row>
    <row r="74" spans="1:16" ht="12" customHeight="1">
      <c r="A74" s="712" t="s">
        <v>80</v>
      </c>
      <c r="B74" s="744">
        <v>126788980</v>
      </c>
      <c r="C74" s="749"/>
      <c r="D74" s="744">
        <v>2418796.89</v>
      </c>
      <c r="E74" s="749"/>
      <c r="F74" s="744">
        <v>435750</v>
      </c>
      <c r="G74" s="749"/>
      <c r="H74" s="744">
        <v>6623.4</v>
      </c>
      <c r="I74" s="749"/>
      <c r="J74" s="744">
        <v>11372483</v>
      </c>
      <c r="K74" s="749"/>
      <c r="L74" s="744">
        <v>113724.83</v>
      </c>
      <c r="M74" s="749"/>
      <c r="N74" s="744">
        <v>67710661</v>
      </c>
      <c r="O74" s="749"/>
      <c r="P74" s="744">
        <v>427328.62</v>
      </c>
    </row>
    <row r="75" spans="1:16">
      <c r="A75" s="712" t="s">
        <v>82</v>
      </c>
      <c r="B75" s="744">
        <v>171273811</v>
      </c>
      <c r="C75" s="749"/>
      <c r="D75" s="744">
        <v>3183455.8000000003</v>
      </c>
      <c r="E75" s="749"/>
      <c r="F75" s="744">
        <v>31255386</v>
      </c>
      <c r="G75" s="749"/>
      <c r="H75" s="744">
        <v>625107.72</v>
      </c>
      <c r="I75" s="751"/>
      <c r="J75" s="744">
        <v>5144914</v>
      </c>
      <c r="K75" s="749"/>
      <c r="L75" s="744">
        <v>72543.31</v>
      </c>
      <c r="M75" s="749"/>
      <c r="N75" s="744">
        <v>87233857</v>
      </c>
      <c r="O75" s="749"/>
      <c r="P75" s="744">
        <v>544105.70000000007</v>
      </c>
    </row>
    <row r="76" spans="1:16" ht="12" customHeight="1">
      <c r="A76" s="712" t="s">
        <v>84</v>
      </c>
      <c r="B76" s="744">
        <v>12304315280</v>
      </c>
      <c r="C76" s="749">
        <v>26650663690</v>
      </c>
      <c r="D76" s="744">
        <v>492597258.4817</v>
      </c>
      <c r="E76" s="749"/>
      <c r="F76" s="744">
        <v>138655406</v>
      </c>
      <c r="G76" s="749">
        <v>879165274.00349987</v>
      </c>
      <c r="H76" s="744">
        <v>4422740.4525000006</v>
      </c>
      <c r="I76" s="749"/>
      <c r="J76" s="744">
        <v>0</v>
      </c>
      <c r="K76" s="751"/>
      <c r="L76" s="744">
        <v>0</v>
      </c>
      <c r="M76" s="751"/>
      <c r="N76" s="744">
        <v>3072880245</v>
      </c>
      <c r="O76" s="749"/>
      <c r="P76" s="744">
        <v>32162569.099649999</v>
      </c>
    </row>
    <row r="77" spans="1:16" ht="12" customHeight="1">
      <c r="A77" s="712" t="s">
        <v>86</v>
      </c>
      <c r="B77" s="744">
        <v>466996995</v>
      </c>
      <c r="C77" s="749"/>
      <c r="D77" s="744">
        <v>10519539.816500001</v>
      </c>
      <c r="E77" s="749"/>
      <c r="F77" s="744">
        <v>16737005</v>
      </c>
      <c r="G77" s="749"/>
      <c r="H77" s="744">
        <v>0</v>
      </c>
      <c r="I77" s="749"/>
      <c r="J77" s="744">
        <v>76979270</v>
      </c>
      <c r="K77" s="749"/>
      <c r="L77" s="744">
        <v>500365.255</v>
      </c>
      <c r="M77" s="749"/>
      <c r="N77" s="744">
        <v>2310302210</v>
      </c>
      <c r="O77" s="749"/>
      <c r="P77" s="744">
        <v>16643551.955</v>
      </c>
    </row>
    <row r="78" spans="1:16" ht="12" customHeight="1">
      <c r="A78" s="712" t="s">
        <v>88</v>
      </c>
      <c r="B78" s="744">
        <v>99107580</v>
      </c>
      <c r="C78" s="749"/>
      <c r="D78" s="744">
        <v>3559236.7408000003</v>
      </c>
      <c r="E78" s="749"/>
      <c r="F78" s="744">
        <v>18453932</v>
      </c>
      <c r="G78" s="749"/>
      <c r="H78" s="744">
        <v>332170.74</v>
      </c>
      <c r="I78" s="749"/>
      <c r="J78" s="744">
        <v>7481209</v>
      </c>
      <c r="K78" s="749"/>
      <c r="L78" s="744">
        <v>89774.51</v>
      </c>
      <c r="M78" s="749"/>
      <c r="N78" s="744">
        <v>44092247</v>
      </c>
      <c r="O78" s="749"/>
      <c r="P78" s="744">
        <v>167550.5386</v>
      </c>
    </row>
    <row r="79" spans="1:16" ht="8.25" customHeight="1">
      <c r="B79" s="744"/>
      <c r="C79" s="749"/>
      <c r="D79" s="744"/>
      <c r="E79" s="749"/>
      <c r="F79" s="744"/>
      <c r="G79" s="749"/>
      <c r="H79" s="744"/>
      <c r="I79" s="749"/>
      <c r="J79" s="744"/>
      <c r="K79" s="749"/>
      <c r="L79" s="744"/>
      <c r="M79" s="749"/>
      <c r="N79" s="744"/>
      <c r="O79" s="749"/>
      <c r="P79" s="744"/>
    </row>
    <row r="80" spans="1:16" ht="12" customHeight="1">
      <c r="A80" s="712" t="s">
        <v>90</v>
      </c>
      <c r="B80" s="744">
        <v>139080580</v>
      </c>
      <c r="C80" s="749"/>
      <c r="D80" s="744">
        <v>4882933.8619999988</v>
      </c>
      <c r="E80" s="749"/>
      <c r="F80" s="744">
        <v>7984750</v>
      </c>
      <c r="G80" s="749"/>
      <c r="H80" s="744">
        <v>133345.32499999998</v>
      </c>
      <c r="I80" s="749"/>
      <c r="J80" s="744">
        <v>27559017</v>
      </c>
      <c r="K80" s="749"/>
      <c r="L80" s="744">
        <v>237007.54620000001</v>
      </c>
      <c r="M80" s="749"/>
      <c r="N80" s="744">
        <v>49926043</v>
      </c>
      <c r="O80" s="749"/>
      <c r="P80" s="744">
        <v>349482.30100000004</v>
      </c>
    </row>
    <row r="81" spans="1:16" ht="12" customHeight="1">
      <c r="A81" s="712" t="s">
        <v>92</v>
      </c>
      <c r="B81" s="747">
        <v>144452272</v>
      </c>
      <c r="C81" s="745"/>
      <c r="D81" s="747">
        <v>3884096.9299999997</v>
      </c>
      <c r="E81" s="745"/>
      <c r="F81" s="747">
        <v>0</v>
      </c>
      <c r="G81" s="745"/>
      <c r="H81" s="747">
        <v>0</v>
      </c>
      <c r="I81" s="745"/>
      <c r="J81" s="747">
        <v>0</v>
      </c>
      <c r="K81" s="745"/>
      <c r="L81" s="747">
        <v>0</v>
      </c>
      <c r="M81" s="745"/>
      <c r="N81" s="747">
        <v>24587836</v>
      </c>
      <c r="O81" s="745"/>
      <c r="P81" s="747">
        <v>159076.40125000002</v>
      </c>
    </row>
    <row r="82" spans="1:16" ht="12" customHeight="1">
      <c r="A82" s="712" t="s">
        <v>94</v>
      </c>
      <c r="B82" s="744">
        <v>1497897134</v>
      </c>
      <c r="C82" s="749"/>
      <c r="D82" s="744">
        <v>49801696.839999996</v>
      </c>
      <c r="E82" s="749"/>
      <c r="F82" s="744">
        <v>111271749</v>
      </c>
      <c r="G82" s="749"/>
      <c r="H82" s="744">
        <v>734395.8600000001</v>
      </c>
      <c r="I82" s="749"/>
      <c r="J82" s="744">
        <v>72978518</v>
      </c>
      <c r="K82" s="749"/>
      <c r="L82" s="744">
        <v>525446.84</v>
      </c>
      <c r="M82" s="749"/>
      <c r="N82" s="744">
        <v>341051293</v>
      </c>
      <c r="O82" s="749"/>
      <c r="P82" s="744">
        <v>1439304</v>
      </c>
    </row>
    <row r="83" spans="1:16" ht="12" customHeight="1">
      <c r="A83" s="712" t="s">
        <v>96</v>
      </c>
      <c r="B83" s="744">
        <v>242606257</v>
      </c>
      <c r="C83" s="749"/>
      <c r="D83" s="744">
        <v>3752585.0375999999</v>
      </c>
      <c r="E83" s="749"/>
      <c r="F83" s="744">
        <v>0</v>
      </c>
      <c r="G83" s="749"/>
      <c r="H83" s="744">
        <v>0</v>
      </c>
      <c r="I83" s="749"/>
      <c r="J83" s="744">
        <v>0</v>
      </c>
      <c r="K83" s="749"/>
      <c r="L83" s="744">
        <v>0</v>
      </c>
      <c r="M83" s="749"/>
      <c r="N83" s="744">
        <v>54234590</v>
      </c>
      <c r="O83" s="749"/>
      <c r="P83" s="744">
        <v>337156.07399999996</v>
      </c>
    </row>
    <row r="84" spans="1:16" ht="12" customHeight="1">
      <c r="A84" s="712" t="s">
        <v>98</v>
      </c>
      <c r="B84" s="744">
        <v>833858782</v>
      </c>
      <c r="C84" s="745"/>
      <c r="D84" s="744">
        <v>20829414.610000003</v>
      </c>
      <c r="E84" s="745"/>
      <c r="F84" s="744">
        <v>170149272</v>
      </c>
      <c r="G84" s="745"/>
      <c r="H84" s="744">
        <v>3096716.78</v>
      </c>
      <c r="I84" s="745"/>
      <c r="J84" s="744">
        <v>47984352</v>
      </c>
      <c r="K84" s="745"/>
      <c r="L84" s="744">
        <v>1463523.09</v>
      </c>
      <c r="M84" s="745"/>
      <c r="N84" s="744">
        <v>281205595</v>
      </c>
      <c r="O84" s="745"/>
      <c r="P84" s="744">
        <v>2508817.7800000003</v>
      </c>
    </row>
    <row r="85" spans="1:16" ht="14">
      <c r="A85" s="711" t="s">
        <v>845</v>
      </c>
      <c r="B85" s="737"/>
      <c r="C85" s="723"/>
      <c r="D85" s="737"/>
      <c r="E85" s="723"/>
      <c r="F85" s="737"/>
      <c r="G85" s="723"/>
      <c r="H85" s="737"/>
      <c r="I85" s="723"/>
      <c r="J85" s="737"/>
      <c r="K85" s="723"/>
      <c r="L85" s="737"/>
      <c r="M85" s="723"/>
      <c r="N85" s="737"/>
      <c r="O85" s="723"/>
      <c r="P85" s="737"/>
    </row>
    <row r="86" spans="1:16" ht="13">
      <c r="A86" s="738" t="s">
        <v>838</v>
      </c>
      <c r="B86" s="739"/>
      <c r="C86" s="739"/>
      <c r="D86" s="739"/>
      <c r="E86" s="739"/>
      <c r="F86" s="739"/>
      <c r="G86" s="739"/>
      <c r="H86" s="739"/>
      <c r="I86" s="739"/>
      <c r="J86" s="739"/>
      <c r="K86" s="739"/>
      <c r="L86" s="739"/>
      <c r="M86" s="739"/>
      <c r="N86" s="739"/>
      <c r="O86" s="739"/>
      <c r="P86" s="739"/>
    </row>
    <row r="87" spans="1:16" ht="13">
      <c r="A87" s="738" t="s">
        <v>879</v>
      </c>
      <c r="B87" s="739"/>
      <c r="C87" s="739"/>
      <c r="D87" s="739"/>
      <c r="E87" s="739"/>
      <c r="F87" s="739"/>
      <c r="G87" s="739"/>
      <c r="H87" s="739"/>
      <c r="I87" s="739"/>
      <c r="J87" s="739"/>
      <c r="K87" s="739"/>
      <c r="L87" s="739"/>
      <c r="M87" s="739"/>
      <c r="N87" s="739"/>
      <c r="O87" s="739"/>
      <c r="P87" s="739"/>
    </row>
    <row r="88" spans="1:16" ht="11.25" customHeight="1" thickBot="1">
      <c r="A88" s="713"/>
      <c r="B88" s="713"/>
      <c r="C88" s="713"/>
      <c r="D88" s="713"/>
      <c r="E88" s="713"/>
      <c r="F88" s="713"/>
      <c r="G88" s="713"/>
      <c r="H88" s="713"/>
      <c r="I88" s="713"/>
      <c r="J88" s="713"/>
      <c r="K88" s="713"/>
      <c r="L88" s="713"/>
      <c r="M88" s="713"/>
      <c r="N88" s="713"/>
      <c r="O88" s="713"/>
      <c r="P88" s="713"/>
    </row>
    <row r="89" spans="1:16" ht="14.25" customHeight="1">
      <c r="A89" s="723"/>
      <c r="B89" s="1649" t="s">
        <v>839</v>
      </c>
      <c r="C89" s="1649"/>
      <c r="D89" s="1649"/>
      <c r="E89" s="723"/>
      <c r="F89" s="1649" t="s">
        <v>840</v>
      </c>
      <c r="G89" s="1649"/>
      <c r="H89" s="1649"/>
      <c r="I89" s="723"/>
      <c r="J89" s="1649" t="s">
        <v>841</v>
      </c>
      <c r="K89" s="1649"/>
      <c r="L89" s="1649"/>
      <c r="M89" s="723"/>
      <c r="N89" s="1649" t="s">
        <v>842</v>
      </c>
      <c r="O89" s="1649"/>
      <c r="P89" s="1649"/>
    </row>
    <row r="90" spans="1:16" ht="12" customHeight="1">
      <c r="A90" s="740" t="s">
        <v>21</v>
      </c>
      <c r="B90" s="741" t="s">
        <v>843</v>
      </c>
      <c r="C90" s="714"/>
      <c r="D90" s="741" t="s">
        <v>844</v>
      </c>
      <c r="E90" s="714"/>
      <c r="F90" s="741" t="s">
        <v>843</v>
      </c>
      <c r="G90" s="714"/>
      <c r="H90" s="741" t="s">
        <v>844</v>
      </c>
      <c r="I90" s="714"/>
      <c r="J90" s="741" t="s">
        <v>843</v>
      </c>
      <c r="K90" s="714"/>
      <c r="L90" s="741" t="s">
        <v>844</v>
      </c>
      <c r="M90" s="714"/>
      <c r="N90" s="741" t="s">
        <v>843</v>
      </c>
      <c r="O90" s="714"/>
      <c r="P90" s="741" t="s">
        <v>844</v>
      </c>
    </row>
    <row r="91" spans="1:16" ht="8.25" customHeight="1">
      <c r="B91" s="744"/>
      <c r="C91" s="746"/>
      <c r="D91" s="744"/>
      <c r="E91" s="746"/>
      <c r="F91" s="744"/>
      <c r="G91" s="746"/>
      <c r="H91" s="744"/>
      <c r="I91" s="746"/>
      <c r="J91" s="744"/>
      <c r="K91" s="746"/>
      <c r="L91" s="744"/>
      <c r="M91" s="746"/>
      <c r="N91" s="744"/>
      <c r="O91" s="746"/>
      <c r="P91" s="744"/>
    </row>
    <row r="92" spans="1:16" ht="12" customHeight="1">
      <c r="A92" s="712" t="s">
        <v>100</v>
      </c>
      <c r="B92" s="742">
        <v>170019130</v>
      </c>
      <c r="C92" s="743"/>
      <c r="D92" s="742">
        <v>5620752.6600000001</v>
      </c>
      <c r="E92" s="743"/>
      <c r="F92" s="742">
        <v>7691949</v>
      </c>
      <c r="G92" s="743"/>
      <c r="H92" s="742">
        <v>96149.440000000002</v>
      </c>
      <c r="I92" s="743"/>
      <c r="J92" s="742">
        <v>0</v>
      </c>
      <c r="K92" s="743"/>
      <c r="L92" s="742">
        <v>0</v>
      </c>
      <c r="M92" s="743"/>
      <c r="N92" s="742">
        <v>125563949</v>
      </c>
      <c r="O92" s="743"/>
      <c r="P92" s="742">
        <v>950728.83000000007</v>
      </c>
    </row>
    <row r="93" spans="1:16" ht="12" customHeight="1">
      <c r="A93" s="712" t="s">
        <v>102</v>
      </c>
      <c r="B93" s="745">
        <v>249151017</v>
      </c>
      <c r="C93" s="745"/>
      <c r="D93" s="745">
        <v>9196543.3200000003</v>
      </c>
      <c r="E93" s="745"/>
      <c r="F93" s="745">
        <v>4583194</v>
      </c>
      <c r="G93" s="745"/>
      <c r="H93" s="745">
        <v>34330.699999999997</v>
      </c>
      <c r="I93" s="745"/>
      <c r="J93" s="745">
        <v>0</v>
      </c>
      <c r="K93" s="745"/>
      <c r="L93" s="745">
        <v>0</v>
      </c>
      <c r="M93" s="745"/>
      <c r="N93" s="745">
        <v>153666593</v>
      </c>
      <c r="O93" s="745"/>
      <c r="P93" s="745">
        <v>1260160.94</v>
      </c>
    </row>
    <row r="94" spans="1:16" ht="12" customHeight="1">
      <c r="A94" s="712" t="s">
        <v>104</v>
      </c>
      <c r="B94" s="745">
        <v>140422800</v>
      </c>
      <c r="C94" s="749"/>
      <c r="D94" s="745">
        <v>5064540.7</v>
      </c>
      <c r="E94" s="749"/>
      <c r="F94" s="745">
        <v>14350800</v>
      </c>
      <c r="G94" s="749"/>
      <c r="H94" s="745">
        <v>232135.34000000003</v>
      </c>
      <c r="I94" s="749"/>
      <c r="J94" s="745">
        <v>0</v>
      </c>
      <c r="K94" s="749"/>
      <c r="L94" s="745">
        <v>0</v>
      </c>
      <c r="M94" s="749"/>
      <c r="N94" s="745">
        <v>56636303</v>
      </c>
      <c r="O94" s="749"/>
      <c r="P94" s="745">
        <v>470114.07</v>
      </c>
    </row>
    <row r="95" spans="1:16" ht="12" customHeight="1">
      <c r="A95" s="712" t="s">
        <v>106</v>
      </c>
      <c r="B95" s="745">
        <v>122331286</v>
      </c>
      <c r="C95" s="749"/>
      <c r="D95" s="745">
        <v>4231086</v>
      </c>
      <c r="E95" s="749"/>
      <c r="F95" s="745">
        <v>6480685</v>
      </c>
      <c r="G95" s="749"/>
      <c r="H95" s="745">
        <v>233304</v>
      </c>
      <c r="I95" s="749"/>
      <c r="J95" s="745">
        <v>4566290</v>
      </c>
      <c r="K95" s="749"/>
      <c r="L95" s="745">
        <v>45663</v>
      </c>
      <c r="M95" s="749"/>
      <c r="N95" s="745">
        <v>53515841</v>
      </c>
      <c r="O95" s="749"/>
      <c r="P95" s="745">
        <v>315743</v>
      </c>
    </row>
    <row r="96" spans="1:16" ht="12" customHeight="1">
      <c r="A96" s="712" t="s">
        <v>108</v>
      </c>
      <c r="B96" s="745">
        <v>94579494</v>
      </c>
      <c r="C96" s="749"/>
      <c r="D96" s="745">
        <v>3430337.24</v>
      </c>
      <c r="E96" s="749"/>
      <c r="F96" s="745">
        <v>7921912</v>
      </c>
      <c r="G96" s="749"/>
      <c r="H96" s="745">
        <v>106945.82</v>
      </c>
      <c r="I96" s="749"/>
      <c r="J96" s="745">
        <v>0</v>
      </c>
      <c r="K96" s="751"/>
      <c r="L96" s="745">
        <v>0</v>
      </c>
      <c r="M96" s="751"/>
      <c r="N96" s="745">
        <v>119080327</v>
      </c>
      <c r="O96" s="749"/>
      <c r="P96" s="745">
        <v>619507.81999999995</v>
      </c>
    </row>
    <row r="97" spans="1:16" ht="8.25" customHeight="1">
      <c r="B97" s="745"/>
      <c r="C97" s="749"/>
      <c r="D97" s="745"/>
      <c r="E97" s="749"/>
      <c r="F97" s="745"/>
      <c r="G97" s="749"/>
      <c r="H97" s="745"/>
      <c r="I97" s="749"/>
      <c r="J97" s="745"/>
      <c r="K97" s="751"/>
      <c r="L97" s="745"/>
      <c r="M97" s="751"/>
      <c r="N97" s="745"/>
      <c r="O97" s="749"/>
      <c r="P97" s="745"/>
    </row>
    <row r="98" spans="1:16" ht="12" customHeight="1">
      <c r="A98" s="712" t="s">
        <v>110</v>
      </c>
      <c r="B98" s="745">
        <v>350405480</v>
      </c>
      <c r="C98" s="749"/>
      <c r="D98" s="745">
        <v>12135347.02</v>
      </c>
      <c r="E98" s="749"/>
      <c r="F98" s="745">
        <v>48217255</v>
      </c>
      <c r="G98" s="749"/>
      <c r="H98" s="745">
        <v>882857.94</v>
      </c>
      <c r="I98" s="749"/>
      <c r="J98" s="745">
        <v>52409004</v>
      </c>
      <c r="K98" s="749"/>
      <c r="L98" s="745">
        <v>209636.03</v>
      </c>
      <c r="M98" s="749"/>
      <c r="N98" s="745">
        <v>174898556</v>
      </c>
      <c r="O98" s="749"/>
      <c r="P98" s="745">
        <v>1409185.94</v>
      </c>
    </row>
    <row r="99" spans="1:16" ht="12" customHeight="1">
      <c r="A99" s="712" t="s">
        <v>112</v>
      </c>
      <c r="B99" s="745">
        <v>237032980</v>
      </c>
      <c r="C99" s="749"/>
      <c r="D99" s="745">
        <v>8875817.620000001</v>
      </c>
      <c r="E99" s="749"/>
      <c r="F99" s="745">
        <v>23992320</v>
      </c>
      <c r="G99" s="749"/>
      <c r="H99" s="745">
        <v>479846.40000000002</v>
      </c>
      <c r="I99" s="749"/>
      <c r="J99" s="745">
        <v>0</v>
      </c>
      <c r="K99" s="751"/>
      <c r="L99" s="745">
        <v>0</v>
      </c>
      <c r="M99" s="751"/>
      <c r="N99" s="745">
        <v>97181243</v>
      </c>
      <c r="O99" s="749"/>
      <c r="P99" s="745">
        <v>739000.01</v>
      </c>
    </row>
    <row r="100" spans="1:16" ht="12" customHeight="1">
      <c r="A100" s="712" t="s">
        <v>113</v>
      </c>
      <c r="B100" s="745">
        <v>184787026</v>
      </c>
      <c r="C100" s="749"/>
      <c r="D100" s="745">
        <v>2995659.92</v>
      </c>
      <c r="E100" s="749"/>
      <c r="F100" s="745">
        <v>40593034</v>
      </c>
      <c r="G100" s="749"/>
      <c r="H100" s="745">
        <v>694140.9</v>
      </c>
      <c r="I100" s="749"/>
      <c r="J100" s="744">
        <v>0</v>
      </c>
      <c r="K100" s="751"/>
      <c r="L100" s="745">
        <v>0</v>
      </c>
      <c r="M100" s="751"/>
      <c r="N100" s="745">
        <v>65421344</v>
      </c>
      <c r="O100" s="749"/>
      <c r="P100" s="745">
        <v>445639.31</v>
      </c>
    </row>
    <row r="101" spans="1:16" ht="12" customHeight="1">
      <c r="A101" s="712" t="s">
        <v>115</v>
      </c>
      <c r="B101" s="745">
        <v>187823174</v>
      </c>
      <c r="C101" s="749"/>
      <c r="D101" s="745">
        <v>13266896.3748</v>
      </c>
      <c r="E101" s="749"/>
      <c r="F101" s="745">
        <v>43403370</v>
      </c>
      <c r="G101" s="749"/>
      <c r="H101" s="745">
        <v>1953151.65</v>
      </c>
      <c r="I101" s="749"/>
      <c r="J101" s="745">
        <v>13336660</v>
      </c>
      <c r="K101" s="749"/>
      <c r="L101" s="745">
        <v>366758.15</v>
      </c>
      <c r="M101" s="749"/>
      <c r="N101" s="745">
        <v>480184634</v>
      </c>
      <c r="O101" s="749"/>
      <c r="P101" s="745">
        <v>3085999.0871999995</v>
      </c>
    </row>
    <row r="102" spans="1:16" ht="12" customHeight="1">
      <c r="A102" s="712" t="s">
        <v>117</v>
      </c>
      <c r="B102" s="745">
        <v>393498252</v>
      </c>
      <c r="C102" s="749"/>
      <c r="D102" s="745">
        <v>14143279.526400002</v>
      </c>
      <c r="E102" s="749"/>
      <c r="F102" s="745">
        <v>29627275</v>
      </c>
      <c r="G102" s="749"/>
      <c r="H102" s="745">
        <v>1066581.8999999999</v>
      </c>
      <c r="I102" s="749"/>
      <c r="J102" s="745">
        <v>0</v>
      </c>
      <c r="K102" s="749"/>
      <c r="L102" s="745">
        <v>0</v>
      </c>
      <c r="M102" s="749"/>
      <c r="N102" s="745">
        <v>108294141</v>
      </c>
      <c r="O102" s="749"/>
      <c r="P102" s="745">
        <v>954143.13520000002</v>
      </c>
    </row>
    <row r="103" spans="1:16" ht="8.25" customHeight="1">
      <c r="B103" s="747"/>
      <c r="C103" s="746"/>
      <c r="D103" s="747"/>
      <c r="E103" s="746"/>
      <c r="F103" s="747"/>
      <c r="G103" s="746"/>
      <c r="H103" s="747"/>
      <c r="I103" s="746"/>
      <c r="J103" s="747"/>
      <c r="K103" s="746"/>
      <c r="L103" s="747"/>
      <c r="M103" s="746"/>
      <c r="N103" s="747"/>
      <c r="O103" s="746"/>
      <c r="P103" s="747"/>
    </row>
    <row r="104" spans="1:16" ht="12" customHeight="1">
      <c r="A104" s="712" t="s">
        <v>118</v>
      </c>
      <c r="B104" s="745">
        <v>311342472</v>
      </c>
      <c r="C104" s="745"/>
      <c r="D104" s="745">
        <v>6834512.8000000007</v>
      </c>
      <c r="E104" s="745"/>
      <c r="F104" s="745">
        <v>1198870</v>
      </c>
      <c r="G104" s="745"/>
      <c r="H104" s="745">
        <v>50352.54</v>
      </c>
      <c r="I104" s="745"/>
      <c r="J104" s="745">
        <v>57016125</v>
      </c>
      <c r="K104" s="745"/>
      <c r="L104" s="745">
        <v>399112.88</v>
      </c>
      <c r="M104" s="745"/>
      <c r="N104" s="745">
        <v>114817696</v>
      </c>
      <c r="O104" s="745"/>
      <c r="P104" s="745">
        <v>608205.52</v>
      </c>
    </row>
    <row r="105" spans="1:16" ht="12" customHeight="1">
      <c r="A105" s="712" t="s">
        <v>120</v>
      </c>
      <c r="B105" s="745">
        <v>317764831</v>
      </c>
      <c r="C105" s="749"/>
      <c r="D105" s="745">
        <v>12738036.177499998</v>
      </c>
      <c r="E105" s="749"/>
      <c r="F105" s="745">
        <v>98618775</v>
      </c>
      <c r="G105" s="749"/>
      <c r="H105" s="745">
        <v>1479281.625</v>
      </c>
      <c r="I105" s="749"/>
      <c r="J105" s="745">
        <v>0</v>
      </c>
      <c r="K105" s="751"/>
      <c r="L105" s="745">
        <v>0</v>
      </c>
      <c r="M105" s="751"/>
      <c r="N105" s="745">
        <v>184685926</v>
      </c>
      <c r="O105" s="749"/>
      <c r="P105" s="745">
        <v>1588298.9635999999</v>
      </c>
    </row>
    <row r="106" spans="1:16">
      <c r="A106" s="712" t="s">
        <v>122</v>
      </c>
      <c r="B106" s="745">
        <v>6328961082.6799994</v>
      </c>
      <c r="C106" s="749"/>
      <c r="D106" s="745">
        <v>214809807.52000001</v>
      </c>
      <c r="E106" s="749"/>
      <c r="F106" s="745">
        <v>0</v>
      </c>
      <c r="G106" s="749"/>
      <c r="H106" s="745">
        <v>0</v>
      </c>
      <c r="I106" s="749"/>
      <c r="J106" s="745">
        <v>0</v>
      </c>
      <c r="K106" s="751"/>
      <c r="L106" s="745">
        <v>0</v>
      </c>
      <c r="M106" s="751"/>
      <c r="N106" s="745">
        <v>1891971137</v>
      </c>
      <c r="O106" s="749"/>
      <c r="P106" s="745">
        <v>21383490.734999999</v>
      </c>
    </row>
    <row r="107" spans="1:16" ht="12" customHeight="1">
      <c r="A107" s="712" t="s">
        <v>124</v>
      </c>
      <c r="B107" s="745">
        <v>351551716</v>
      </c>
      <c r="C107" s="749"/>
      <c r="D107" s="745">
        <v>8141550.8300000001</v>
      </c>
      <c r="E107" s="749"/>
      <c r="F107" s="745">
        <v>275139003</v>
      </c>
      <c r="G107" s="749"/>
      <c r="H107" s="745">
        <v>4127085.18</v>
      </c>
      <c r="I107" s="749"/>
      <c r="J107" s="745">
        <v>0</v>
      </c>
      <c r="K107" s="749"/>
      <c r="L107" s="745">
        <v>0</v>
      </c>
      <c r="M107" s="749"/>
      <c r="N107" s="745">
        <v>0</v>
      </c>
      <c r="O107" s="749"/>
      <c r="P107" s="745">
        <v>0</v>
      </c>
    </row>
    <row r="108" spans="1:16" ht="12" customHeight="1">
      <c r="A108" s="712" t="s">
        <v>126</v>
      </c>
      <c r="B108" s="745">
        <v>68710596</v>
      </c>
      <c r="C108" s="749"/>
      <c r="D108" s="745">
        <v>1544289.3412000001</v>
      </c>
      <c r="E108" s="749"/>
      <c r="F108" s="745">
        <v>0</v>
      </c>
      <c r="G108" s="751"/>
      <c r="H108" s="745">
        <v>0</v>
      </c>
      <c r="I108" s="751"/>
      <c r="J108" s="745">
        <v>0</v>
      </c>
      <c r="K108" s="751"/>
      <c r="L108" s="745">
        <v>0</v>
      </c>
      <c r="M108" s="751"/>
      <c r="N108" s="745">
        <v>56829491</v>
      </c>
      <c r="O108" s="749"/>
      <c r="P108" s="745">
        <v>380757.58970000001</v>
      </c>
    </row>
    <row r="109" spans="1:16" ht="8.25" customHeight="1">
      <c r="B109" s="745"/>
      <c r="C109" s="749"/>
      <c r="D109" s="745"/>
      <c r="E109" s="749"/>
      <c r="F109" s="745"/>
      <c r="G109" s="751"/>
      <c r="H109" s="745"/>
      <c r="I109" s="751"/>
      <c r="J109" s="745"/>
      <c r="K109" s="751"/>
      <c r="L109" s="745"/>
      <c r="M109" s="751"/>
      <c r="N109" s="745"/>
      <c r="O109" s="749"/>
      <c r="P109" s="745"/>
    </row>
    <row r="110" spans="1:16" ht="12" customHeight="1">
      <c r="A110" s="712" t="s">
        <v>128</v>
      </c>
      <c r="B110" s="745">
        <v>71108170</v>
      </c>
      <c r="C110" s="749"/>
      <c r="D110" s="745">
        <v>2606093.1749999998</v>
      </c>
      <c r="E110" s="749"/>
      <c r="F110" s="745">
        <v>10771210</v>
      </c>
      <c r="G110" s="749"/>
      <c r="H110" s="745">
        <v>43084.84</v>
      </c>
      <c r="I110" s="749"/>
      <c r="J110" s="745">
        <v>1990350</v>
      </c>
      <c r="K110" s="749"/>
      <c r="L110" s="745">
        <v>69662.25</v>
      </c>
      <c r="M110" s="749"/>
      <c r="N110" s="745">
        <v>70649023</v>
      </c>
      <c r="O110" s="749"/>
      <c r="P110" s="745">
        <v>542004.7294999999</v>
      </c>
    </row>
    <row r="111" spans="1:16">
      <c r="A111" s="712" t="s">
        <v>25</v>
      </c>
      <c r="B111" s="745">
        <v>904456173</v>
      </c>
      <c r="C111" s="745"/>
      <c r="D111" s="745">
        <v>31594293.913999997</v>
      </c>
      <c r="E111" s="745"/>
      <c r="F111" s="745">
        <v>71744090</v>
      </c>
      <c r="G111" s="745"/>
      <c r="H111" s="745">
        <v>2044706.5649999999</v>
      </c>
      <c r="I111" s="745"/>
      <c r="J111" s="745">
        <v>0</v>
      </c>
      <c r="K111" s="745"/>
      <c r="L111" s="745">
        <v>0</v>
      </c>
      <c r="M111" s="745"/>
      <c r="N111" s="745">
        <v>329478800</v>
      </c>
      <c r="O111" s="745"/>
      <c r="P111" s="745">
        <v>3605949.0660000001</v>
      </c>
    </row>
    <row r="112" spans="1:16" ht="12" customHeight="1">
      <c r="A112" s="712" t="s">
        <v>130</v>
      </c>
      <c r="B112" s="745">
        <v>223002340</v>
      </c>
      <c r="C112" s="745"/>
      <c r="D112" s="745">
        <v>9242098.3925000001</v>
      </c>
      <c r="E112" s="745"/>
      <c r="F112" s="745">
        <v>20419513</v>
      </c>
      <c r="G112" s="745"/>
      <c r="H112" s="745">
        <v>520697.81</v>
      </c>
      <c r="I112" s="745"/>
      <c r="J112" s="745">
        <v>0</v>
      </c>
      <c r="K112" s="745"/>
      <c r="L112" s="745">
        <v>0</v>
      </c>
      <c r="M112" s="745"/>
      <c r="N112" s="745">
        <v>238322735</v>
      </c>
      <c r="O112" s="745"/>
      <c r="P112" s="745">
        <v>1739755.97</v>
      </c>
    </row>
    <row r="113" spans="1:16" ht="12" customHeight="1">
      <c r="A113" s="712" t="s">
        <v>131</v>
      </c>
      <c r="B113" s="745">
        <v>948738465</v>
      </c>
      <c r="C113" s="745"/>
      <c r="D113" s="745">
        <v>24604079</v>
      </c>
      <c r="E113" s="745"/>
      <c r="F113" s="745">
        <v>464210620</v>
      </c>
      <c r="G113" s="745"/>
      <c r="H113" s="745">
        <v>11837375</v>
      </c>
      <c r="I113" s="745"/>
      <c r="J113" s="745">
        <v>172119295</v>
      </c>
      <c r="K113" s="745"/>
      <c r="L113" s="745">
        <v>1497438</v>
      </c>
      <c r="M113" s="745"/>
      <c r="N113" s="745">
        <v>323213387</v>
      </c>
      <c r="O113" s="745"/>
      <c r="P113" s="745">
        <v>2421365</v>
      </c>
    </row>
    <row r="114" spans="1:16" ht="12" customHeight="1">
      <c r="A114" s="712" t="s">
        <v>133</v>
      </c>
      <c r="B114" s="745">
        <v>370909250</v>
      </c>
      <c r="C114" s="749"/>
      <c r="D114" s="745">
        <v>7028551.9100000001</v>
      </c>
      <c r="E114" s="749"/>
      <c r="F114" s="745">
        <v>59906364</v>
      </c>
      <c r="G114" s="749"/>
      <c r="H114" s="745">
        <v>1168177.51</v>
      </c>
      <c r="I114" s="749"/>
      <c r="J114" s="745">
        <v>7482353</v>
      </c>
      <c r="K114" s="749"/>
      <c r="L114" s="745">
        <v>48635.41</v>
      </c>
      <c r="M114" s="749"/>
      <c r="N114" s="745">
        <v>315748548</v>
      </c>
      <c r="O114" s="749"/>
      <c r="P114" s="745">
        <v>61335.210000000006</v>
      </c>
    </row>
    <row r="115" spans="1:16" ht="8.25" customHeight="1"/>
    <row r="116" spans="1:16" ht="12" customHeight="1">
      <c r="A116" s="712" t="s">
        <v>135</v>
      </c>
      <c r="B116" s="744">
        <v>163655044</v>
      </c>
      <c r="C116" s="749"/>
      <c r="D116" s="744">
        <v>2417586.27</v>
      </c>
      <c r="E116" s="744"/>
      <c r="F116" s="744">
        <v>19647961</v>
      </c>
      <c r="G116" s="744"/>
      <c r="H116" s="744">
        <v>176831.65</v>
      </c>
      <c r="I116" s="744"/>
      <c r="J116" s="744">
        <v>14682723</v>
      </c>
      <c r="K116" s="747"/>
      <c r="L116" s="744">
        <v>105715.65</v>
      </c>
      <c r="M116" s="747"/>
      <c r="N116" s="744">
        <v>122663996</v>
      </c>
      <c r="O116" s="744"/>
      <c r="P116" s="744">
        <v>985013.1</v>
      </c>
    </row>
    <row r="117" spans="1:16" ht="12" customHeight="1">
      <c r="A117" s="712" t="s">
        <v>137</v>
      </c>
      <c r="B117" s="745">
        <v>466828011</v>
      </c>
      <c r="C117" s="745"/>
      <c r="D117" s="745">
        <v>17557917.920000002</v>
      </c>
      <c r="E117" s="745"/>
      <c r="F117" s="745">
        <v>94669186</v>
      </c>
      <c r="G117" s="745"/>
      <c r="H117" s="745">
        <v>2982079.39</v>
      </c>
      <c r="I117" s="745"/>
      <c r="J117" s="745">
        <v>55000213</v>
      </c>
      <c r="K117" s="745"/>
      <c r="L117" s="745">
        <v>330001.28000000003</v>
      </c>
      <c r="M117" s="745"/>
      <c r="N117" s="745">
        <v>289209578</v>
      </c>
      <c r="O117" s="745"/>
      <c r="P117" s="745">
        <v>1874192.86</v>
      </c>
    </row>
    <row r="118" spans="1:16" ht="12" customHeight="1">
      <c r="A118" s="712" t="s">
        <v>139</v>
      </c>
      <c r="B118" s="745">
        <v>243743731</v>
      </c>
      <c r="C118" s="745"/>
      <c r="D118" s="745">
        <v>5469253.358</v>
      </c>
      <c r="E118" s="745"/>
      <c r="F118" s="745">
        <v>106787128</v>
      </c>
      <c r="G118" s="745"/>
      <c r="H118" s="745">
        <v>1655200.4840000002</v>
      </c>
      <c r="I118" s="745"/>
      <c r="J118" s="745">
        <v>67262010</v>
      </c>
      <c r="K118" s="745"/>
      <c r="L118" s="745">
        <v>269048.03999999998</v>
      </c>
      <c r="M118" s="745"/>
      <c r="N118" s="745">
        <v>178668947</v>
      </c>
      <c r="O118" s="745"/>
      <c r="P118" s="745">
        <v>1322150.2078</v>
      </c>
    </row>
    <row r="119" spans="1:16" ht="12" customHeight="1">
      <c r="A119" s="712" t="s">
        <v>141</v>
      </c>
      <c r="B119" s="745">
        <v>221497758</v>
      </c>
      <c r="C119" s="745"/>
      <c r="D119" s="745">
        <v>8241237.3500000006</v>
      </c>
      <c r="E119" s="745"/>
      <c r="F119" s="745">
        <v>56565200</v>
      </c>
      <c r="G119" s="745"/>
      <c r="H119" s="745">
        <v>1357564.8</v>
      </c>
      <c r="I119" s="745"/>
      <c r="J119" s="745">
        <v>15568139</v>
      </c>
      <c r="K119" s="745"/>
      <c r="L119" s="745">
        <v>77840.820000000007</v>
      </c>
      <c r="M119" s="745"/>
      <c r="N119" s="745">
        <v>237557724</v>
      </c>
      <c r="O119" s="745"/>
      <c r="P119" s="745">
        <v>2129514.77</v>
      </c>
    </row>
    <row r="120" spans="1:16" ht="12" customHeight="1">
      <c r="A120" s="712" t="s">
        <v>143</v>
      </c>
      <c r="B120" s="745">
        <v>1019721583.0700001</v>
      </c>
      <c r="C120" s="749"/>
      <c r="D120" s="745">
        <v>64348806.987750001</v>
      </c>
      <c r="E120" s="749"/>
      <c r="F120" s="745">
        <v>33710193.039999999</v>
      </c>
      <c r="G120" s="749"/>
      <c r="H120" s="745">
        <v>842754.826</v>
      </c>
      <c r="I120" s="749"/>
      <c r="J120" s="745">
        <v>0</v>
      </c>
      <c r="K120" s="751"/>
      <c r="L120" s="745">
        <v>0</v>
      </c>
      <c r="M120" s="751"/>
      <c r="N120" s="745">
        <v>413002803</v>
      </c>
      <c r="O120" s="749"/>
      <c r="P120" s="745">
        <v>3547974.0342200003</v>
      </c>
    </row>
    <row r="121" spans="1:16" ht="8.25" customHeight="1">
      <c r="B121" s="745"/>
      <c r="C121" s="749"/>
      <c r="D121" s="745"/>
      <c r="E121" s="749"/>
      <c r="F121" s="745"/>
      <c r="G121" s="749"/>
      <c r="H121" s="745"/>
      <c r="I121" s="749"/>
      <c r="J121" s="745"/>
      <c r="K121" s="751"/>
      <c r="L121" s="745"/>
      <c r="M121" s="751"/>
      <c r="N121" s="745"/>
      <c r="O121" s="749"/>
      <c r="P121" s="745"/>
    </row>
    <row r="122" spans="1:16" ht="12" customHeight="1">
      <c r="A122" s="712" t="s">
        <v>145</v>
      </c>
      <c r="B122" s="745">
        <v>1121990130</v>
      </c>
      <c r="C122" s="745"/>
      <c r="D122" s="745">
        <v>69724905.523999989</v>
      </c>
      <c r="E122" s="745"/>
      <c r="F122" s="745">
        <v>0</v>
      </c>
      <c r="G122" s="745"/>
      <c r="H122" s="745">
        <v>0</v>
      </c>
      <c r="I122" s="745"/>
      <c r="J122" s="745">
        <v>177064650</v>
      </c>
      <c r="K122" s="745"/>
      <c r="L122" s="745">
        <v>885323.25</v>
      </c>
      <c r="M122" s="745"/>
      <c r="N122" s="745">
        <v>575948</v>
      </c>
      <c r="O122" s="745"/>
      <c r="P122" s="745">
        <v>37206.2408</v>
      </c>
    </row>
    <row r="123" spans="1:16" ht="12" customHeight="1">
      <c r="A123" s="712" t="s">
        <v>147</v>
      </c>
      <c r="B123" s="745">
        <v>59679427</v>
      </c>
      <c r="C123" s="749"/>
      <c r="D123" s="745">
        <v>2266439.41</v>
      </c>
      <c r="E123" s="749"/>
      <c r="F123" s="745">
        <v>2813507</v>
      </c>
      <c r="G123" s="749"/>
      <c r="H123" s="745">
        <v>28135.07</v>
      </c>
      <c r="I123" s="749"/>
      <c r="J123" s="745">
        <v>0</v>
      </c>
      <c r="K123" s="751"/>
      <c r="L123" s="745">
        <v>0</v>
      </c>
      <c r="M123" s="751"/>
      <c r="N123" s="745">
        <v>1935274114</v>
      </c>
      <c r="O123" s="749"/>
      <c r="P123" s="745">
        <v>13757889.2301</v>
      </c>
    </row>
    <row r="124" spans="1:16" ht="12" customHeight="1">
      <c r="A124" s="712" t="s">
        <v>149</v>
      </c>
      <c r="B124" s="745">
        <v>79995247</v>
      </c>
      <c r="C124" s="745"/>
      <c r="D124" s="745">
        <v>3757881.19</v>
      </c>
      <c r="E124" s="745"/>
      <c r="F124" s="745">
        <v>45584746</v>
      </c>
      <c r="G124" s="745"/>
      <c r="H124" s="745">
        <v>1107709.33</v>
      </c>
      <c r="I124" s="745"/>
      <c r="J124" s="745">
        <v>7200430</v>
      </c>
      <c r="K124" s="745"/>
      <c r="L124" s="745">
        <v>72004.3</v>
      </c>
      <c r="M124" s="745"/>
      <c r="N124" s="745">
        <v>123954511</v>
      </c>
      <c r="O124" s="745"/>
      <c r="P124" s="745">
        <v>766478.72</v>
      </c>
    </row>
    <row r="125" spans="1:16" ht="12" customHeight="1">
      <c r="A125" s="712" t="s">
        <v>151</v>
      </c>
      <c r="B125" s="745">
        <v>437842645</v>
      </c>
      <c r="C125" s="749"/>
      <c r="D125" s="745">
        <v>8333650.2199999997</v>
      </c>
      <c r="E125" s="749"/>
      <c r="F125" s="745">
        <v>59864000</v>
      </c>
      <c r="G125" s="749"/>
      <c r="H125" s="745">
        <v>1197280</v>
      </c>
      <c r="I125" s="749"/>
      <c r="J125" s="745">
        <v>21279980</v>
      </c>
      <c r="K125" s="749"/>
      <c r="L125" s="745">
        <v>808639.24</v>
      </c>
      <c r="M125" s="749"/>
      <c r="N125" s="745">
        <v>265251375</v>
      </c>
      <c r="O125" s="749"/>
      <c r="P125" s="745">
        <v>1541631.56</v>
      </c>
    </row>
    <row r="126" spans="1:16" ht="12" customHeight="1">
      <c r="A126" s="712" t="s">
        <v>153</v>
      </c>
      <c r="B126" s="745">
        <v>552798635</v>
      </c>
      <c r="C126" s="749"/>
      <c r="D126" s="745">
        <v>1982814.0924250002</v>
      </c>
      <c r="E126" s="749"/>
      <c r="F126" s="745">
        <v>114040895</v>
      </c>
      <c r="G126" s="749"/>
      <c r="H126" s="745">
        <v>23378.383475000002</v>
      </c>
      <c r="I126" s="749"/>
      <c r="J126" s="745">
        <v>0</v>
      </c>
      <c r="K126" s="749"/>
      <c r="L126" s="745">
        <v>0</v>
      </c>
      <c r="M126" s="749"/>
      <c r="N126" s="745">
        <v>1053854970</v>
      </c>
      <c r="O126" s="749"/>
      <c r="P126" s="745">
        <v>64096.003200000006</v>
      </c>
    </row>
    <row r="127" spans="1:16" ht="14">
      <c r="A127" s="711" t="s">
        <v>845</v>
      </c>
      <c r="B127" s="737"/>
      <c r="C127" s="723"/>
      <c r="D127" s="737"/>
      <c r="E127" s="723"/>
      <c r="F127" s="737"/>
      <c r="G127" s="723"/>
      <c r="H127" s="737"/>
      <c r="I127" s="723"/>
      <c r="J127" s="737"/>
      <c r="K127" s="723"/>
      <c r="L127" s="737"/>
      <c r="M127" s="723"/>
      <c r="N127" s="737"/>
      <c r="O127" s="723"/>
      <c r="P127" s="737"/>
    </row>
    <row r="128" spans="1:16" s="647" customFormat="1" ht="13">
      <c r="A128" s="738" t="s">
        <v>838</v>
      </c>
      <c r="B128" s="738"/>
      <c r="C128" s="738"/>
      <c r="D128" s="738"/>
      <c r="E128" s="738"/>
      <c r="F128" s="738"/>
      <c r="G128" s="738"/>
      <c r="H128" s="738"/>
      <c r="I128" s="738"/>
      <c r="J128" s="738"/>
      <c r="K128" s="738"/>
      <c r="L128" s="738"/>
      <c r="M128" s="738"/>
      <c r="N128" s="738"/>
      <c r="O128" s="738"/>
      <c r="P128" s="738"/>
    </row>
    <row r="129" spans="1:16" s="647" customFormat="1" ht="13">
      <c r="A129" s="738" t="s">
        <v>879</v>
      </c>
      <c r="B129" s="738"/>
      <c r="C129" s="738"/>
      <c r="D129" s="738"/>
      <c r="E129" s="738"/>
      <c r="F129" s="738"/>
      <c r="G129" s="738"/>
      <c r="H129" s="738"/>
      <c r="I129" s="738"/>
      <c r="J129" s="738"/>
      <c r="K129" s="738"/>
      <c r="L129" s="738"/>
      <c r="M129" s="738"/>
      <c r="N129" s="738"/>
      <c r="O129" s="738"/>
      <c r="P129" s="738"/>
    </row>
    <row r="130" spans="1:16" ht="11.25" customHeight="1" thickBot="1">
      <c r="A130" s="713"/>
      <c r="B130" s="713"/>
      <c r="C130" s="713"/>
      <c r="D130" s="713"/>
      <c r="E130" s="713"/>
      <c r="F130" s="713"/>
      <c r="G130" s="713"/>
      <c r="H130" s="713"/>
      <c r="I130" s="713"/>
      <c r="J130" s="713"/>
      <c r="K130" s="713"/>
      <c r="L130" s="713"/>
      <c r="M130" s="713"/>
      <c r="N130" s="713"/>
      <c r="O130" s="713"/>
      <c r="P130" s="713"/>
    </row>
    <row r="131" spans="1:16" ht="14.25" customHeight="1">
      <c r="A131" s="723"/>
      <c r="B131" s="1649" t="s">
        <v>839</v>
      </c>
      <c r="C131" s="1649"/>
      <c r="D131" s="1649"/>
      <c r="E131" s="723"/>
      <c r="F131" s="1649" t="s">
        <v>840</v>
      </c>
      <c r="G131" s="1649"/>
      <c r="H131" s="1649"/>
      <c r="I131" s="723"/>
      <c r="J131" s="1649" t="s">
        <v>841</v>
      </c>
      <c r="K131" s="1649"/>
      <c r="L131" s="1649"/>
      <c r="M131" s="723"/>
      <c r="N131" s="1649" t="s">
        <v>842</v>
      </c>
      <c r="O131" s="1649"/>
      <c r="P131" s="1649"/>
    </row>
    <row r="132" spans="1:16" ht="12" customHeight="1">
      <c r="A132" s="740" t="s">
        <v>21</v>
      </c>
      <c r="B132" s="741" t="s">
        <v>843</v>
      </c>
      <c r="C132" s="714"/>
      <c r="D132" s="741" t="s">
        <v>844</v>
      </c>
      <c r="E132" s="714"/>
      <c r="F132" s="741" t="s">
        <v>843</v>
      </c>
      <c r="G132" s="714"/>
      <c r="H132" s="741" t="s">
        <v>844</v>
      </c>
      <c r="I132" s="714"/>
      <c r="J132" s="741" t="s">
        <v>843</v>
      </c>
      <c r="K132" s="714"/>
      <c r="L132" s="741" t="s">
        <v>844</v>
      </c>
      <c r="M132" s="714"/>
      <c r="N132" s="741" t="s">
        <v>843</v>
      </c>
      <c r="O132" s="714"/>
      <c r="P132" s="741" t="s">
        <v>844</v>
      </c>
    </row>
    <row r="133" spans="1:16" ht="8.25" customHeight="1">
      <c r="B133" s="745"/>
      <c r="C133" s="746"/>
      <c r="D133" s="745"/>
      <c r="E133" s="746"/>
      <c r="F133" s="745"/>
      <c r="G133" s="746"/>
      <c r="H133" s="745"/>
      <c r="I133" s="746"/>
      <c r="J133" s="745"/>
      <c r="K133" s="746"/>
      <c r="L133" s="745"/>
      <c r="M133" s="746"/>
      <c r="N133" s="745"/>
      <c r="O133" s="746"/>
      <c r="P133" s="745"/>
    </row>
    <row r="134" spans="1:16" ht="12" customHeight="1">
      <c r="A134" s="712" t="s">
        <v>155</v>
      </c>
      <c r="B134" s="742">
        <v>631505920</v>
      </c>
      <c r="C134" s="743"/>
      <c r="D134" s="742">
        <v>10457857</v>
      </c>
      <c r="E134" s="743"/>
      <c r="F134" s="742">
        <v>189781360</v>
      </c>
      <c r="G134" s="743"/>
      <c r="H134" s="742">
        <v>2941611</v>
      </c>
      <c r="I134" s="743"/>
      <c r="J134" s="742">
        <v>0</v>
      </c>
      <c r="K134" s="743"/>
      <c r="L134" s="742">
        <v>0</v>
      </c>
      <c r="M134" s="743"/>
      <c r="N134" s="742">
        <v>260577420</v>
      </c>
      <c r="O134" s="743"/>
      <c r="P134" s="742">
        <v>1652602.1400000001</v>
      </c>
    </row>
    <row r="135" spans="1:16" ht="12" customHeight="1">
      <c r="A135" s="712" t="s">
        <v>157</v>
      </c>
      <c r="B135" s="745">
        <v>190592630</v>
      </c>
      <c r="C135" s="749"/>
      <c r="D135" s="745">
        <v>5581420.2700000005</v>
      </c>
      <c r="E135" s="749"/>
      <c r="F135" s="745">
        <v>5879860</v>
      </c>
      <c r="G135" s="749"/>
      <c r="H135" s="745">
        <v>88197.9</v>
      </c>
      <c r="I135" s="749"/>
      <c r="J135" s="745">
        <v>12182200</v>
      </c>
      <c r="K135" s="749"/>
      <c r="L135" s="745">
        <v>49904</v>
      </c>
      <c r="M135" s="749"/>
      <c r="N135" s="745">
        <v>71939940</v>
      </c>
      <c r="O135" s="749"/>
      <c r="P135" s="745">
        <v>482590.01</v>
      </c>
    </row>
    <row r="136" spans="1:16" ht="12" customHeight="1">
      <c r="A136" s="712" t="s">
        <v>159</v>
      </c>
      <c r="B136" s="745">
        <v>428230181</v>
      </c>
      <c r="C136" s="749"/>
      <c r="D136" s="745">
        <v>6786466.0800000001</v>
      </c>
      <c r="E136" s="749"/>
      <c r="F136" s="745">
        <v>42253130</v>
      </c>
      <c r="G136" s="749"/>
      <c r="H136" s="745">
        <v>595769.13</v>
      </c>
      <c r="I136" s="749"/>
      <c r="J136" s="745">
        <v>29090089</v>
      </c>
      <c r="K136" s="749"/>
      <c r="L136" s="745">
        <v>829067.54</v>
      </c>
      <c r="M136" s="749"/>
      <c r="N136" s="745">
        <v>1371641421</v>
      </c>
      <c r="O136" s="749"/>
      <c r="P136" s="745">
        <v>9464915.6899999995</v>
      </c>
    </row>
    <row r="137" spans="1:16" ht="12" customHeight="1">
      <c r="A137" s="712" t="s">
        <v>161</v>
      </c>
      <c r="B137" s="745">
        <v>294539841</v>
      </c>
      <c r="C137" s="749"/>
      <c r="D137" s="745">
        <v>6589405.5700000003</v>
      </c>
      <c r="E137" s="749"/>
      <c r="F137" s="745">
        <v>149392120</v>
      </c>
      <c r="G137" s="749"/>
      <c r="H137" s="745">
        <v>2240881.7999999998</v>
      </c>
      <c r="I137" s="749"/>
      <c r="J137" s="745">
        <v>67368180</v>
      </c>
      <c r="K137" s="749"/>
      <c r="L137" s="745">
        <v>377261.81</v>
      </c>
      <c r="M137" s="749"/>
      <c r="N137" s="745">
        <v>359338718</v>
      </c>
      <c r="O137" s="749"/>
      <c r="P137" s="745">
        <v>1947367.7400000002</v>
      </c>
    </row>
    <row r="138" spans="1:16" ht="12" customHeight="1">
      <c r="A138" s="712" t="s">
        <v>163</v>
      </c>
      <c r="B138" s="745">
        <v>774273745</v>
      </c>
      <c r="C138" s="749"/>
      <c r="D138" s="745">
        <v>26462135.650000002</v>
      </c>
      <c r="E138" s="749"/>
      <c r="F138" s="745">
        <v>3712245</v>
      </c>
      <c r="G138" s="749"/>
      <c r="H138" s="745">
        <v>148489.79999999999</v>
      </c>
      <c r="I138" s="749"/>
      <c r="J138" s="745">
        <v>0</v>
      </c>
      <c r="K138" s="751"/>
      <c r="L138" s="745">
        <v>0</v>
      </c>
      <c r="M138" s="751"/>
      <c r="N138" s="745">
        <v>443273184</v>
      </c>
      <c r="O138" s="749"/>
      <c r="P138" s="745">
        <v>3525286.35</v>
      </c>
    </row>
    <row r="139" spans="1:16" ht="12" customHeight="1"/>
    <row r="140" spans="1:16" ht="12.75" customHeight="1">
      <c r="A140" s="717" t="s">
        <v>22</v>
      </c>
      <c r="B140" s="717">
        <v>76347804669.240005</v>
      </c>
      <c r="C140" s="717"/>
      <c r="D140" s="717">
        <v>2714246287.5698733</v>
      </c>
      <c r="E140" s="717"/>
      <c r="F140" s="717">
        <v>7519458050.54</v>
      </c>
      <c r="G140" s="717"/>
      <c r="H140" s="717">
        <v>137184477.84852505</v>
      </c>
      <c r="I140" s="717"/>
      <c r="J140" s="717">
        <v>1344289010.71</v>
      </c>
      <c r="K140" s="717"/>
      <c r="L140" s="717">
        <v>14010085.905490002</v>
      </c>
      <c r="M140" s="717"/>
      <c r="N140" s="717">
        <v>39525519269.5</v>
      </c>
      <c r="O140" s="717"/>
      <c r="P140" s="717">
        <v>308631758.55084604</v>
      </c>
    </row>
    <row r="141" spans="1:16" ht="12" customHeight="1">
      <c r="A141" s="734"/>
      <c r="B141" s="734"/>
      <c r="C141" s="734"/>
      <c r="D141" s="734"/>
      <c r="E141" s="734"/>
      <c r="F141" s="734"/>
      <c r="G141" s="734"/>
      <c r="H141" s="734"/>
      <c r="I141" s="734"/>
      <c r="J141" s="734"/>
      <c r="K141" s="734"/>
      <c r="L141" s="734"/>
      <c r="M141" s="734"/>
      <c r="N141" s="734"/>
      <c r="O141" s="734"/>
      <c r="P141" s="734"/>
    </row>
    <row r="142" spans="1:16" ht="12.75" customHeight="1" thickBot="1">
      <c r="A142" s="733"/>
      <c r="B142" s="752"/>
      <c r="C142" s="752"/>
      <c r="D142" s="752"/>
      <c r="E142" s="752"/>
      <c r="F142" s="752"/>
      <c r="G142" s="752"/>
      <c r="H142" s="752"/>
      <c r="I142" s="752"/>
      <c r="J142" s="752"/>
      <c r="K142" s="752"/>
      <c r="L142" s="752"/>
      <c r="M142" s="752"/>
      <c r="N142" s="752"/>
      <c r="O142" s="752"/>
      <c r="P142" s="752"/>
    </row>
    <row r="143" spans="1:16" ht="14.25" customHeight="1">
      <c r="A143" s="723"/>
      <c r="B143" s="1649" t="s">
        <v>839</v>
      </c>
      <c r="C143" s="1649"/>
      <c r="D143" s="1649"/>
      <c r="E143" s="723"/>
      <c r="F143" s="1649" t="s">
        <v>840</v>
      </c>
      <c r="G143" s="1649"/>
      <c r="H143" s="1649"/>
      <c r="I143" s="723"/>
      <c r="J143" s="1649" t="s">
        <v>841</v>
      </c>
      <c r="K143" s="1649"/>
      <c r="L143" s="1649"/>
      <c r="M143" s="723"/>
      <c r="N143" s="1649" t="s">
        <v>842</v>
      </c>
      <c r="O143" s="1649"/>
      <c r="P143" s="1649"/>
    </row>
    <row r="144" spans="1:16" ht="12" customHeight="1">
      <c r="A144" s="740" t="s">
        <v>23</v>
      </c>
      <c r="B144" s="741" t="s">
        <v>843</v>
      </c>
      <c r="C144" s="714"/>
      <c r="D144" s="741" t="s">
        <v>844</v>
      </c>
      <c r="E144" s="714"/>
      <c r="F144" s="741" t="s">
        <v>843</v>
      </c>
      <c r="G144" s="714"/>
      <c r="H144" s="741" t="s">
        <v>844</v>
      </c>
      <c r="I144" s="714"/>
      <c r="J144" s="741" t="s">
        <v>843</v>
      </c>
      <c r="K144" s="714"/>
      <c r="L144" s="741" t="s">
        <v>844</v>
      </c>
      <c r="M144" s="714"/>
      <c r="N144" s="741" t="s">
        <v>843</v>
      </c>
      <c r="O144" s="714"/>
      <c r="P144" s="741" t="s">
        <v>844</v>
      </c>
    </row>
    <row r="145" spans="1:16" ht="8.25" customHeight="1"/>
    <row r="146" spans="1:16" ht="12" customHeight="1">
      <c r="A146" s="712" t="s">
        <v>889</v>
      </c>
      <c r="B146" s="753">
        <v>1779120378.3199999</v>
      </c>
      <c r="C146" s="749"/>
      <c r="D146" s="742">
        <v>74296234.260000005</v>
      </c>
      <c r="E146" s="744"/>
      <c r="F146" s="753">
        <v>9818870</v>
      </c>
      <c r="G146" s="742"/>
      <c r="H146" s="753">
        <v>441849.15</v>
      </c>
      <c r="I146" s="742"/>
      <c r="J146" s="753">
        <v>0</v>
      </c>
      <c r="K146" s="742"/>
      <c r="L146" s="753">
        <v>0</v>
      </c>
      <c r="M146" s="742"/>
      <c r="N146" s="753">
        <v>642118336</v>
      </c>
      <c r="O146" s="742"/>
      <c r="P146" s="742">
        <v>7287088.4134999998</v>
      </c>
    </row>
    <row r="147" spans="1:16" ht="12" customHeight="1">
      <c r="A147" s="712" t="s">
        <v>170</v>
      </c>
      <c r="B147" s="744">
        <v>119452573</v>
      </c>
      <c r="C147" s="749"/>
      <c r="D147" s="744">
        <v>2854814.3104000003</v>
      </c>
      <c r="E147" s="749"/>
      <c r="F147" s="744">
        <v>9880160</v>
      </c>
      <c r="G147" s="749"/>
      <c r="H147" s="744">
        <v>691611.2</v>
      </c>
      <c r="I147" s="749"/>
      <c r="J147" s="747">
        <v>0</v>
      </c>
      <c r="K147" s="751"/>
      <c r="L147" s="751">
        <v>0</v>
      </c>
      <c r="M147" s="751"/>
      <c r="N147" s="744">
        <v>22739173</v>
      </c>
      <c r="O147" s="749"/>
      <c r="P147" s="744">
        <v>266048.32410000003</v>
      </c>
    </row>
    <row r="148" spans="1:16" ht="12" customHeight="1">
      <c r="A148" s="712" t="s">
        <v>172</v>
      </c>
      <c r="B148" s="744">
        <v>35983511</v>
      </c>
      <c r="C148" s="745"/>
      <c r="D148" s="744">
        <v>2075807.2000000002</v>
      </c>
      <c r="E148" s="745"/>
      <c r="F148" s="744">
        <v>7747000</v>
      </c>
      <c r="G148" s="745"/>
      <c r="H148" s="744">
        <v>329247.5</v>
      </c>
      <c r="I148" s="745"/>
      <c r="J148" s="747">
        <v>0</v>
      </c>
      <c r="K148" s="751"/>
      <c r="L148" s="751">
        <v>0</v>
      </c>
      <c r="M148" s="751"/>
      <c r="N148" s="744">
        <v>283769.03999999998</v>
      </c>
      <c r="O148" s="749"/>
      <c r="P148" s="744">
        <v>4274.6000000000004</v>
      </c>
    </row>
    <row r="149" spans="1:16" ht="12" customHeight="1">
      <c r="A149" s="712" t="s">
        <v>174</v>
      </c>
      <c r="B149" s="744">
        <v>382105057</v>
      </c>
      <c r="C149" s="749"/>
      <c r="D149" s="744">
        <v>12716115.259999998</v>
      </c>
      <c r="E149" s="749"/>
      <c r="F149" s="744">
        <v>7827125</v>
      </c>
      <c r="G149" s="745"/>
      <c r="H149" s="744">
        <v>328739.34000000003</v>
      </c>
      <c r="I149" s="745"/>
      <c r="J149" s="747">
        <v>0</v>
      </c>
      <c r="K149" s="751"/>
      <c r="L149" s="751">
        <v>0</v>
      </c>
      <c r="M149" s="751"/>
      <c r="N149" s="744">
        <v>152810590</v>
      </c>
      <c r="O149" s="749"/>
      <c r="P149" s="744">
        <v>1459388.75</v>
      </c>
    </row>
    <row r="150" spans="1:16" ht="12" customHeight="1">
      <c r="A150" s="712" t="s">
        <v>119</v>
      </c>
      <c r="B150" s="744">
        <v>2349824115</v>
      </c>
      <c r="C150" s="749"/>
      <c r="D150" s="744">
        <v>92416537.395799994</v>
      </c>
      <c r="E150" s="749"/>
      <c r="F150" s="744">
        <v>94642761</v>
      </c>
      <c r="G150" s="745"/>
      <c r="H150" s="744">
        <v>3028568.352</v>
      </c>
      <c r="I150" s="745"/>
      <c r="J150" s="747">
        <v>0</v>
      </c>
      <c r="K150" s="751"/>
      <c r="L150" s="751">
        <v>0</v>
      </c>
      <c r="M150" s="751"/>
      <c r="N150" s="744">
        <v>1034682340</v>
      </c>
      <c r="O150" s="749"/>
      <c r="P150" s="744">
        <v>10875151.834799999</v>
      </c>
    </row>
    <row r="151" spans="1:16" ht="8.25" customHeight="1">
      <c r="B151" s="744"/>
      <c r="C151" s="749"/>
      <c r="D151" s="744"/>
      <c r="E151" s="749"/>
      <c r="F151" s="744"/>
      <c r="G151" s="745"/>
      <c r="H151" s="744"/>
      <c r="I151" s="745"/>
      <c r="J151" s="747"/>
      <c r="K151" s="751"/>
      <c r="L151" s="751"/>
      <c r="M151" s="751"/>
      <c r="N151" s="744"/>
      <c r="O151" s="749"/>
      <c r="P151" s="744"/>
    </row>
    <row r="152" spans="1:16" ht="12" customHeight="1">
      <c r="A152" s="712" t="s">
        <v>121</v>
      </c>
      <c r="B152" s="744">
        <v>145966747</v>
      </c>
      <c r="C152" s="751"/>
      <c r="D152" s="744">
        <v>5108836.1449999996</v>
      </c>
      <c r="E152" s="747"/>
      <c r="F152" s="744">
        <v>5581577</v>
      </c>
      <c r="G152" s="745"/>
      <c r="H152" s="744">
        <v>111631.54</v>
      </c>
      <c r="I152" s="745"/>
      <c r="J152" s="747">
        <v>0</v>
      </c>
      <c r="K152" s="751"/>
      <c r="L152" s="751">
        <v>0</v>
      </c>
      <c r="M152" s="751"/>
      <c r="N152" s="744">
        <v>37751450</v>
      </c>
      <c r="O152" s="747"/>
      <c r="P152" s="744">
        <v>453017.4</v>
      </c>
    </row>
    <row r="153" spans="1:16" ht="12" customHeight="1">
      <c r="A153" s="712" t="s">
        <v>123</v>
      </c>
      <c r="B153" s="744">
        <v>54855375</v>
      </c>
      <c r="C153" s="749"/>
      <c r="D153" s="744">
        <v>1668330.6059999999</v>
      </c>
      <c r="E153" s="744"/>
      <c r="F153" s="744">
        <v>124657590</v>
      </c>
      <c r="G153" s="745"/>
      <c r="H153" s="744">
        <v>3440549.4839999997</v>
      </c>
      <c r="I153" s="745"/>
      <c r="J153" s="747">
        <v>0</v>
      </c>
      <c r="K153" s="751"/>
      <c r="L153" s="751">
        <v>0</v>
      </c>
      <c r="M153" s="751"/>
      <c r="N153" s="744">
        <v>240961221</v>
      </c>
      <c r="O153" s="744"/>
      <c r="P153" s="744">
        <v>1927689.7680000002</v>
      </c>
    </row>
    <row r="154" spans="1:16" ht="12" customHeight="1">
      <c r="A154" s="712" t="s">
        <v>125</v>
      </c>
      <c r="B154" s="744">
        <v>350622643</v>
      </c>
      <c r="C154" s="749"/>
      <c r="D154" s="744">
        <v>11950120.610000001</v>
      </c>
      <c r="E154" s="744"/>
      <c r="F154" s="744">
        <v>112709350</v>
      </c>
      <c r="G154" s="745"/>
      <c r="H154" s="744">
        <v>1690640.25</v>
      </c>
      <c r="I154" s="745"/>
      <c r="J154" s="747">
        <v>0</v>
      </c>
      <c r="K154" s="751"/>
      <c r="L154" s="751">
        <v>0</v>
      </c>
      <c r="M154" s="751"/>
      <c r="N154" s="744">
        <v>120928855</v>
      </c>
      <c r="O154" s="744"/>
      <c r="P154" s="744">
        <v>971843.05</v>
      </c>
    </row>
    <row r="155" spans="1:16" ht="12" customHeight="1">
      <c r="A155" s="712" t="s">
        <v>127</v>
      </c>
      <c r="B155" s="744">
        <v>40137702</v>
      </c>
      <c r="C155" s="749"/>
      <c r="D155" s="744">
        <v>2001958.909</v>
      </c>
      <c r="E155" s="744"/>
      <c r="F155" s="744">
        <v>9196831</v>
      </c>
      <c r="G155" s="745"/>
      <c r="H155" s="744">
        <v>459841.55</v>
      </c>
      <c r="I155" s="745"/>
      <c r="J155" s="747">
        <v>0</v>
      </c>
      <c r="K155" s="751"/>
      <c r="L155" s="751">
        <v>0</v>
      </c>
      <c r="M155" s="751"/>
      <c r="N155" s="744">
        <v>23344384</v>
      </c>
      <c r="O155" s="744"/>
      <c r="P155" s="744">
        <v>222516.96949999998</v>
      </c>
    </row>
    <row r="156" spans="1:16" ht="12" customHeight="1">
      <c r="A156" s="712" t="s">
        <v>884</v>
      </c>
      <c r="B156" s="744">
        <v>355371444</v>
      </c>
      <c r="C156" s="745"/>
      <c r="D156" s="744">
        <v>12569166.48</v>
      </c>
      <c r="E156" s="745"/>
      <c r="F156" s="744">
        <v>968682</v>
      </c>
      <c r="G156" s="745"/>
      <c r="H156" s="744">
        <v>40006.58</v>
      </c>
      <c r="I156" s="745"/>
      <c r="J156" s="744">
        <v>0</v>
      </c>
      <c r="K156" s="745"/>
      <c r="L156" s="744">
        <v>0</v>
      </c>
      <c r="M156" s="745"/>
      <c r="N156" s="744">
        <v>119090933</v>
      </c>
      <c r="O156" s="745"/>
      <c r="P156" s="744">
        <v>1399318.46</v>
      </c>
    </row>
    <row r="157" spans="1:16" ht="8.25" customHeight="1">
      <c r="B157" s="744"/>
      <c r="C157" s="745"/>
      <c r="D157" s="744"/>
      <c r="E157" s="745"/>
      <c r="F157" s="744"/>
      <c r="G157" s="745"/>
      <c r="H157" s="744"/>
      <c r="I157" s="745"/>
      <c r="J157" s="744"/>
      <c r="K157" s="745"/>
      <c r="L157" s="744"/>
      <c r="M157" s="745"/>
      <c r="N157" s="744"/>
      <c r="O157" s="745"/>
      <c r="P157" s="744"/>
    </row>
    <row r="158" spans="1:16" ht="12" customHeight="1">
      <c r="A158" s="712" t="s">
        <v>423</v>
      </c>
      <c r="B158" s="744">
        <v>155919964</v>
      </c>
      <c r="C158" s="745"/>
      <c r="D158" s="744">
        <v>7795998.2000000002</v>
      </c>
      <c r="E158" s="745"/>
      <c r="F158" s="744">
        <v>0</v>
      </c>
      <c r="G158" s="745"/>
      <c r="H158" s="744">
        <v>0</v>
      </c>
      <c r="I158" s="745"/>
      <c r="J158" s="744">
        <v>0</v>
      </c>
      <c r="K158" s="745"/>
      <c r="L158" s="744">
        <v>0</v>
      </c>
      <c r="M158" s="745"/>
      <c r="N158" s="744">
        <v>0</v>
      </c>
      <c r="O158" s="745"/>
      <c r="P158" s="744">
        <v>0</v>
      </c>
    </row>
    <row r="159" spans="1:16" ht="12" customHeight="1">
      <c r="A159" s="712" t="s">
        <v>24</v>
      </c>
      <c r="B159" s="744">
        <v>67729504</v>
      </c>
      <c r="C159" s="745"/>
      <c r="D159" s="744">
        <v>3047827.68</v>
      </c>
      <c r="E159" s="745"/>
      <c r="F159" s="744">
        <v>1205332</v>
      </c>
      <c r="G159" s="745"/>
      <c r="H159" s="744">
        <v>24106.639999999999</v>
      </c>
      <c r="I159" s="745"/>
      <c r="J159" s="744">
        <v>0</v>
      </c>
      <c r="K159" s="745"/>
      <c r="L159" s="744">
        <v>0</v>
      </c>
      <c r="M159" s="745"/>
      <c r="N159" s="744">
        <v>8390726</v>
      </c>
      <c r="O159" s="745"/>
      <c r="P159" s="744">
        <v>86537.669199999989</v>
      </c>
    </row>
    <row r="160" spans="1:16" ht="12" customHeight="1">
      <c r="A160" s="712" t="s">
        <v>132</v>
      </c>
      <c r="B160" s="744">
        <v>396802006</v>
      </c>
      <c r="C160" s="745"/>
      <c r="D160" s="744">
        <v>13491268.203999998</v>
      </c>
      <c r="E160" s="745"/>
      <c r="F160" s="744">
        <v>16251225</v>
      </c>
      <c r="G160" s="745"/>
      <c r="H160" s="744">
        <v>130009.8</v>
      </c>
      <c r="I160" s="745"/>
      <c r="J160" s="744">
        <v>0</v>
      </c>
      <c r="K160" s="745"/>
      <c r="L160" s="744">
        <v>0</v>
      </c>
      <c r="M160" s="745"/>
      <c r="N160" s="744">
        <v>657943</v>
      </c>
      <c r="O160" s="745"/>
      <c r="P160" s="744">
        <v>5664.5160000000005</v>
      </c>
    </row>
    <row r="161" spans="1:16" ht="12" customHeight="1">
      <c r="A161" s="712" t="s">
        <v>134</v>
      </c>
      <c r="B161" s="744">
        <v>45782687</v>
      </c>
      <c r="C161" s="749"/>
      <c r="D161" s="744">
        <v>1019090.6209999999</v>
      </c>
      <c r="E161" s="744"/>
      <c r="F161" s="744">
        <v>84993232</v>
      </c>
      <c r="G161" s="744"/>
      <c r="H161" s="744">
        <v>1274898.48</v>
      </c>
      <c r="I161" s="744"/>
      <c r="J161" s="744">
        <v>0</v>
      </c>
      <c r="K161" s="744"/>
      <c r="L161" s="744">
        <v>0</v>
      </c>
      <c r="M161" s="744"/>
      <c r="N161" s="744">
        <v>15615523</v>
      </c>
      <c r="O161" s="744"/>
      <c r="P161" s="744">
        <v>127714.08550000002</v>
      </c>
    </row>
    <row r="162" spans="1:16" ht="12" customHeight="1">
      <c r="A162" s="712" t="s">
        <v>433</v>
      </c>
      <c r="B162" s="744">
        <v>1091333359</v>
      </c>
      <c r="C162" s="745"/>
      <c r="D162" s="744">
        <v>46214999.608000003</v>
      </c>
      <c r="E162" s="745"/>
      <c r="F162" s="744">
        <v>85797234</v>
      </c>
      <c r="G162" s="745"/>
      <c r="H162" s="744">
        <v>2850327.0950000002</v>
      </c>
      <c r="I162" s="745"/>
      <c r="J162" s="744">
        <v>0</v>
      </c>
      <c r="K162" s="745"/>
      <c r="L162" s="744">
        <v>0</v>
      </c>
      <c r="M162" s="745"/>
      <c r="N162" s="744">
        <v>395655954</v>
      </c>
      <c r="O162" s="745"/>
      <c r="P162" s="744">
        <v>4921452.928199999</v>
      </c>
    </row>
    <row r="163" spans="1:16" ht="8.25" customHeight="1">
      <c r="B163" s="744"/>
      <c r="C163" s="745"/>
      <c r="D163" s="744"/>
      <c r="E163" s="745"/>
      <c r="F163" s="744"/>
      <c r="G163" s="745"/>
      <c r="H163" s="744"/>
      <c r="I163" s="745"/>
      <c r="J163" s="744"/>
      <c r="K163" s="745"/>
      <c r="L163" s="744"/>
      <c r="M163" s="745"/>
      <c r="N163" s="744"/>
      <c r="O163" s="745"/>
      <c r="P163" s="744"/>
    </row>
    <row r="164" spans="1:16" ht="12" customHeight="1">
      <c r="A164" s="712" t="s">
        <v>811</v>
      </c>
      <c r="B164" s="744">
        <v>443336602</v>
      </c>
      <c r="C164" s="749"/>
      <c r="D164" s="744">
        <v>12687094.592599999</v>
      </c>
      <c r="E164" s="744"/>
      <c r="F164" s="744">
        <v>129877009</v>
      </c>
      <c r="G164" s="744"/>
      <c r="H164" s="744">
        <v>2753392.5908000004</v>
      </c>
      <c r="I164" s="744"/>
      <c r="J164" s="744">
        <v>0</v>
      </c>
      <c r="K164" s="747"/>
      <c r="L164" s="744">
        <v>0</v>
      </c>
      <c r="M164" s="747"/>
      <c r="N164" s="744">
        <v>48885871</v>
      </c>
      <c r="O164" s="744"/>
      <c r="P164" s="744">
        <v>421097.84180000005</v>
      </c>
    </row>
    <row r="165" spans="1:16" ht="12" customHeight="1">
      <c r="A165" s="712" t="s">
        <v>140</v>
      </c>
      <c r="B165" s="744">
        <v>153554392</v>
      </c>
      <c r="C165" s="749"/>
      <c r="D165" s="744">
        <v>5368088.1677000001</v>
      </c>
      <c r="E165" s="744"/>
      <c r="F165" s="744">
        <v>290803910</v>
      </c>
      <c r="G165" s="744"/>
      <c r="H165" s="744">
        <v>0</v>
      </c>
      <c r="I165" s="744"/>
      <c r="J165" s="744">
        <v>0</v>
      </c>
      <c r="K165" s="744"/>
      <c r="L165" s="744">
        <v>0</v>
      </c>
      <c r="M165" s="744"/>
      <c r="N165" s="744">
        <v>396788105</v>
      </c>
      <c r="O165" s="744"/>
      <c r="P165" s="744">
        <v>4489703.1084999992</v>
      </c>
    </row>
    <row r="166" spans="1:16" ht="12" customHeight="1">
      <c r="A166" s="712" t="s">
        <v>812</v>
      </c>
      <c r="B166" s="744">
        <v>44001870.950000003</v>
      </c>
      <c r="C166" s="749"/>
      <c r="D166" s="744">
        <v>1867150.6503750002</v>
      </c>
      <c r="E166" s="744"/>
      <c r="F166" s="744">
        <v>86864.35</v>
      </c>
      <c r="G166" s="744"/>
      <c r="H166" s="744">
        <v>3691.7348750000006</v>
      </c>
      <c r="I166" s="744"/>
      <c r="J166" s="744">
        <v>0</v>
      </c>
      <c r="K166" s="744"/>
      <c r="L166" s="744">
        <v>0</v>
      </c>
      <c r="M166" s="744"/>
      <c r="N166" s="744">
        <v>189714</v>
      </c>
      <c r="O166" s="744"/>
      <c r="P166" s="744">
        <v>8062.8450000000003</v>
      </c>
    </row>
    <row r="167" spans="1:16" ht="12" customHeight="1">
      <c r="A167" s="712" t="s">
        <v>144</v>
      </c>
      <c r="B167" s="744">
        <v>706588807</v>
      </c>
      <c r="C167" s="749"/>
      <c r="D167" s="744">
        <v>22432588.0656</v>
      </c>
      <c r="E167" s="744"/>
      <c r="F167" s="744">
        <v>175643050</v>
      </c>
      <c r="G167" s="744"/>
      <c r="H167" s="744">
        <v>5269291.5</v>
      </c>
      <c r="I167" s="744"/>
      <c r="J167" s="744">
        <v>0</v>
      </c>
      <c r="K167" s="747"/>
      <c r="L167" s="744">
        <v>0</v>
      </c>
      <c r="M167" s="747"/>
      <c r="N167" s="744">
        <v>234378511</v>
      </c>
      <c r="O167" s="744"/>
      <c r="P167" s="744">
        <v>2611364.3160000001</v>
      </c>
    </row>
    <row r="168" spans="1:16" ht="12" customHeight="1">
      <c r="A168" s="712" t="s">
        <v>813</v>
      </c>
      <c r="B168" s="744">
        <v>394726840</v>
      </c>
      <c r="C168" s="749"/>
      <c r="D168" s="744">
        <v>13983311.2535</v>
      </c>
      <c r="E168" s="744"/>
      <c r="F168" s="744">
        <v>528032440</v>
      </c>
      <c r="G168" s="744"/>
      <c r="H168" s="744">
        <v>4948396.0410000002</v>
      </c>
      <c r="I168" s="744"/>
      <c r="J168" s="744">
        <v>0</v>
      </c>
      <c r="K168" s="747"/>
      <c r="L168" s="744">
        <v>0</v>
      </c>
      <c r="M168" s="747"/>
      <c r="N168" s="744">
        <v>107611630</v>
      </c>
      <c r="O168" s="744"/>
      <c r="P168" s="744">
        <v>1592864.76</v>
      </c>
    </row>
    <row r="169" spans="1:16" ht="14.25" customHeight="1">
      <c r="A169" s="711" t="s">
        <v>845</v>
      </c>
      <c r="B169" s="737"/>
      <c r="C169" s="723"/>
      <c r="D169" s="737"/>
      <c r="E169" s="723"/>
      <c r="F169" s="737"/>
      <c r="G169" s="723"/>
      <c r="H169" s="737"/>
      <c r="I169" s="723"/>
      <c r="J169" s="737"/>
      <c r="K169" s="723"/>
      <c r="L169" s="737"/>
      <c r="M169" s="723"/>
      <c r="N169" s="737"/>
      <c r="O169" s="723"/>
      <c r="P169" s="737"/>
    </row>
    <row r="170" spans="1:16" s="647" customFormat="1" ht="13">
      <c r="A170" s="738" t="s">
        <v>838</v>
      </c>
      <c r="B170" s="738"/>
      <c r="C170" s="738"/>
      <c r="D170" s="738"/>
      <c r="E170" s="738"/>
      <c r="F170" s="738"/>
      <c r="G170" s="738"/>
      <c r="H170" s="738"/>
      <c r="I170" s="738"/>
      <c r="J170" s="738"/>
      <c r="K170" s="738"/>
      <c r="L170" s="738"/>
      <c r="M170" s="738"/>
      <c r="N170" s="738"/>
      <c r="O170" s="738"/>
      <c r="P170" s="738"/>
    </row>
    <row r="171" spans="1:16" ht="13">
      <c r="A171" s="738" t="s">
        <v>879</v>
      </c>
      <c r="B171" s="738"/>
      <c r="C171" s="739"/>
      <c r="D171" s="739"/>
      <c r="E171" s="739"/>
      <c r="F171" s="739"/>
      <c r="G171" s="739"/>
      <c r="H171" s="739"/>
      <c r="I171" s="739"/>
      <c r="J171" s="739"/>
      <c r="K171" s="739"/>
      <c r="L171" s="739"/>
      <c r="M171" s="739"/>
      <c r="N171" s="739"/>
      <c r="O171" s="739"/>
      <c r="P171" s="739"/>
    </row>
    <row r="172" spans="1:16" ht="8.25" customHeight="1" thickBot="1">
      <c r="A172" s="713"/>
      <c r="B172" s="713"/>
      <c r="C172" s="713"/>
      <c r="D172" s="713"/>
      <c r="E172" s="713"/>
      <c r="F172" s="713"/>
      <c r="G172" s="713"/>
      <c r="H172" s="713"/>
      <c r="I172" s="713"/>
      <c r="J172" s="713"/>
      <c r="K172" s="713"/>
      <c r="L172" s="713"/>
      <c r="M172" s="713"/>
      <c r="N172" s="713"/>
      <c r="O172" s="713"/>
      <c r="P172" s="713"/>
    </row>
    <row r="173" spans="1:16" ht="12.75" customHeight="1">
      <c r="A173" s="723"/>
      <c r="B173" s="1649" t="s">
        <v>839</v>
      </c>
      <c r="C173" s="1649"/>
      <c r="D173" s="1649"/>
      <c r="E173" s="723"/>
      <c r="F173" s="1649" t="s">
        <v>840</v>
      </c>
      <c r="G173" s="1649"/>
      <c r="H173" s="1649"/>
      <c r="I173" s="723"/>
      <c r="J173" s="1649" t="s">
        <v>841</v>
      </c>
      <c r="K173" s="1649"/>
      <c r="L173" s="1649"/>
      <c r="M173" s="723"/>
      <c r="N173" s="1649" t="s">
        <v>842</v>
      </c>
      <c r="O173" s="1649"/>
      <c r="P173" s="1649"/>
    </row>
    <row r="174" spans="1:16" ht="10.5" customHeight="1">
      <c r="A174" s="740" t="s">
        <v>23</v>
      </c>
      <c r="B174" s="741" t="s">
        <v>843</v>
      </c>
      <c r="C174" s="714"/>
      <c r="D174" s="741" t="s">
        <v>844</v>
      </c>
      <c r="E174" s="714"/>
      <c r="F174" s="741" t="s">
        <v>843</v>
      </c>
      <c r="G174" s="714"/>
      <c r="H174" s="741" t="s">
        <v>844</v>
      </c>
      <c r="I174" s="714"/>
      <c r="J174" s="741" t="s">
        <v>843</v>
      </c>
      <c r="K174" s="714"/>
      <c r="L174" s="741" t="s">
        <v>844</v>
      </c>
      <c r="M174" s="714"/>
      <c r="N174" s="741" t="s">
        <v>843</v>
      </c>
      <c r="O174" s="714"/>
      <c r="P174" s="741" t="s">
        <v>844</v>
      </c>
    </row>
    <row r="175" spans="1:16" ht="6" customHeight="1"/>
    <row r="176" spans="1:16" ht="12" customHeight="1">
      <c r="A176" s="712" t="s">
        <v>887</v>
      </c>
      <c r="B176" s="742">
        <v>148861685</v>
      </c>
      <c r="C176" s="743"/>
      <c r="D176" s="742">
        <v>5208028.6000000006</v>
      </c>
      <c r="E176" s="743"/>
      <c r="F176" s="742">
        <v>1001820</v>
      </c>
      <c r="G176" s="743"/>
      <c r="H176" s="742">
        <v>35063.79</v>
      </c>
      <c r="I176" s="743"/>
      <c r="J176" s="742">
        <v>0</v>
      </c>
      <c r="K176" s="743"/>
      <c r="L176" s="742">
        <v>0</v>
      </c>
      <c r="M176" s="743"/>
      <c r="N176" s="742">
        <v>29893474</v>
      </c>
      <c r="O176" s="743"/>
      <c r="P176" s="742">
        <v>463348.85</v>
      </c>
    </row>
    <row r="177" spans="1:16" ht="12" customHeight="1">
      <c r="A177" s="712" t="s">
        <v>150</v>
      </c>
      <c r="B177" s="744">
        <v>121108524</v>
      </c>
      <c r="C177" s="749"/>
      <c r="D177" s="744">
        <v>2785075.3469999996</v>
      </c>
      <c r="E177" s="749"/>
      <c r="F177" s="744">
        <v>9271824</v>
      </c>
      <c r="G177" s="749"/>
      <c r="H177" s="744">
        <v>171528.74400000001</v>
      </c>
      <c r="I177" s="749"/>
      <c r="J177" s="744">
        <v>0</v>
      </c>
      <c r="K177" s="749"/>
      <c r="L177" s="744">
        <v>0</v>
      </c>
      <c r="M177" s="749"/>
      <c r="N177" s="744">
        <v>26482800</v>
      </c>
      <c r="O177" s="749"/>
      <c r="P177" s="744">
        <v>287280.060084</v>
      </c>
    </row>
    <row r="178" spans="1:16" ht="12" customHeight="1">
      <c r="A178" s="712" t="s">
        <v>152</v>
      </c>
      <c r="B178" s="744">
        <v>1481437647</v>
      </c>
      <c r="C178" s="749"/>
      <c r="D178" s="744">
        <v>63099596.520400003</v>
      </c>
      <c r="E178" s="749"/>
      <c r="F178" s="744">
        <v>654377924</v>
      </c>
      <c r="G178" s="749"/>
      <c r="H178" s="744">
        <v>24539172.43</v>
      </c>
      <c r="I178" s="749"/>
      <c r="J178" s="744">
        <v>0</v>
      </c>
      <c r="K178" s="749"/>
      <c r="L178" s="744">
        <v>0</v>
      </c>
      <c r="M178" s="749"/>
      <c r="N178" s="744">
        <v>349211885</v>
      </c>
      <c r="O178" s="749"/>
      <c r="P178" s="744">
        <v>4386273.9226000002</v>
      </c>
    </row>
    <row r="179" spans="1:16" ht="12" customHeight="1">
      <c r="A179" s="712" t="s">
        <v>154</v>
      </c>
      <c r="B179" s="744">
        <v>726794194.14999998</v>
      </c>
      <c r="C179" s="745"/>
      <c r="D179" s="744">
        <v>27554555.665875003</v>
      </c>
      <c r="E179" s="745"/>
      <c r="F179" s="744">
        <v>206173924</v>
      </c>
      <c r="G179" s="745"/>
      <c r="H179" s="744">
        <v>6513149.9330000002</v>
      </c>
      <c r="I179" s="745"/>
      <c r="J179" s="744">
        <v>0</v>
      </c>
      <c r="K179" s="745"/>
      <c r="L179" s="744">
        <v>0</v>
      </c>
      <c r="M179" s="745"/>
      <c r="N179" s="744">
        <v>799618378</v>
      </c>
      <c r="O179" s="745"/>
      <c r="P179" s="744">
        <v>9222755.6679999996</v>
      </c>
    </row>
    <row r="180" spans="1:16" ht="12" customHeight="1">
      <c r="A180" s="712" t="s">
        <v>814</v>
      </c>
      <c r="B180" s="744">
        <v>33141316</v>
      </c>
      <c r="C180" s="745"/>
      <c r="D180" s="744">
        <v>663528.36950000003</v>
      </c>
      <c r="E180" s="745"/>
      <c r="F180" s="744">
        <v>5194981</v>
      </c>
      <c r="G180" s="745"/>
      <c r="H180" s="744">
        <v>106497.1105</v>
      </c>
      <c r="I180" s="745"/>
      <c r="J180" s="744">
        <v>0</v>
      </c>
      <c r="K180" s="745"/>
      <c r="L180" s="744">
        <v>0</v>
      </c>
      <c r="M180" s="745"/>
      <c r="N180" s="744">
        <v>26890950</v>
      </c>
      <c r="O180" s="745"/>
      <c r="P180" s="744">
        <v>242018.55</v>
      </c>
    </row>
    <row r="181" spans="1:16" ht="6" customHeight="1">
      <c r="B181" s="744"/>
      <c r="C181" s="745"/>
      <c r="D181" s="744"/>
      <c r="E181" s="745"/>
      <c r="F181" s="744"/>
      <c r="G181" s="745"/>
      <c r="H181" s="744"/>
      <c r="I181" s="745"/>
      <c r="J181" s="744"/>
      <c r="K181" s="745"/>
      <c r="L181" s="744"/>
      <c r="M181" s="745"/>
      <c r="N181" s="744"/>
      <c r="O181" s="745"/>
      <c r="P181" s="744"/>
    </row>
    <row r="182" spans="1:16" ht="12" customHeight="1">
      <c r="A182" s="712" t="s">
        <v>886</v>
      </c>
      <c r="B182" s="744">
        <v>179256015</v>
      </c>
      <c r="C182" s="745"/>
      <c r="D182" s="744">
        <v>46608240.060000002</v>
      </c>
      <c r="E182" s="745"/>
      <c r="F182" s="744">
        <v>38823776</v>
      </c>
      <c r="G182" s="745"/>
      <c r="H182" s="744">
        <v>1475303.48</v>
      </c>
      <c r="I182" s="745"/>
      <c r="J182" s="744">
        <v>0</v>
      </c>
      <c r="K182" s="745"/>
      <c r="L182" s="744">
        <v>0</v>
      </c>
      <c r="M182" s="745"/>
      <c r="N182" s="744">
        <v>311967873</v>
      </c>
      <c r="O182" s="745"/>
      <c r="P182" s="744">
        <v>7372264.2699999996</v>
      </c>
    </row>
    <row r="183" spans="1:16" ht="12" customHeight="1">
      <c r="A183" s="712" t="s">
        <v>885</v>
      </c>
      <c r="B183" s="744">
        <v>162722390</v>
      </c>
      <c r="C183" s="745"/>
      <c r="D183" s="744">
        <v>4866799.04</v>
      </c>
      <c r="E183" s="745"/>
      <c r="F183" s="744">
        <v>0</v>
      </c>
      <c r="G183" s="745"/>
      <c r="H183" s="744">
        <v>0</v>
      </c>
      <c r="I183" s="745"/>
      <c r="J183" s="744">
        <v>0</v>
      </c>
      <c r="K183" s="745"/>
      <c r="L183" s="744">
        <v>0</v>
      </c>
      <c r="M183" s="745"/>
      <c r="N183" s="744">
        <v>22895189</v>
      </c>
      <c r="O183" s="745"/>
      <c r="P183" s="744">
        <v>261005.16</v>
      </c>
    </row>
    <row r="184" spans="1:16" ht="12" customHeight="1">
      <c r="A184" s="712" t="s">
        <v>871</v>
      </c>
      <c r="B184" s="744">
        <v>742662810.92999995</v>
      </c>
      <c r="C184" s="745"/>
      <c r="D184" s="744">
        <v>32730745.759999998</v>
      </c>
      <c r="E184" s="745"/>
      <c r="F184" s="744">
        <v>34139299</v>
      </c>
      <c r="G184" s="745"/>
      <c r="H184" s="744">
        <v>1024540.23</v>
      </c>
      <c r="I184" s="745"/>
      <c r="J184" s="744">
        <v>0</v>
      </c>
      <c r="K184" s="745"/>
      <c r="L184" s="744">
        <v>0</v>
      </c>
      <c r="M184" s="745"/>
      <c r="N184" s="744">
        <v>249173089</v>
      </c>
      <c r="O184" s="745"/>
      <c r="P184" s="744">
        <v>3281878.31</v>
      </c>
    </row>
    <row r="185" spans="1:16" ht="12" customHeight="1">
      <c r="A185" s="712" t="s">
        <v>164</v>
      </c>
      <c r="B185" s="744">
        <v>65822818</v>
      </c>
      <c r="C185" s="749"/>
      <c r="D185" s="744">
        <v>1598807.11</v>
      </c>
      <c r="E185" s="749"/>
      <c r="F185" s="744">
        <v>15590734</v>
      </c>
      <c r="G185" s="749"/>
      <c r="H185" s="744">
        <v>274396.95</v>
      </c>
      <c r="I185" s="749"/>
      <c r="J185" s="744">
        <v>0</v>
      </c>
      <c r="K185" s="749"/>
      <c r="L185" s="744">
        <v>0</v>
      </c>
      <c r="M185" s="749"/>
      <c r="N185" s="744">
        <v>25370785</v>
      </c>
      <c r="O185" s="749"/>
      <c r="P185" s="744">
        <v>208123.72999999998</v>
      </c>
    </row>
    <row r="186" spans="1:16" ht="12" customHeight="1">
      <c r="A186" s="712" t="s">
        <v>892</v>
      </c>
      <c r="B186" s="744">
        <v>1644133094</v>
      </c>
      <c r="C186" s="749"/>
      <c r="D186" s="744">
        <v>60527461.847000003</v>
      </c>
      <c r="E186" s="749"/>
      <c r="F186" s="744">
        <v>676103593</v>
      </c>
      <c r="G186" s="749"/>
      <c r="H186" s="744">
        <v>15550383</v>
      </c>
      <c r="I186" s="749"/>
      <c r="J186" s="744">
        <v>0</v>
      </c>
      <c r="K186" s="749"/>
      <c r="L186" s="744">
        <v>0</v>
      </c>
      <c r="M186" s="749"/>
      <c r="N186" s="744">
        <v>969397157</v>
      </c>
      <c r="O186" s="749"/>
      <c r="P186" s="744">
        <v>11619031.319999998</v>
      </c>
    </row>
    <row r="187" spans="1:16" ht="8.25" customHeight="1">
      <c r="B187" s="744"/>
      <c r="C187" s="749"/>
      <c r="D187" s="744"/>
      <c r="E187" s="749"/>
      <c r="F187" s="744"/>
      <c r="G187" s="749"/>
      <c r="H187" s="744"/>
      <c r="I187" s="749"/>
      <c r="J187" s="744"/>
      <c r="K187" s="749"/>
      <c r="L187" s="744"/>
      <c r="M187" s="749"/>
      <c r="N187" s="744"/>
      <c r="O187" s="749"/>
      <c r="P187" s="744"/>
    </row>
    <row r="188" spans="1:16" ht="12" customHeight="1">
      <c r="A188" s="712" t="s">
        <v>25</v>
      </c>
      <c r="B188" s="744">
        <v>942833369</v>
      </c>
      <c r="C188" s="745"/>
      <c r="D188" s="744">
        <v>31727371.605</v>
      </c>
      <c r="E188" s="745"/>
      <c r="F188" s="744">
        <v>106574029</v>
      </c>
      <c r="G188" s="745"/>
      <c r="H188" s="744">
        <v>3676804.0005000001</v>
      </c>
      <c r="I188" s="745"/>
      <c r="J188" s="744">
        <v>0</v>
      </c>
      <c r="K188" s="745"/>
      <c r="L188" s="744">
        <v>0</v>
      </c>
      <c r="M188" s="745"/>
      <c r="N188" s="744">
        <v>473460193</v>
      </c>
      <c r="O188" s="745"/>
      <c r="P188" s="744">
        <v>5823703.0296999998</v>
      </c>
    </row>
    <row r="189" spans="1:16" ht="12" customHeight="1">
      <c r="A189" s="712" t="s">
        <v>165</v>
      </c>
      <c r="B189" s="744">
        <v>378252858</v>
      </c>
      <c r="C189" s="745"/>
      <c r="D189" s="744">
        <v>12275017.130799998</v>
      </c>
      <c r="E189" s="745"/>
      <c r="F189" s="744">
        <v>97126932</v>
      </c>
      <c r="G189" s="745"/>
      <c r="H189" s="744">
        <v>3108061.82</v>
      </c>
      <c r="I189" s="745"/>
      <c r="J189" s="744">
        <v>0</v>
      </c>
      <c r="K189" s="745"/>
      <c r="L189" s="744">
        <v>0</v>
      </c>
      <c r="M189" s="745"/>
      <c r="N189" s="744">
        <v>60840085</v>
      </c>
      <c r="O189" s="745"/>
      <c r="P189" s="744">
        <v>718222.8406</v>
      </c>
    </row>
    <row r="190" spans="1:16" ht="12" customHeight="1">
      <c r="A190" s="712" t="s">
        <v>166</v>
      </c>
      <c r="B190" s="744">
        <v>274750284</v>
      </c>
      <c r="C190" s="745"/>
      <c r="D190" s="744">
        <v>7929300.7599999998</v>
      </c>
      <c r="E190" s="745"/>
      <c r="F190" s="744">
        <v>38573247</v>
      </c>
      <c r="G190" s="745"/>
      <c r="H190" s="744">
        <v>478308.25</v>
      </c>
      <c r="I190" s="745"/>
      <c r="J190" s="744">
        <v>0</v>
      </c>
      <c r="K190" s="745"/>
      <c r="L190" s="744">
        <v>0</v>
      </c>
      <c r="M190" s="745"/>
      <c r="N190" s="744">
        <v>100413441</v>
      </c>
      <c r="O190" s="745"/>
      <c r="P190" s="744">
        <v>956323.37</v>
      </c>
    </row>
    <row r="191" spans="1:16" ht="12" customHeight="1">
      <c r="A191" s="712" t="s">
        <v>167</v>
      </c>
      <c r="B191" s="744">
        <v>1101646200</v>
      </c>
      <c r="C191" s="749"/>
      <c r="D191" s="744">
        <v>45394893.800000004</v>
      </c>
      <c r="E191" s="749"/>
      <c r="F191" s="744">
        <v>77115800</v>
      </c>
      <c r="G191" s="749"/>
      <c r="H191" s="744">
        <v>2429147.7000000002</v>
      </c>
      <c r="I191" s="749"/>
      <c r="J191" s="744">
        <v>0</v>
      </c>
      <c r="K191" s="749"/>
      <c r="L191" s="744">
        <v>0</v>
      </c>
      <c r="M191" s="749"/>
      <c r="N191" s="744">
        <v>413763467</v>
      </c>
      <c r="O191" s="749"/>
      <c r="P191" s="744">
        <v>4598792.7333000004</v>
      </c>
    </row>
    <row r="192" spans="1:16" ht="12" customHeight="1">
      <c r="A192" s="712" t="s">
        <v>592</v>
      </c>
      <c r="B192" s="744">
        <v>4564438531</v>
      </c>
      <c r="C192" s="749"/>
      <c r="D192" s="744">
        <v>171690392.98304999</v>
      </c>
      <c r="E192" s="749"/>
      <c r="F192" s="744">
        <v>221880258</v>
      </c>
      <c r="G192" s="749"/>
      <c r="H192" s="744">
        <v>488136.56759999995</v>
      </c>
      <c r="I192" s="749"/>
      <c r="J192" s="744">
        <v>0</v>
      </c>
      <c r="K192" s="749"/>
      <c r="L192" s="744">
        <v>0</v>
      </c>
      <c r="M192" s="749"/>
      <c r="N192" s="744">
        <v>1965274152</v>
      </c>
      <c r="O192" s="749"/>
      <c r="P192" s="744">
        <v>9951836.1999999993</v>
      </c>
    </row>
    <row r="193" spans="1:16" ht="8.25" customHeight="1">
      <c r="B193" s="744"/>
      <c r="C193" s="749"/>
      <c r="D193" s="744"/>
      <c r="E193" s="749"/>
      <c r="F193" s="744"/>
      <c r="G193" s="749"/>
      <c r="H193" s="744"/>
      <c r="I193" s="749"/>
      <c r="J193" s="744"/>
      <c r="K193" s="749"/>
      <c r="L193" s="744"/>
      <c r="M193" s="749"/>
      <c r="N193" s="744"/>
      <c r="O193" s="749"/>
      <c r="P193" s="744"/>
    </row>
    <row r="194" spans="1:16" ht="12" customHeight="1">
      <c r="A194" s="712" t="s">
        <v>169</v>
      </c>
      <c r="B194" s="744">
        <v>208249206</v>
      </c>
      <c r="C194" s="749"/>
      <c r="D194" s="744">
        <v>6751046.5899999999</v>
      </c>
      <c r="E194" s="749"/>
      <c r="F194" s="744">
        <v>34198240</v>
      </c>
      <c r="G194" s="749"/>
      <c r="H194" s="744">
        <v>1111442.8</v>
      </c>
      <c r="I194" s="749"/>
      <c r="J194" s="744">
        <v>0</v>
      </c>
      <c r="K194" s="751"/>
      <c r="L194" s="744">
        <v>0</v>
      </c>
      <c r="M194" s="751"/>
      <c r="N194" s="744">
        <v>113298717</v>
      </c>
      <c r="O194" s="749"/>
      <c r="P194" s="744">
        <v>1021157.79</v>
      </c>
    </row>
    <row r="195" spans="1:16" ht="12" customHeight="1">
      <c r="A195" s="712" t="s">
        <v>815</v>
      </c>
      <c r="B195" s="744">
        <v>86814014.609999999</v>
      </c>
      <c r="C195" s="745"/>
      <c r="D195" s="744">
        <v>3023695.1599999997</v>
      </c>
      <c r="E195" s="745"/>
      <c r="F195" s="744">
        <v>35850</v>
      </c>
      <c r="G195" s="745"/>
      <c r="H195" s="744">
        <v>1254.75</v>
      </c>
      <c r="I195" s="745"/>
      <c r="J195" s="744">
        <v>0</v>
      </c>
      <c r="K195" s="745"/>
      <c r="L195" s="744">
        <v>0</v>
      </c>
      <c r="M195" s="745"/>
      <c r="N195" s="744">
        <v>54685977</v>
      </c>
      <c r="O195" s="745"/>
      <c r="P195" s="744">
        <v>328115.86</v>
      </c>
    </row>
    <row r="196" spans="1:16" ht="12" customHeight="1">
      <c r="A196" s="712" t="s">
        <v>173</v>
      </c>
      <c r="B196" s="744">
        <v>402706533</v>
      </c>
      <c r="C196" s="749"/>
      <c r="D196" s="744">
        <v>16713547</v>
      </c>
      <c r="E196" s="749"/>
      <c r="F196" s="744">
        <v>136009904</v>
      </c>
      <c r="G196" s="749"/>
      <c r="H196" s="744">
        <v>1768129</v>
      </c>
      <c r="I196" s="749"/>
      <c r="J196" s="744">
        <v>0</v>
      </c>
      <c r="K196" s="751"/>
      <c r="L196" s="744">
        <v>0</v>
      </c>
      <c r="M196" s="751"/>
      <c r="N196" s="744">
        <v>88501933</v>
      </c>
      <c r="O196" s="749"/>
      <c r="P196" s="744">
        <v>824727</v>
      </c>
    </row>
    <row r="197" spans="1:16" ht="7.5" customHeight="1"/>
    <row r="198" spans="1:16" s="679" customFormat="1" ht="12" customHeight="1">
      <c r="A198" s="720" t="s">
        <v>27</v>
      </c>
      <c r="B198" s="720">
        <v>22378847066.959999</v>
      </c>
      <c r="C198" s="720"/>
      <c r="D198" s="720">
        <v>886713441.56759989</v>
      </c>
      <c r="E198" s="720"/>
      <c r="F198" s="720">
        <v>4047912377.3499999</v>
      </c>
      <c r="G198" s="720"/>
      <c r="H198" s="720">
        <v>90568119.383274987</v>
      </c>
      <c r="I198" s="720"/>
      <c r="J198" s="720">
        <v>0</v>
      </c>
      <c r="K198" s="720"/>
      <c r="L198" s="720">
        <v>0</v>
      </c>
      <c r="M198" s="720"/>
      <c r="N198" s="720">
        <v>9684024573.0400009</v>
      </c>
      <c r="O198" s="720"/>
      <c r="P198" s="720">
        <v>100697658.30438399</v>
      </c>
    </row>
    <row r="199" spans="1:16" s="679" customFormat="1" ht="12" customHeight="1">
      <c r="A199" s="720" t="s">
        <v>22</v>
      </c>
      <c r="B199" s="720">
        <v>76347804669.240005</v>
      </c>
      <c r="C199" s="720"/>
      <c r="D199" s="720">
        <v>2714246287.5698733</v>
      </c>
      <c r="E199" s="720"/>
      <c r="F199" s="720">
        <v>7519458050.54</v>
      </c>
      <c r="G199" s="720"/>
      <c r="H199" s="720">
        <v>137184477.84852505</v>
      </c>
      <c r="I199" s="720"/>
      <c r="J199" s="720">
        <v>1344289010.71</v>
      </c>
      <c r="K199" s="720"/>
      <c r="L199" s="720">
        <v>14010085.905490002</v>
      </c>
      <c r="M199" s="720"/>
      <c r="N199" s="720">
        <v>39525519269.5</v>
      </c>
      <c r="O199" s="720"/>
      <c r="P199" s="720">
        <v>308631758.55084604</v>
      </c>
    </row>
    <row r="200" spans="1:16" ht="8.25" customHeight="1"/>
    <row r="201" spans="1:16" ht="12.75" customHeight="1">
      <c r="A201" s="719" t="s">
        <v>28</v>
      </c>
      <c r="B201" s="720">
        <v>98726651736.200012</v>
      </c>
      <c r="C201" s="720"/>
      <c r="D201" s="720">
        <v>3600959729.1374731</v>
      </c>
      <c r="E201" s="720"/>
      <c r="F201" s="720">
        <v>11567370427.889999</v>
      </c>
      <c r="G201" s="720"/>
      <c r="H201" s="720">
        <v>227752597.23180002</v>
      </c>
      <c r="I201" s="720"/>
      <c r="J201" s="720">
        <v>1344289010.71</v>
      </c>
      <c r="K201" s="720"/>
      <c r="L201" s="720">
        <v>14010085.905490002</v>
      </c>
      <c r="M201" s="720"/>
      <c r="N201" s="720">
        <v>49209543842.540001</v>
      </c>
      <c r="O201" s="720"/>
      <c r="P201" s="720">
        <v>409329416.85523003</v>
      </c>
    </row>
    <row r="202" spans="1:16" ht="8.25" customHeight="1">
      <c r="B202" s="689"/>
      <c r="C202" s="689"/>
      <c r="D202" s="689"/>
      <c r="E202" s="689"/>
      <c r="F202" s="689"/>
      <c r="G202" s="689"/>
      <c r="H202" s="689"/>
      <c r="I202" s="689"/>
      <c r="J202" s="689"/>
      <c r="K202" s="689"/>
      <c r="L202" s="689"/>
      <c r="M202" s="689"/>
      <c r="N202" s="689"/>
      <c r="O202" s="689"/>
      <c r="P202" s="689"/>
    </row>
    <row r="203" spans="1:16" ht="12" customHeight="1">
      <c r="A203" s="1650" t="s">
        <v>1</v>
      </c>
      <c r="B203" s="1650"/>
      <c r="C203" s="1650"/>
      <c r="D203" s="1650"/>
      <c r="E203" s="1650"/>
      <c r="F203" s="1650"/>
      <c r="G203" s="1650"/>
      <c r="H203" s="1650"/>
      <c r="I203" s="1650"/>
      <c r="J203" s="1650"/>
      <c r="K203" s="1650"/>
      <c r="L203" s="1650"/>
      <c r="M203" s="1650"/>
      <c r="N203" s="1650"/>
      <c r="O203" s="1650"/>
      <c r="P203" s="1650"/>
    </row>
    <row r="204" spans="1:16" ht="12" customHeight="1">
      <c r="A204" s="1650" t="s">
        <v>946</v>
      </c>
      <c r="B204" s="1650"/>
      <c r="C204" s="1650"/>
      <c r="D204" s="1650"/>
      <c r="E204" s="1650"/>
      <c r="F204" s="1650"/>
      <c r="G204" s="1650"/>
      <c r="H204" s="1650"/>
      <c r="I204" s="1650"/>
      <c r="J204" s="1650"/>
      <c r="K204" s="1650"/>
      <c r="L204" s="1650"/>
      <c r="M204" s="1650"/>
      <c r="N204" s="1650"/>
      <c r="O204" s="1650"/>
      <c r="P204" s="1650"/>
    </row>
    <row r="205" spans="1:16" ht="12" customHeight="1">
      <c r="A205" s="1650" t="s">
        <v>846</v>
      </c>
      <c r="B205" s="1650"/>
      <c r="C205" s="1650"/>
      <c r="D205" s="1650"/>
      <c r="E205" s="1650"/>
      <c r="F205" s="1650"/>
      <c r="G205" s="1650"/>
      <c r="H205" s="1650"/>
      <c r="I205" s="1650"/>
      <c r="J205" s="1650"/>
      <c r="K205" s="1650"/>
      <c r="L205" s="1650"/>
      <c r="M205" s="1650"/>
      <c r="N205" s="1650"/>
      <c r="O205" s="1650"/>
      <c r="P205" s="1650"/>
    </row>
    <row r="206" spans="1:16" ht="12" customHeight="1">
      <c r="A206" s="1650" t="s">
        <v>847</v>
      </c>
      <c r="B206" s="1650"/>
      <c r="C206" s="1650"/>
      <c r="D206" s="1650"/>
      <c r="E206" s="1650"/>
      <c r="F206" s="1650"/>
      <c r="G206" s="1650"/>
      <c r="H206" s="1650"/>
      <c r="I206" s="1650"/>
      <c r="J206" s="1650"/>
      <c r="K206" s="1650"/>
      <c r="L206" s="1650"/>
      <c r="M206" s="1650"/>
      <c r="N206" s="1650"/>
      <c r="O206" s="1650"/>
      <c r="P206" s="1650"/>
    </row>
    <row r="207" spans="1:16" ht="12" customHeight="1">
      <c r="A207" s="1650" t="s">
        <v>872</v>
      </c>
      <c r="B207" s="1650"/>
      <c r="C207" s="1650"/>
      <c r="D207" s="1650"/>
      <c r="E207" s="1650"/>
      <c r="F207" s="1650"/>
      <c r="G207" s="1650"/>
      <c r="H207" s="1650"/>
      <c r="I207" s="1650"/>
      <c r="J207" s="1650"/>
      <c r="K207" s="1650"/>
      <c r="L207" s="1650"/>
      <c r="M207" s="1650"/>
      <c r="N207" s="1650"/>
      <c r="O207" s="1650"/>
      <c r="P207" s="1650"/>
    </row>
    <row r="208" spans="1:16" ht="12" customHeight="1">
      <c r="A208" s="1650" t="s">
        <v>848</v>
      </c>
      <c r="B208" s="1650"/>
      <c r="C208" s="1650"/>
      <c r="D208" s="1650"/>
      <c r="E208" s="1650"/>
      <c r="F208" s="1650"/>
      <c r="G208" s="1650"/>
      <c r="H208" s="1650"/>
      <c r="I208" s="1650"/>
      <c r="J208" s="1650"/>
      <c r="K208" s="1650"/>
      <c r="L208" s="1650"/>
      <c r="M208" s="1650"/>
      <c r="N208" s="1650"/>
      <c r="O208" s="1650"/>
      <c r="P208" s="1650"/>
    </row>
    <row r="209" spans="1:16" ht="12" customHeight="1">
      <c r="A209" s="1650" t="s">
        <v>849</v>
      </c>
      <c r="B209" s="1650"/>
      <c r="C209" s="1650"/>
      <c r="D209" s="1650"/>
      <c r="E209" s="1650"/>
      <c r="F209" s="1650"/>
      <c r="G209" s="1650"/>
      <c r="H209" s="1650"/>
      <c r="I209" s="1650"/>
      <c r="J209" s="1650"/>
      <c r="K209" s="1650"/>
      <c r="L209" s="1650"/>
      <c r="M209" s="1650"/>
      <c r="N209" s="1650"/>
      <c r="O209" s="1650"/>
      <c r="P209" s="1650"/>
    </row>
    <row r="210" spans="1:16" ht="12" customHeight="1">
      <c r="A210" s="1650" t="s">
        <v>850</v>
      </c>
      <c r="B210" s="1650"/>
      <c r="C210" s="1650"/>
      <c r="D210" s="1650"/>
      <c r="E210" s="1650"/>
      <c r="F210" s="1650"/>
      <c r="G210" s="1650"/>
      <c r="H210" s="1650"/>
      <c r="I210" s="1650"/>
      <c r="J210" s="1650"/>
      <c r="K210" s="1650"/>
      <c r="L210" s="1650"/>
      <c r="M210" s="1650"/>
      <c r="N210" s="1650"/>
      <c r="O210" s="1650"/>
      <c r="P210" s="1650"/>
    </row>
    <row r="211" spans="1:16">
      <c r="A211" s="712" t="s">
        <v>851</v>
      </c>
      <c r="B211" s="754"/>
      <c r="C211" s="754"/>
      <c r="D211" s="754"/>
      <c r="E211" s="754"/>
      <c r="F211" s="754"/>
      <c r="G211" s="754"/>
      <c r="H211" s="754"/>
      <c r="I211" s="754"/>
      <c r="J211" s="754"/>
      <c r="K211" s="754"/>
      <c r="L211" s="754"/>
      <c r="M211" s="754"/>
      <c r="N211" s="754"/>
      <c r="O211" s="754"/>
      <c r="P211" s="754"/>
    </row>
    <row r="212" spans="1:16" ht="12" customHeight="1">
      <c r="A212" s="721" t="s">
        <v>882</v>
      </c>
      <c r="B212" s="754"/>
      <c r="C212" s="754"/>
      <c r="D212" s="754"/>
      <c r="E212" s="754"/>
      <c r="F212" s="754"/>
      <c r="G212" s="754"/>
      <c r="H212" s="754"/>
      <c r="I212" s="754"/>
      <c r="J212" s="754"/>
      <c r="K212" s="754"/>
      <c r="L212" s="754"/>
      <c r="M212" s="754"/>
      <c r="N212" s="754"/>
      <c r="O212" s="754"/>
      <c r="P212" s="754"/>
    </row>
    <row r="213" spans="1:16">
      <c r="A213" s="721"/>
      <c r="B213" s="689"/>
      <c r="C213" s="689"/>
      <c r="D213" s="689"/>
      <c r="E213" s="689"/>
      <c r="F213" s="689"/>
      <c r="G213" s="689"/>
      <c r="H213" s="689"/>
      <c r="I213" s="689"/>
      <c r="J213" s="689"/>
      <c r="K213" s="689"/>
      <c r="L213" s="689"/>
      <c r="M213" s="689"/>
      <c r="N213" s="689"/>
      <c r="O213" s="689"/>
      <c r="P213" s="689"/>
    </row>
    <row r="214" spans="1:16">
      <c r="C214" s="715"/>
      <c r="E214" s="715"/>
      <c r="G214" s="715"/>
      <c r="I214" s="715"/>
      <c r="K214" s="715"/>
      <c r="M214" s="715"/>
      <c r="O214" s="715"/>
    </row>
    <row r="215" spans="1:16">
      <c r="C215" s="715"/>
      <c r="E215" s="715"/>
      <c r="G215" s="715"/>
      <c r="I215" s="715"/>
      <c r="K215" s="715"/>
      <c r="M215" s="715"/>
      <c r="O215" s="715"/>
    </row>
    <row r="216" spans="1:16">
      <c r="C216" s="715"/>
      <c r="E216" s="715"/>
      <c r="G216" s="715"/>
      <c r="I216" s="715"/>
      <c r="K216" s="715"/>
      <c r="M216" s="715"/>
      <c r="O216" s="715"/>
    </row>
    <row r="217" spans="1:16">
      <c r="C217" s="715"/>
      <c r="E217" s="715"/>
      <c r="G217" s="715"/>
      <c r="I217" s="715"/>
      <c r="K217" s="715"/>
      <c r="M217" s="715"/>
      <c r="O217" s="715"/>
    </row>
    <row r="218" spans="1:16">
      <c r="C218" s="715"/>
      <c r="E218" s="715"/>
      <c r="G218" s="715"/>
      <c r="I218" s="715"/>
      <c r="K218" s="715"/>
      <c r="M218" s="715"/>
      <c r="O218" s="715"/>
    </row>
    <row r="220" spans="1:16">
      <c r="C220" s="715"/>
      <c r="E220" s="715"/>
      <c r="G220" s="715"/>
      <c r="I220" s="715"/>
      <c r="K220" s="715"/>
      <c r="M220" s="715"/>
      <c r="O220" s="715"/>
    </row>
    <row r="221" spans="1:16">
      <c r="C221" s="715"/>
      <c r="E221" s="715"/>
      <c r="G221" s="715"/>
      <c r="I221" s="715"/>
      <c r="K221" s="715"/>
      <c r="M221" s="715"/>
      <c r="O221" s="715"/>
    </row>
    <row r="222" spans="1:16">
      <c r="C222" s="715"/>
      <c r="E222" s="715"/>
      <c r="G222" s="715"/>
      <c r="I222" s="715"/>
      <c r="K222" s="715"/>
      <c r="M222" s="715"/>
      <c r="O222" s="715"/>
    </row>
    <row r="223" spans="1:16">
      <c r="C223" s="715"/>
      <c r="E223" s="715"/>
      <c r="G223" s="715"/>
      <c r="I223" s="715"/>
      <c r="K223" s="715"/>
      <c r="M223" s="715"/>
      <c r="O223" s="715"/>
    </row>
    <row r="224" spans="1:16">
      <c r="C224" s="715"/>
      <c r="E224" s="715"/>
      <c r="G224" s="715"/>
      <c r="I224" s="715"/>
      <c r="K224" s="715"/>
      <c r="M224" s="715"/>
      <c r="O224" s="715"/>
    </row>
    <row r="225" spans="3:15">
      <c r="C225" s="715"/>
      <c r="E225" s="715"/>
      <c r="G225" s="715"/>
      <c r="I225" s="715"/>
      <c r="K225" s="715"/>
      <c r="M225" s="715"/>
      <c r="O225" s="715"/>
    </row>
    <row r="226" spans="3:15">
      <c r="C226" s="715"/>
      <c r="E226" s="715"/>
      <c r="G226" s="715"/>
      <c r="I226" s="715"/>
      <c r="K226" s="715"/>
      <c r="M226" s="715"/>
      <c r="O226" s="715"/>
    </row>
  </sheetData>
  <mergeCells count="32">
    <mergeCell ref="A209:P209"/>
    <mergeCell ref="A210:P210"/>
    <mergeCell ref="A203:P203"/>
    <mergeCell ref="A204:P204"/>
    <mergeCell ref="A205:P205"/>
    <mergeCell ref="A206:P206"/>
    <mergeCell ref="A207:P207"/>
    <mergeCell ref="A208:P208"/>
    <mergeCell ref="J143:L143"/>
    <mergeCell ref="N143:P143"/>
    <mergeCell ref="B173:D173"/>
    <mergeCell ref="F173:H173"/>
    <mergeCell ref="J173:L173"/>
    <mergeCell ref="N173:P173"/>
    <mergeCell ref="B143:D143"/>
    <mergeCell ref="F143:H143"/>
    <mergeCell ref="J89:L89"/>
    <mergeCell ref="N89:P89"/>
    <mergeCell ref="B131:D131"/>
    <mergeCell ref="F131:H131"/>
    <mergeCell ref="J131:L131"/>
    <mergeCell ref="N131:P131"/>
    <mergeCell ref="B89:D89"/>
    <mergeCell ref="F89:H89"/>
    <mergeCell ref="J5:L5"/>
    <mergeCell ref="N5:P5"/>
    <mergeCell ref="B47:D47"/>
    <mergeCell ref="F47:H47"/>
    <mergeCell ref="J47:L47"/>
    <mergeCell ref="N47:P47"/>
    <mergeCell ref="B5:D5"/>
    <mergeCell ref="F5:H5"/>
  </mergeCells>
  <printOptions horizontalCentered="1"/>
  <pageMargins left="0.25" right="0.25" top="0.75" bottom="1.1000000000000001" header="0.3" footer="0.4"/>
  <pageSetup scale="97" fitToHeight="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G31"/>
  <sheetViews>
    <sheetView zoomScaleNormal="100" workbookViewId="0"/>
  </sheetViews>
  <sheetFormatPr defaultColWidth="8.81640625" defaultRowHeight="12.5"/>
  <cols>
    <col min="1" max="1" width="14.7265625" style="174" customWidth="1"/>
    <col min="2" max="3" width="15.7265625" style="174" customWidth="1"/>
    <col min="4" max="5" width="28.7265625" style="174" customWidth="1"/>
    <col min="6" max="6" width="20.7265625" style="174" customWidth="1"/>
    <col min="7" max="7" width="10.90625" style="174" customWidth="1"/>
    <col min="8" max="8" width="25.7265625" style="174" customWidth="1"/>
    <col min="9" max="16384" width="8.81640625" style="174"/>
  </cols>
  <sheetData>
    <row r="1" spans="1:7" ht="18">
      <c r="A1" s="173" t="s">
        <v>800</v>
      </c>
      <c r="B1" s="173"/>
      <c r="C1" s="173"/>
      <c r="D1" s="173"/>
      <c r="E1" s="173"/>
      <c r="F1" s="173"/>
      <c r="G1" s="855" t="s">
        <v>984</v>
      </c>
    </row>
    <row r="2" spans="1:7" ht="15.5">
      <c r="A2" s="175" t="s">
        <v>1245</v>
      </c>
      <c r="B2" s="175"/>
      <c r="C2" s="175"/>
      <c r="D2" s="175"/>
      <c r="E2" s="175"/>
      <c r="F2" s="175"/>
    </row>
    <row r="3" spans="1:7" ht="18" customHeight="1" thickBot="1">
      <c r="A3" s="176"/>
      <c r="B3" s="176"/>
      <c r="C3" s="176"/>
      <c r="D3" s="177"/>
      <c r="E3" s="176"/>
      <c r="F3" s="176"/>
    </row>
    <row r="4" spans="1:7" s="178" customFormat="1" ht="45" customHeight="1">
      <c r="A4" s="581" t="s">
        <v>701</v>
      </c>
      <c r="B4" s="581"/>
      <c r="C4" s="581"/>
      <c r="D4" s="179"/>
      <c r="E4" s="180"/>
      <c r="F4" s="179"/>
      <c r="G4" s="179"/>
    </row>
    <row r="5" spans="1:7" ht="18" customHeight="1">
      <c r="A5" s="181" t="s">
        <v>29</v>
      </c>
      <c r="B5" s="1137" t="s">
        <v>700</v>
      </c>
      <c r="D5" s="176"/>
      <c r="E5" s="177"/>
      <c r="F5" s="176"/>
      <c r="G5" s="176"/>
    </row>
    <row r="6" spans="1:7" ht="18" hidden="1" customHeight="1">
      <c r="A6" s="181">
        <v>2007</v>
      </c>
      <c r="B6" s="182">
        <v>143332331.22493362</v>
      </c>
      <c r="D6" s="176"/>
      <c r="E6" s="177"/>
      <c r="F6" s="176"/>
      <c r="G6" s="176"/>
    </row>
    <row r="7" spans="1:7" ht="1" customHeight="1">
      <c r="A7" s="1137">
        <v>2008</v>
      </c>
      <c r="B7" s="183">
        <v>213829116.38640201</v>
      </c>
      <c r="D7" s="176"/>
      <c r="E7" s="177"/>
      <c r="F7" s="176"/>
      <c r="G7" s="176"/>
    </row>
    <row r="8" spans="1:7" ht="1" customHeight="1">
      <c r="A8" s="1137">
        <v>2009</v>
      </c>
      <c r="B8" s="183">
        <v>175364334.91890469</v>
      </c>
      <c r="D8" s="176"/>
      <c r="E8" s="177"/>
      <c r="F8" s="176"/>
      <c r="G8" s="176"/>
    </row>
    <row r="9" spans="1:7" ht="1" customHeight="1">
      <c r="A9" s="1137">
        <v>2010</v>
      </c>
      <c r="B9" s="183">
        <v>143554116.64843339</v>
      </c>
      <c r="D9" s="176"/>
      <c r="E9" s="177"/>
      <c r="F9" s="176"/>
      <c r="G9" s="176"/>
    </row>
    <row r="10" spans="1:7" ht="13.9" customHeight="1">
      <c r="A10" s="1137">
        <v>2011</v>
      </c>
      <c r="B10" s="183">
        <v>150273915</v>
      </c>
      <c r="D10" s="176"/>
      <c r="E10" s="177"/>
      <c r="F10" s="176"/>
      <c r="G10" s="176"/>
    </row>
    <row r="11" spans="1:7" ht="15.65" customHeight="1">
      <c r="A11" s="1137">
        <v>2012</v>
      </c>
      <c r="B11" s="183">
        <v>156945693.35438961</v>
      </c>
      <c r="D11" s="176"/>
      <c r="E11" s="177"/>
      <c r="F11" s="176"/>
      <c r="G11" s="176"/>
    </row>
    <row r="12" spans="1:7" ht="14.15" customHeight="1">
      <c r="A12" s="1137">
        <v>2013</v>
      </c>
      <c r="B12" s="183">
        <v>161434467.78945559</v>
      </c>
      <c r="D12" s="205"/>
      <c r="E12" s="177"/>
      <c r="F12" s="176"/>
      <c r="G12" s="176"/>
    </row>
    <row r="13" spans="1:7" ht="14.15" customHeight="1">
      <c r="A13" s="1137">
        <v>2014</v>
      </c>
      <c r="B13" s="183">
        <v>208366102.08833417</v>
      </c>
      <c r="D13" s="205"/>
      <c r="E13" s="177"/>
      <c r="F13" s="176"/>
      <c r="G13" s="176"/>
    </row>
    <row r="14" spans="1:7" ht="14.15" customHeight="1">
      <c r="A14" s="1137">
        <v>2015</v>
      </c>
      <c r="B14" s="183">
        <v>210994603.36485529</v>
      </c>
      <c r="D14" s="205"/>
      <c r="E14" s="177"/>
      <c r="F14" s="176"/>
      <c r="G14" s="176"/>
    </row>
    <row r="15" spans="1:7" ht="14.15" customHeight="1">
      <c r="A15" s="1137">
        <v>2016</v>
      </c>
      <c r="B15" s="183">
        <v>223074819.58170167</v>
      </c>
      <c r="D15" s="205"/>
      <c r="E15" s="177"/>
      <c r="F15" s="176"/>
      <c r="G15" s="176"/>
    </row>
    <row r="16" spans="1:7" ht="14.15" customHeight="1">
      <c r="A16" s="1137">
        <v>2017</v>
      </c>
      <c r="B16" s="183">
        <v>244370076.32769448</v>
      </c>
      <c r="D16" s="205"/>
      <c r="E16" s="177"/>
      <c r="F16" s="176"/>
      <c r="G16" s="176"/>
    </row>
    <row r="17" spans="1:7" ht="14.15" customHeight="1">
      <c r="A17" s="1137">
        <v>2018</v>
      </c>
      <c r="B17" s="183">
        <v>314543689.44675058</v>
      </c>
      <c r="D17" s="405"/>
      <c r="E17" s="177"/>
      <c r="F17" s="176"/>
      <c r="G17" s="176"/>
    </row>
    <row r="18" spans="1:7" ht="14.15" customHeight="1">
      <c r="A18" s="1137">
        <v>2019</v>
      </c>
      <c r="B18" s="183">
        <v>352673576.32049298</v>
      </c>
      <c r="D18" s="405"/>
      <c r="E18" s="177"/>
      <c r="F18" s="176"/>
      <c r="G18" s="176"/>
    </row>
    <row r="19" spans="1:7" ht="14.15" customHeight="1">
      <c r="A19" s="1137">
        <v>2020</v>
      </c>
      <c r="B19" s="183">
        <v>362781521.93254882</v>
      </c>
      <c r="D19" s="405"/>
      <c r="E19" s="177"/>
      <c r="F19" s="176"/>
      <c r="G19" s="176"/>
    </row>
    <row r="20" spans="1:7" ht="14.15" customHeight="1">
      <c r="A20" s="1137">
        <v>2021</v>
      </c>
      <c r="B20" s="183">
        <v>378603136.28511971</v>
      </c>
      <c r="D20" s="405"/>
      <c r="E20" s="177"/>
      <c r="F20" s="176"/>
      <c r="G20" s="176"/>
    </row>
    <row r="21" spans="1:7" ht="14.15" customHeight="1">
      <c r="A21" s="1137">
        <v>2022</v>
      </c>
      <c r="B21" s="183">
        <v>406492802.46544868</v>
      </c>
      <c r="D21" s="405"/>
      <c r="E21" s="177"/>
      <c r="F21" s="176"/>
      <c r="G21" s="176"/>
    </row>
    <row r="22" spans="1:7" ht="14.15" customHeight="1">
      <c r="A22" s="1137">
        <v>2023</v>
      </c>
      <c r="B22" s="183">
        <v>477274945.34478736</v>
      </c>
      <c r="D22" s="405"/>
      <c r="E22" s="177"/>
      <c r="F22" s="176"/>
    </row>
    <row r="23" spans="1:7" s="1161" customFormat="1" ht="12.75" customHeight="1">
      <c r="A23" s="1137"/>
      <c r="B23" s="183"/>
      <c r="C23" s="174"/>
      <c r="D23" s="405"/>
      <c r="E23" s="177"/>
      <c r="F23" s="176"/>
    </row>
    <row r="24" spans="1:7" s="1161" customFormat="1" ht="11.5">
      <c r="A24" s="1161" t="s">
        <v>1</v>
      </c>
      <c r="C24" s="1332">
        <f>B20/B18-1</f>
        <v>7.3522831608635153E-2</v>
      </c>
      <c r="D24" s="1333"/>
      <c r="F24" s="1334"/>
    </row>
    <row r="25" spans="1:7" s="1161" customFormat="1" ht="28.5" customHeight="1">
      <c r="A25" s="1651" t="s">
        <v>1261</v>
      </c>
      <c r="B25" s="1651"/>
      <c r="C25" s="1651"/>
      <c r="D25" s="1651"/>
      <c r="E25" s="1651"/>
      <c r="F25" s="1651"/>
    </row>
    <row r="26" spans="1:7" s="705" customFormat="1" ht="39.5" customHeight="1">
      <c r="A26" s="1652" t="s">
        <v>1303</v>
      </c>
      <c r="B26" s="1652"/>
      <c r="C26" s="1652"/>
      <c r="D26" s="1652"/>
      <c r="E26" s="1652"/>
      <c r="F26" s="1652"/>
    </row>
    <row r="27" spans="1:7" ht="12.75" customHeight="1">
      <c r="A27" s="788" t="s">
        <v>951</v>
      </c>
      <c r="B27" s="706"/>
      <c r="C27" s="706"/>
      <c r="D27" s="706"/>
      <c r="E27" s="707"/>
      <c r="F27" s="705"/>
    </row>
    <row r="31" spans="1:7" s="1372" customFormat="1" ht="12.75" customHeight="1">
      <c r="A31" s="174"/>
      <c r="B31" s="174"/>
      <c r="C31" s="174"/>
      <c r="D31" s="174"/>
      <c r="E31" s="174"/>
      <c r="F31" s="174"/>
    </row>
  </sheetData>
  <customSheetViews>
    <customSheetView guid="{E6BBE5A7-0B25-4EE8-BA45-5EA5DBAF3AD4}" showPageBreaks="1" fitToPage="1" printArea="1">
      <pageMargins left="1" right="1" top="0.75" bottom="0.75" header="0.5" footer="0.5"/>
      <pageSetup orientation="landscape" r:id="rId1"/>
      <headerFooter alignWithMargins="0"/>
    </customSheetView>
  </customSheetViews>
  <mergeCells count="2">
    <mergeCell ref="A25:F25"/>
    <mergeCell ref="A26:F26"/>
  </mergeCells>
  <hyperlinks>
    <hyperlink ref="G1" location="TOC!A1" display="Back" xr:uid="{00000000-0004-0000-2400-000000000000}"/>
  </hyperlinks>
  <pageMargins left="0.6" right="0.25" top="0.5" bottom="0.25" header="0.25" footer="0.25"/>
  <pageSetup orientation="landscape" r:id="rId2"/>
  <headerFooter scaleWithDoc="0">
    <oddHeader>&amp;R&amp;P</oddHeader>
  </headerFooter>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3"/>
  <dimension ref="A1:D23"/>
  <sheetViews>
    <sheetView zoomScaleNormal="100" workbookViewId="0"/>
  </sheetViews>
  <sheetFormatPr defaultRowHeight="12.5"/>
  <cols>
    <col min="1" max="1" width="2.6328125" customWidth="1"/>
    <col min="2" max="2" width="74.6328125" customWidth="1"/>
    <col min="3" max="3" width="27.6328125" customWidth="1"/>
  </cols>
  <sheetData>
    <row r="1" spans="1:4" ht="15.5">
      <c r="A1" s="1354" t="s">
        <v>237</v>
      </c>
      <c r="B1" s="52"/>
      <c r="D1" s="855" t="s">
        <v>984</v>
      </c>
    </row>
    <row r="2" spans="1:4" ht="14">
      <c r="A2" s="53"/>
      <c r="B2" s="53"/>
    </row>
    <row r="3" spans="1:4" ht="14">
      <c r="B3" s="53" t="s">
        <v>1252</v>
      </c>
    </row>
    <row r="4" spans="1:4" ht="14">
      <c r="B4" s="1355" t="s">
        <v>238</v>
      </c>
    </row>
    <row r="5" spans="1:4" ht="14">
      <c r="B5" s="1355" t="s">
        <v>240</v>
      </c>
    </row>
    <row r="6" spans="1:4">
      <c r="B6" s="1356"/>
    </row>
    <row r="7" spans="1:4" ht="14">
      <c r="B7" s="54" t="s">
        <v>239</v>
      </c>
    </row>
    <row r="8" spans="1:4" ht="14">
      <c r="B8" s="1355" t="s">
        <v>238</v>
      </c>
    </row>
    <row r="9" spans="1:4" ht="14">
      <c r="B9" s="1355" t="s">
        <v>742</v>
      </c>
    </row>
    <row r="10" spans="1:4" ht="14">
      <c r="B10" s="1355" t="s">
        <v>743</v>
      </c>
    </row>
    <row r="11" spans="1:4" ht="14">
      <c r="B11" s="1355" t="s">
        <v>744</v>
      </c>
    </row>
    <row r="12" spans="1:4" ht="6" customHeight="1">
      <c r="B12" s="53"/>
    </row>
    <row r="13" spans="1:4">
      <c r="B13" s="1356" t="s">
        <v>1251</v>
      </c>
    </row>
    <row r="14" spans="1:4" ht="14">
      <c r="B14" s="1355"/>
    </row>
    <row r="15" spans="1:4" ht="14">
      <c r="B15" s="1355"/>
    </row>
    <row r="16" spans="1:4" ht="42">
      <c r="B16" s="1357" t="s">
        <v>1254</v>
      </c>
    </row>
    <row r="17" spans="1:3">
      <c r="B17" s="1359" t="s">
        <v>1253</v>
      </c>
    </row>
    <row r="18" spans="1:3" ht="14.5" thickBot="1">
      <c r="A18" s="55"/>
      <c r="B18" s="55"/>
      <c r="C18" s="55"/>
    </row>
    <row r="19" spans="1:3" ht="14.5" thickTop="1">
      <c r="A19" s="53"/>
      <c r="B19" s="53"/>
      <c r="C19" s="53"/>
    </row>
    <row r="20" spans="1:3" ht="16">
      <c r="A20" s="353"/>
    </row>
    <row r="21" spans="1:3" ht="16">
      <c r="A21" s="353"/>
    </row>
    <row r="22" spans="1:3" ht="16">
      <c r="A22" s="353"/>
    </row>
    <row r="23" spans="1:3" ht="16">
      <c r="A23" s="353"/>
    </row>
  </sheetData>
  <customSheetViews>
    <customSheetView guid="{E6BBE5A7-0B25-4EE8-BA45-5EA5DBAF3AD4}" showPageBreaks="1" printArea="1">
      <selection activeCell="E26" sqref="E26"/>
      <pageMargins left="0.75" right="0.75" top="1" bottom="1" header="0.5" footer="0.5"/>
      <printOptions horizontalCentered="1"/>
      <pageSetup orientation="landscape" r:id="rId1"/>
      <headerFooter alignWithMargins="0"/>
    </customSheetView>
  </customSheetViews>
  <phoneticPr fontId="15" type="noConversion"/>
  <hyperlinks>
    <hyperlink ref="D1" location="TOC!A1" display="Back" xr:uid="{00000000-0004-0000-2500-000000000000}"/>
    <hyperlink ref="B13" r:id="rId2" xr:uid="{00000000-0004-0000-2500-000001000000}"/>
    <hyperlink ref="B17" r:id="rId3" xr:uid="{00000000-0004-0000-2500-000002000000}"/>
  </hyperlinks>
  <pageMargins left="1.5" right="0.25" top="1.25" bottom="1" header="0.25" footer="0.5"/>
  <pageSetup orientation="landscape" r:id="rId4"/>
  <headerFooter scaleWithDoc="0">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IG113"/>
  <sheetViews>
    <sheetView zoomScale="85" zoomScaleNormal="85" workbookViewId="0"/>
  </sheetViews>
  <sheetFormatPr defaultColWidth="12.453125" defaultRowHeight="15.5"/>
  <cols>
    <col min="1" max="1" width="46.7265625" style="145" customWidth="1"/>
    <col min="2" max="9" width="0.54296875" style="145" customWidth="1"/>
    <col min="10" max="10" width="18.6328125" style="145" customWidth="1"/>
    <col min="11" max="11" width="18.7265625" style="145" bestFit="1" customWidth="1"/>
    <col min="12" max="12" width="0.81640625" style="144" customWidth="1"/>
    <col min="13" max="13" width="11.7265625" style="586" bestFit="1" customWidth="1"/>
    <col min="14" max="14" width="11.7265625" style="586" hidden="1" customWidth="1"/>
    <col min="15" max="18" width="18.7265625" style="586" customWidth="1"/>
    <col min="19" max="19" width="14.54296875" style="582" customWidth="1"/>
    <col min="20" max="20" width="4.90625" style="586" bestFit="1" customWidth="1"/>
    <col min="21" max="21" width="13.7265625" style="586" customWidth="1"/>
    <col min="22" max="22" width="9.54296875" style="586" customWidth="1"/>
    <col min="23" max="23" width="10.54296875" style="586" bestFit="1" customWidth="1"/>
    <col min="24" max="24" width="28.54296875" style="586" bestFit="1" customWidth="1"/>
    <col min="25" max="25" width="16.26953125" style="586" bestFit="1" customWidth="1"/>
    <col min="26" max="26" width="1.6328125" style="586" customWidth="1"/>
    <col min="27" max="27" width="10.54296875" style="586" bestFit="1" customWidth="1"/>
    <col min="28" max="28" width="28.54296875" style="586" bestFit="1" customWidth="1"/>
    <col min="29" max="29" width="16.26953125" style="586" bestFit="1" customWidth="1"/>
    <col min="30" max="30" width="11.6328125" style="586" bestFit="1" customWidth="1"/>
    <col min="31" max="31" width="7.7265625" style="586" customWidth="1"/>
    <col min="32" max="33" width="6.54296875" style="586" bestFit="1" customWidth="1"/>
    <col min="34" max="34" width="8.26953125" style="586" customWidth="1"/>
    <col min="35" max="35" width="7.7265625" style="586" bestFit="1" customWidth="1"/>
    <col min="36" max="42" width="12.453125" style="586"/>
    <col min="43" max="16384" width="12.453125" style="145"/>
  </cols>
  <sheetData>
    <row r="1" spans="1:241" ht="18">
      <c r="A1" s="857" t="s">
        <v>770</v>
      </c>
      <c r="B1" s="143"/>
      <c r="C1" s="143"/>
      <c r="D1" s="143"/>
      <c r="E1" s="143"/>
      <c r="F1" s="143"/>
      <c r="G1" s="143"/>
      <c r="H1" s="143"/>
      <c r="I1" s="143"/>
      <c r="J1" s="143"/>
      <c r="K1" s="143"/>
      <c r="M1" s="1120"/>
      <c r="N1" s="1120"/>
      <c r="O1" s="582"/>
      <c r="P1" s="582"/>
      <c r="Q1" s="582"/>
      <c r="R1" s="582"/>
      <c r="T1" s="855" t="s">
        <v>984</v>
      </c>
      <c r="U1" s="582"/>
      <c r="V1" s="582"/>
      <c r="W1" s="582"/>
      <c r="X1" s="582"/>
      <c r="Y1" s="582"/>
      <c r="Z1" s="582"/>
      <c r="AA1" s="582"/>
      <c r="AB1" s="582"/>
      <c r="AC1" s="582"/>
      <c r="AD1" s="582"/>
      <c r="AE1" s="582"/>
      <c r="AF1" s="582"/>
      <c r="AG1" s="582"/>
      <c r="AH1" s="582"/>
      <c r="AI1" s="582"/>
      <c r="AJ1" s="582"/>
      <c r="AK1" s="582"/>
      <c r="AL1" s="582"/>
      <c r="AM1" s="582"/>
      <c r="AN1" s="582"/>
      <c r="AO1" s="582"/>
      <c r="AP1" s="582"/>
      <c r="AQ1" s="212"/>
      <c r="AR1" s="212"/>
      <c r="AS1" s="212"/>
      <c r="AT1" s="212"/>
      <c r="AU1" s="212"/>
      <c r="AV1" s="212"/>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c r="DC1" s="144"/>
      <c r="DD1" s="144"/>
      <c r="DE1" s="144"/>
      <c r="DF1" s="144"/>
      <c r="DG1" s="144"/>
      <c r="DH1" s="144"/>
      <c r="DI1" s="144"/>
      <c r="DJ1" s="144"/>
      <c r="DK1" s="144"/>
      <c r="DL1" s="144"/>
      <c r="DM1" s="144"/>
      <c r="DN1" s="144"/>
      <c r="DO1" s="144"/>
      <c r="DP1" s="144"/>
      <c r="DQ1" s="144"/>
      <c r="DR1" s="144"/>
      <c r="DS1" s="144"/>
      <c r="DT1" s="144"/>
      <c r="DU1" s="144"/>
      <c r="DV1" s="144"/>
      <c r="DW1" s="144"/>
      <c r="DX1" s="144"/>
      <c r="DY1" s="144"/>
      <c r="DZ1" s="144"/>
      <c r="EA1" s="144"/>
      <c r="EB1" s="144"/>
      <c r="EC1" s="144"/>
      <c r="ED1" s="144"/>
      <c r="EE1" s="144"/>
      <c r="EF1" s="144"/>
      <c r="EG1" s="144"/>
      <c r="EH1" s="144"/>
      <c r="EI1" s="144"/>
      <c r="EJ1" s="144"/>
      <c r="EK1" s="144"/>
      <c r="EL1" s="144"/>
      <c r="EM1" s="144"/>
      <c r="EN1" s="144"/>
      <c r="EO1" s="144"/>
      <c r="EP1" s="144"/>
      <c r="EQ1" s="144"/>
      <c r="ER1" s="144"/>
      <c r="ES1" s="144"/>
      <c r="ET1" s="144"/>
      <c r="EU1" s="144"/>
      <c r="EV1" s="144"/>
      <c r="EW1" s="144"/>
      <c r="EX1" s="144"/>
      <c r="EY1" s="144"/>
      <c r="EZ1" s="144"/>
      <c r="FA1" s="144"/>
      <c r="FB1" s="144"/>
      <c r="FC1" s="144"/>
      <c r="FD1" s="144"/>
      <c r="FE1" s="144"/>
      <c r="FF1" s="144"/>
      <c r="FG1" s="144"/>
      <c r="FH1" s="144"/>
      <c r="FI1" s="144"/>
      <c r="FJ1" s="144"/>
      <c r="FK1" s="144"/>
      <c r="FL1" s="144"/>
      <c r="FM1" s="144"/>
      <c r="FN1" s="144"/>
      <c r="FO1" s="144"/>
      <c r="FP1" s="144"/>
      <c r="FQ1" s="144"/>
      <c r="FR1" s="144"/>
      <c r="FS1" s="144"/>
      <c r="FT1" s="144"/>
      <c r="FU1" s="144"/>
      <c r="FV1" s="144"/>
      <c r="FW1" s="144"/>
      <c r="FX1" s="144"/>
      <c r="FY1" s="144"/>
      <c r="FZ1" s="144"/>
      <c r="GA1" s="144"/>
      <c r="GB1" s="144"/>
      <c r="GC1" s="144"/>
      <c r="GD1" s="144"/>
      <c r="GE1" s="144"/>
      <c r="GF1" s="144"/>
      <c r="GG1" s="144"/>
      <c r="GH1" s="144"/>
      <c r="GI1" s="144"/>
      <c r="GJ1" s="144"/>
      <c r="GK1" s="144"/>
      <c r="GL1" s="144"/>
      <c r="GM1" s="144"/>
      <c r="GN1" s="144"/>
      <c r="GO1" s="144"/>
      <c r="GP1" s="144"/>
      <c r="GQ1" s="144"/>
      <c r="GR1" s="144"/>
      <c r="GS1" s="144"/>
      <c r="GT1" s="144"/>
      <c r="GU1" s="144"/>
      <c r="GV1" s="144"/>
      <c r="GW1" s="144"/>
      <c r="GX1" s="144"/>
      <c r="GY1" s="144"/>
      <c r="GZ1" s="144"/>
      <c r="HA1" s="144"/>
      <c r="HB1" s="144"/>
      <c r="HC1" s="144"/>
      <c r="HD1" s="144"/>
      <c r="HE1" s="144"/>
      <c r="HF1" s="144"/>
      <c r="HG1" s="144"/>
      <c r="HH1" s="144"/>
      <c r="HI1" s="144"/>
      <c r="HJ1" s="144"/>
      <c r="HK1" s="144"/>
      <c r="HL1" s="144"/>
      <c r="HM1" s="144"/>
      <c r="HN1" s="144"/>
      <c r="HO1" s="144"/>
      <c r="HP1" s="144"/>
      <c r="HQ1" s="144"/>
      <c r="HR1" s="144"/>
      <c r="HS1" s="144"/>
      <c r="HT1" s="144"/>
      <c r="HU1" s="144"/>
      <c r="HV1" s="144"/>
      <c r="HW1" s="144"/>
      <c r="HX1" s="144"/>
      <c r="HY1" s="144"/>
      <c r="HZ1" s="144"/>
      <c r="IA1" s="144"/>
      <c r="IB1" s="144"/>
      <c r="IC1" s="144"/>
      <c r="ID1" s="144"/>
      <c r="IE1" s="144"/>
      <c r="IF1" s="144"/>
    </row>
    <row r="2" spans="1:241">
      <c r="A2" s="144" t="s">
        <v>249</v>
      </c>
      <c r="B2" s="143"/>
      <c r="C2" s="143"/>
      <c r="D2" s="143"/>
      <c r="E2" s="143"/>
      <c r="F2" s="143"/>
      <c r="G2" s="143"/>
      <c r="H2" s="143"/>
      <c r="I2" s="143"/>
      <c r="J2" s="143"/>
      <c r="K2" s="143"/>
      <c r="M2" s="1120"/>
      <c r="N2" s="1120"/>
      <c r="O2" s="582"/>
      <c r="P2" s="582"/>
      <c r="Q2" s="582"/>
      <c r="R2" s="582"/>
      <c r="T2" s="584"/>
      <c r="U2" s="585"/>
      <c r="V2" s="585"/>
      <c r="W2" s="585"/>
      <c r="X2" s="585"/>
      <c r="Y2" s="585"/>
      <c r="Z2" s="585"/>
      <c r="AA2" s="585"/>
      <c r="AB2" s="585"/>
      <c r="AC2" s="585"/>
      <c r="AD2" s="585"/>
      <c r="AL2" s="582"/>
      <c r="AM2" s="582"/>
      <c r="AN2" s="582"/>
      <c r="AO2" s="582"/>
      <c r="AP2" s="582"/>
      <c r="AQ2" s="212"/>
      <c r="AR2" s="212"/>
      <c r="AS2" s="212"/>
      <c r="AT2" s="212"/>
      <c r="AU2" s="212"/>
      <c r="AV2" s="212"/>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row>
    <row r="3" spans="1:241" ht="15" customHeight="1">
      <c r="A3" s="215"/>
      <c r="B3" s="144"/>
      <c r="C3" s="144"/>
      <c r="D3" s="144"/>
      <c r="E3" s="144"/>
      <c r="F3" s="144"/>
      <c r="G3" s="144"/>
      <c r="H3" s="144"/>
      <c r="I3" s="144"/>
      <c r="J3" s="144"/>
      <c r="K3" s="144"/>
      <c r="M3" s="585" t="str">
        <f>RIGHT(K4,4)&amp;"/"&amp;RIGHT(J4,4)</f>
        <v>2023/2022</v>
      </c>
      <c r="N3" s="585"/>
      <c r="O3" s="582"/>
      <c r="P3" s="582"/>
      <c r="Q3" s="582"/>
      <c r="R3" s="582"/>
      <c r="T3" s="582"/>
      <c r="U3" s="587"/>
      <c r="V3" s="587"/>
      <c r="W3" s="587"/>
      <c r="X3" s="587"/>
      <c r="Y3" s="587"/>
      <c r="Z3" s="587"/>
      <c r="AA3" s="587"/>
      <c r="AB3" s="587"/>
      <c r="AC3" s="587"/>
      <c r="AD3" s="588"/>
      <c r="AL3" s="582"/>
      <c r="AM3" s="582"/>
      <c r="AN3" s="582"/>
      <c r="AO3" s="582"/>
      <c r="AP3" s="582"/>
      <c r="AQ3" s="212"/>
      <c r="AR3" s="212"/>
      <c r="AS3" s="212"/>
      <c r="AT3" s="212"/>
      <c r="AU3" s="212"/>
      <c r="AV3" s="212"/>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row>
    <row r="4" spans="1:241" ht="15" customHeight="1">
      <c r="A4" s="146" t="s">
        <v>250</v>
      </c>
      <c r="B4" s="1569">
        <v>2014</v>
      </c>
      <c r="C4" s="1569" t="s">
        <v>909</v>
      </c>
      <c r="D4" s="1569" t="s">
        <v>910</v>
      </c>
      <c r="E4" s="1569" t="s">
        <v>911</v>
      </c>
      <c r="F4" s="1569" t="s">
        <v>912</v>
      </c>
      <c r="G4" s="1569" t="s">
        <v>913</v>
      </c>
      <c r="H4" s="595" t="s">
        <v>914</v>
      </c>
      <c r="I4" s="595" t="s">
        <v>915</v>
      </c>
      <c r="J4" s="2" t="s">
        <v>1201</v>
      </c>
      <c r="K4" s="2" t="s">
        <v>1326</v>
      </c>
      <c r="M4" s="1126" t="s">
        <v>248</v>
      </c>
      <c r="N4" s="1399" t="s">
        <v>1273</v>
      </c>
      <c r="O4" s="589"/>
      <c r="P4" s="589"/>
      <c r="Q4" s="589"/>
      <c r="R4" s="589"/>
      <c r="T4" s="582"/>
      <c r="U4" s="587"/>
      <c r="V4" s="587"/>
      <c r="W4" s="587"/>
      <c r="X4" s="587"/>
      <c r="Y4" s="587"/>
      <c r="Z4" s="587"/>
      <c r="AA4" s="587"/>
      <c r="AB4" s="587"/>
      <c r="AC4" s="587"/>
      <c r="AD4" s="588"/>
      <c r="AL4" s="582"/>
      <c r="AM4" s="582"/>
      <c r="AN4" s="582"/>
      <c r="AO4" s="582"/>
      <c r="AP4" s="582"/>
      <c r="AQ4" s="212"/>
      <c r="AR4" s="212"/>
      <c r="AS4" s="212"/>
      <c r="AT4" s="212"/>
      <c r="AU4" s="212"/>
      <c r="AV4" s="212"/>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row>
    <row r="5" spans="1:241" ht="14.15" customHeight="1">
      <c r="A5" s="220"/>
      <c r="B5" s="147"/>
      <c r="C5" s="147"/>
      <c r="D5" s="147"/>
      <c r="E5" s="147"/>
      <c r="F5" s="147"/>
      <c r="G5" s="147"/>
      <c r="H5" s="147"/>
      <c r="I5" s="147"/>
      <c r="J5" s="147"/>
      <c r="K5" s="147"/>
      <c r="N5" s="1400"/>
      <c r="O5" s="589"/>
      <c r="P5" s="589"/>
      <c r="Q5" s="589"/>
      <c r="R5" s="589"/>
      <c r="T5" s="583"/>
      <c r="U5" s="582"/>
      <c r="V5" s="582"/>
      <c r="W5" s="582"/>
      <c r="X5" s="582"/>
      <c r="Y5" s="590"/>
      <c r="Z5" s="590"/>
      <c r="AA5" s="582"/>
      <c r="AB5" s="582"/>
      <c r="AC5" s="582"/>
      <c r="AD5" s="582"/>
      <c r="AE5" s="582"/>
      <c r="AF5" s="582"/>
      <c r="AG5" s="582"/>
      <c r="AH5" s="582"/>
      <c r="AI5" s="582"/>
      <c r="AJ5" s="582"/>
      <c r="AK5" s="582"/>
      <c r="AL5" s="582"/>
      <c r="AM5" s="582"/>
      <c r="AN5" s="582"/>
      <c r="AO5" s="582"/>
      <c r="AP5" s="582"/>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c r="GT5" s="144"/>
      <c r="GU5" s="144"/>
      <c r="GV5" s="144"/>
      <c r="GW5" s="144"/>
      <c r="GX5" s="144"/>
      <c r="GY5" s="144"/>
      <c r="GZ5" s="144"/>
      <c r="HA5" s="144"/>
      <c r="HB5" s="144"/>
      <c r="HC5" s="144"/>
      <c r="HD5" s="144"/>
      <c r="HE5" s="144"/>
      <c r="HF5" s="144"/>
      <c r="HG5" s="144"/>
      <c r="HH5" s="144"/>
      <c r="HI5" s="144"/>
      <c r="HJ5" s="144"/>
      <c r="HK5" s="144"/>
      <c r="HL5" s="144"/>
      <c r="HM5" s="144"/>
      <c r="HN5" s="144"/>
      <c r="HO5" s="144"/>
      <c r="HP5" s="144"/>
      <c r="HQ5" s="144"/>
      <c r="HR5" s="144"/>
      <c r="HS5" s="144"/>
      <c r="HT5" s="144"/>
      <c r="HU5" s="144"/>
      <c r="HV5" s="144"/>
      <c r="HW5" s="144"/>
      <c r="HX5" s="144"/>
      <c r="HY5" s="144"/>
      <c r="HZ5" s="144"/>
      <c r="IA5" s="144"/>
      <c r="IB5" s="144"/>
      <c r="IC5" s="144"/>
      <c r="ID5" s="144"/>
      <c r="IE5" s="144"/>
      <c r="IF5" s="144"/>
      <c r="IG5" s="144"/>
    </row>
    <row r="6" spans="1:241" ht="14.15" customHeight="1">
      <c r="A6" s="146" t="s">
        <v>251</v>
      </c>
      <c r="B6" s="954"/>
      <c r="C6" s="954"/>
      <c r="D6" s="954"/>
      <c r="E6" s="954"/>
      <c r="F6" s="954"/>
      <c r="G6" s="954"/>
      <c r="H6" s="954"/>
      <c r="I6" s="148"/>
      <c r="J6" s="148"/>
      <c r="K6" s="148"/>
      <c r="M6" s="1120"/>
      <c r="N6" s="1401"/>
      <c r="O6" s="582"/>
      <c r="P6" s="582"/>
      <c r="Q6" s="582"/>
      <c r="R6" s="582"/>
      <c r="T6" s="583"/>
      <c r="U6" s="582"/>
      <c r="V6" s="582"/>
      <c r="W6" s="582"/>
      <c r="X6" s="582"/>
      <c r="Y6" s="582"/>
      <c r="Z6" s="582"/>
      <c r="AA6" s="582"/>
      <c r="AB6" s="582"/>
      <c r="AC6" s="582"/>
      <c r="AD6" s="582"/>
      <c r="AE6" s="582"/>
      <c r="AF6" s="582"/>
      <c r="AG6" s="582"/>
      <c r="AH6" s="582"/>
      <c r="AI6" s="582"/>
      <c r="AJ6" s="582"/>
      <c r="AK6" s="582"/>
      <c r="AL6" s="582"/>
      <c r="AM6" s="582"/>
      <c r="AN6" s="582"/>
      <c r="AO6" s="582"/>
      <c r="AP6" s="582"/>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144"/>
      <c r="GZ6" s="144"/>
      <c r="HA6" s="144"/>
      <c r="HB6" s="144"/>
      <c r="HC6" s="144"/>
      <c r="HD6" s="144"/>
      <c r="HE6" s="144"/>
      <c r="HF6" s="144"/>
      <c r="HG6" s="144"/>
      <c r="HH6" s="144"/>
      <c r="HI6" s="144"/>
      <c r="HJ6" s="144"/>
      <c r="HK6" s="144"/>
      <c r="HL6" s="144"/>
      <c r="HM6" s="144"/>
      <c r="HN6" s="144"/>
      <c r="HO6" s="144"/>
      <c r="HP6" s="144"/>
      <c r="HQ6" s="144"/>
      <c r="HR6" s="144"/>
      <c r="HS6" s="144"/>
      <c r="HT6" s="144"/>
      <c r="HU6" s="144"/>
      <c r="HV6" s="144"/>
      <c r="HW6" s="144"/>
      <c r="HX6" s="144"/>
      <c r="HY6" s="144"/>
      <c r="HZ6" s="144"/>
      <c r="IA6" s="144"/>
      <c r="IB6" s="144"/>
      <c r="IC6" s="144"/>
      <c r="ID6" s="144"/>
      <c r="IE6" s="144"/>
      <c r="IF6" s="144"/>
      <c r="IG6" s="144"/>
    </row>
    <row r="7" spans="1:241" ht="15.65" customHeight="1">
      <c r="A7" s="1350" t="s">
        <v>1331</v>
      </c>
      <c r="B7" s="955"/>
      <c r="C7" s="955"/>
      <c r="D7" s="955"/>
      <c r="E7" s="955"/>
      <c r="F7" s="955"/>
      <c r="G7" s="1529">
        <v>29641000</v>
      </c>
      <c r="H7" s="1528">
        <f>ROUND('5.3-5.4'!$B$38,-3)</f>
        <v>25949000</v>
      </c>
      <c r="I7" s="1528">
        <f>ROUND('5.3-5.4'!$B$39,-3)</f>
        <v>29336000</v>
      </c>
      <c r="J7" s="1528">
        <f>ROUND('5.3-5.4'!$B$40,-3)</f>
        <v>30170000</v>
      </c>
      <c r="K7" s="1528">
        <f>ROUND('5.3-5.4'!$B$41,-3)</f>
        <v>30120000</v>
      </c>
      <c r="M7" s="1121">
        <f t="shared" ref="M7:M16" si="0">(K7/J7)-1</f>
        <v>-1.6572754391780409E-3</v>
      </c>
      <c r="N7" s="1398"/>
      <c r="O7" s="591"/>
      <c r="P7" s="582"/>
      <c r="Q7" s="582"/>
      <c r="R7" s="582"/>
      <c r="T7" s="592"/>
      <c r="U7" s="582"/>
      <c r="V7" s="583"/>
      <c r="W7" s="582"/>
      <c r="X7" s="582"/>
      <c r="Y7" s="582"/>
      <c r="Z7" s="582"/>
      <c r="AA7" s="585"/>
      <c r="AB7" s="585"/>
      <c r="AC7" s="585"/>
      <c r="AD7" s="585"/>
      <c r="AJ7" s="582"/>
      <c r="AK7" s="582"/>
      <c r="AL7" s="582"/>
      <c r="AM7" s="582"/>
      <c r="AN7" s="582"/>
      <c r="AO7" s="582"/>
      <c r="AP7" s="582"/>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4"/>
      <c r="HS7" s="144"/>
      <c r="HT7" s="144"/>
      <c r="HU7" s="144"/>
      <c r="HV7" s="144"/>
      <c r="HW7" s="144"/>
      <c r="HX7" s="144"/>
      <c r="HY7" s="144"/>
      <c r="HZ7" s="144"/>
      <c r="IA7" s="144"/>
      <c r="IB7" s="144"/>
      <c r="IC7" s="144"/>
      <c r="ID7" s="144"/>
      <c r="IE7" s="144"/>
      <c r="IF7" s="144"/>
      <c r="IG7" s="144"/>
    </row>
    <row r="8" spans="1:241" ht="15.65" customHeight="1">
      <c r="A8" s="1350" t="s">
        <v>769</v>
      </c>
      <c r="B8" s="953">
        <v>757490742.09000015</v>
      </c>
      <c r="C8" s="953">
        <v>831906887.15999985</v>
      </c>
      <c r="D8" s="953">
        <v>764948013.7700001</v>
      </c>
      <c r="E8" s="953">
        <v>826960822.31000006</v>
      </c>
      <c r="F8" s="953">
        <v>861897138.17999983</v>
      </c>
      <c r="G8" s="953">
        <v>943391000</v>
      </c>
      <c r="H8" s="143">
        <f>ROUND(1456048948.77-254758722.16-189640608.54,-3)</f>
        <v>1011650000</v>
      </c>
      <c r="I8" s="143">
        <v>1515692000</v>
      </c>
      <c r="J8" s="143">
        <v>1978697000</v>
      </c>
      <c r="K8" s="143">
        <v>2031120000</v>
      </c>
      <c r="M8" s="1121">
        <f t="shared" si="0"/>
        <v>2.6493697620201484E-2</v>
      </c>
      <c r="N8" s="1402">
        <f>K8/$K$41</f>
        <v>7.1621487673421927E-2</v>
      </c>
      <c r="O8" s="591"/>
      <c r="P8" s="582"/>
      <c r="Q8" s="582"/>
      <c r="R8" s="582"/>
      <c r="T8" s="592"/>
      <c r="U8" s="582"/>
      <c r="V8" s="583"/>
      <c r="W8" s="582"/>
      <c r="X8" s="582"/>
      <c r="Y8" s="582"/>
      <c r="Z8" s="582"/>
      <c r="AA8" s="590"/>
      <c r="AB8" s="590"/>
      <c r="AC8" s="590"/>
      <c r="AD8" s="590"/>
      <c r="AJ8" s="582"/>
      <c r="AK8" s="582"/>
      <c r="AL8" s="582"/>
      <c r="AM8" s="582"/>
      <c r="AN8" s="582"/>
      <c r="AO8" s="582"/>
      <c r="AP8" s="582"/>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4"/>
      <c r="HS8" s="144"/>
      <c r="HT8" s="144"/>
      <c r="HU8" s="144"/>
      <c r="HV8" s="144"/>
      <c r="HW8" s="144"/>
      <c r="HX8" s="144"/>
      <c r="HY8" s="144"/>
      <c r="HZ8" s="144"/>
      <c r="IA8" s="144"/>
      <c r="IB8" s="144"/>
      <c r="IC8" s="144"/>
      <c r="ID8" s="144"/>
      <c r="IE8" s="144"/>
      <c r="IF8" s="144"/>
      <c r="IG8" s="144"/>
    </row>
    <row r="9" spans="1:241" ht="15.65" customHeight="1">
      <c r="A9" s="1350" t="s">
        <v>1332</v>
      </c>
      <c r="B9" s="953">
        <v>11253348000</v>
      </c>
      <c r="C9" s="953">
        <v>12328675000</v>
      </c>
      <c r="D9" s="953">
        <v>12555624000</v>
      </c>
      <c r="E9" s="953">
        <v>13052887000</v>
      </c>
      <c r="F9" s="953">
        <v>14105766000</v>
      </c>
      <c r="G9" s="953">
        <v>15226471000</v>
      </c>
      <c r="H9" s="388">
        <f>ROUND(172944264.74+1634338.44+14076560.05+-12000+-2591+85344535.6+47636381.35+1347009257.04+-1782372432.02+1926281006.61+13205120102.82+-16589175.92+245232938.82+137254190.49+-31965054.43,-3)</f>
        <v>15351592000</v>
      </c>
      <c r="I9" s="1527">
        <f>ROUND(17303666344.54,-3)</f>
        <v>17303666000</v>
      </c>
      <c r="J9" s="143">
        <v>20410203000</v>
      </c>
      <c r="K9" s="143">
        <v>18983555000</v>
      </c>
      <c r="L9" s="186"/>
      <c r="M9" s="1121">
        <f t="shared" si="0"/>
        <v>-6.9898765828051768E-2</v>
      </c>
      <c r="N9" s="1403">
        <f>K9/$K$41</f>
        <v>0.6693993710023175</v>
      </c>
      <c r="O9" s="591"/>
      <c r="P9" s="582"/>
      <c r="Q9" s="582"/>
      <c r="R9" s="582"/>
      <c r="T9" s="592"/>
      <c r="U9" s="582"/>
      <c r="V9" s="583"/>
      <c r="W9" s="582"/>
      <c r="X9" s="582"/>
      <c r="Y9" s="582"/>
      <c r="Z9" s="582"/>
      <c r="AA9" s="590"/>
      <c r="AB9" s="590"/>
      <c r="AC9" s="590"/>
      <c r="AD9" s="590"/>
      <c r="AJ9" s="582"/>
      <c r="AK9" s="582"/>
      <c r="AL9" s="582"/>
      <c r="AM9" s="582"/>
      <c r="AN9" s="582"/>
      <c r="AO9" s="582"/>
      <c r="AP9" s="582"/>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4"/>
      <c r="HS9" s="144"/>
      <c r="HT9" s="144"/>
      <c r="HU9" s="144"/>
      <c r="HV9" s="144"/>
      <c r="HW9" s="144"/>
      <c r="HX9" s="144"/>
      <c r="HY9" s="144"/>
      <c r="HZ9" s="144"/>
      <c r="IA9" s="144"/>
      <c r="IB9" s="144"/>
      <c r="IC9" s="144"/>
      <c r="ID9" s="144"/>
      <c r="IE9" s="144"/>
      <c r="IF9" s="144"/>
      <c r="IG9" s="144"/>
    </row>
    <row r="10" spans="1:241" ht="15.65" customHeight="1">
      <c r="A10" s="1350" t="s">
        <v>775</v>
      </c>
      <c r="B10" s="953"/>
      <c r="C10" s="953"/>
      <c r="D10" s="953"/>
      <c r="E10" s="953"/>
      <c r="F10" s="953"/>
      <c r="G10" s="953">
        <v>191000</v>
      </c>
      <c r="H10" s="143">
        <f>ROUND(10996+69278.18,-3)</f>
        <v>80000</v>
      </c>
      <c r="I10" s="143">
        <v>810000</v>
      </c>
      <c r="J10" s="143">
        <v>27000</v>
      </c>
      <c r="K10" s="143">
        <v>0</v>
      </c>
      <c r="L10" s="186"/>
      <c r="M10" s="1121">
        <f t="shared" si="0"/>
        <v>-1</v>
      </c>
      <c r="N10" s="1398"/>
      <c r="O10" s="593"/>
      <c r="P10" s="582"/>
      <c r="Q10" s="582"/>
      <c r="R10" s="582"/>
      <c r="T10" s="592"/>
      <c r="U10" s="582"/>
      <c r="V10" s="583"/>
      <c r="W10" s="582"/>
      <c r="X10" s="582"/>
      <c r="Y10" s="582"/>
      <c r="Z10" s="582"/>
      <c r="AD10" s="590"/>
      <c r="AE10" s="582"/>
      <c r="AF10" s="582"/>
      <c r="AG10" s="582"/>
      <c r="AH10" s="582"/>
      <c r="AI10" s="582"/>
      <c r="AJ10" s="582"/>
      <c r="AK10" s="582"/>
      <c r="AL10" s="582"/>
      <c r="AM10" s="582"/>
      <c r="AN10" s="582"/>
      <c r="AO10" s="582"/>
      <c r="AP10" s="582"/>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4"/>
      <c r="EG10" s="144"/>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4"/>
      <c r="FZ10" s="144"/>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4"/>
      <c r="HS10" s="144"/>
      <c r="HT10" s="144"/>
      <c r="HU10" s="144"/>
      <c r="HV10" s="144"/>
      <c r="HW10" s="144"/>
      <c r="HX10" s="144"/>
      <c r="HY10" s="144"/>
      <c r="HZ10" s="144"/>
      <c r="IA10" s="144"/>
      <c r="IB10" s="144"/>
      <c r="IC10" s="144"/>
      <c r="ID10" s="144"/>
      <c r="IE10" s="144"/>
      <c r="IF10" s="144"/>
      <c r="IG10" s="144"/>
    </row>
    <row r="11" spans="1:241" ht="15.65" customHeight="1">
      <c r="A11" s="1350" t="s">
        <v>252</v>
      </c>
      <c r="B11" s="953"/>
      <c r="C11" s="953"/>
      <c r="D11" s="953"/>
      <c r="E11" s="953"/>
      <c r="F11" s="953"/>
      <c r="G11" s="953">
        <v>372107000</v>
      </c>
      <c r="H11" s="143">
        <f>ROUND(39715917.44+-6507.25+-48621.15+487130322.81+-59669923.88,-3)</f>
        <v>467121000</v>
      </c>
      <c r="I11" s="143">
        <v>656756000</v>
      </c>
      <c r="J11" s="143">
        <v>634000000</v>
      </c>
      <c r="K11" s="143">
        <v>415504000</v>
      </c>
      <c r="L11" s="186"/>
      <c r="M11" s="1121">
        <f t="shared" si="0"/>
        <v>-0.34463091482649844</v>
      </c>
      <c r="N11" s="1398"/>
      <c r="O11" s="591"/>
      <c r="P11" s="582"/>
      <c r="Q11" s="582"/>
      <c r="R11" s="582"/>
      <c r="T11" s="592"/>
      <c r="U11" s="582"/>
      <c r="V11" s="583"/>
      <c r="W11" s="582"/>
      <c r="X11" s="582"/>
      <c r="Y11" s="582"/>
      <c r="Z11" s="582"/>
      <c r="AA11" s="582"/>
      <c r="AB11" s="582"/>
      <c r="AC11" s="582"/>
      <c r="AD11" s="582"/>
      <c r="AE11" s="582"/>
      <c r="AF11" s="582"/>
      <c r="AG11" s="582"/>
      <c r="AH11" s="582"/>
      <c r="AI11" s="582"/>
      <c r="AJ11" s="582"/>
      <c r="AK11" s="582"/>
      <c r="AL11" s="582"/>
      <c r="AM11" s="582"/>
      <c r="AN11" s="582"/>
      <c r="AO11" s="582"/>
      <c r="AP11" s="582"/>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4"/>
      <c r="FZ11" s="144"/>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44"/>
      <c r="HL11" s="144"/>
      <c r="HM11" s="144"/>
      <c r="HN11" s="144"/>
      <c r="HO11" s="144"/>
      <c r="HP11" s="144"/>
      <c r="HQ11" s="144"/>
      <c r="HR11" s="144"/>
      <c r="HS11" s="144"/>
      <c r="HT11" s="144"/>
      <c r="HU11" s="144"/>
      <c r="HV11" s="144"/>
      <c r="HW11" s="144"/>
      <c r="HX11" s="144"/>
      <c r="HY11" s="144"/>
      <c r="HZ11" s="144"/>
      <c r="IA11" s="144"/>
      <c r="IB11" s="144"/>
      <c r="IC11" s="144"/>
      <c r="ID11" s="144"/>
      <c r="IE11" s="144"/>
      <c r="IF11" s="144"/>
      <c r="IG11" s="144"/>
    </row>
    <row r="12" spans="1:241" ht="15.65" customHeight="1">
      <c r="A12" s="1350" t="s">
        <v>253</v>
      </c>
      <c r="B12" s="953"/>
      <c r="C12" s="953"/>
      <c r="D12" s="953"/>
      <c r="E12" s="953"/>
      <c r="F12" s="953"/>
      <c r="G12" s="953">
        <v>6738000</v>
      </c>
      <c r="H12" s="143">
        <f>ROUND(6074046.59+-46849.18+0+560500.22,-3)</f>
        <v>6588000</v>
      </c>
      <c r="I12" s="143">
        <v>7769000</v>
      </c>
      <c r="J12" s="143">
        <v>8542000</v>
      </c>
      <c r="K12" s="143">
        <v>8465000</v>
      </c>
      <c r="M12" s="1121">
        <f t="shared" si="0"/>
        <v>-9.0142823694685514E-3</v>
      </c>
      <c r="N12" s="1398"/>
      <c r="O12" s="591"/>
      <c r="P12" s="582"/>
      <c r="Q12" s="582"/>
      <c r="R12" s="582"/>
      <c r="T12" s="592"/>
      <c r="U12" s="582"/>
      <c r="V12" s="583"/>
      <c r="W12" s="582"/>
      <c r="X12" s="582"/>
      <c r="Y12" s="582"/>
      <c r="Z12" s="582"/>
      <c r="AA12" s="590"/>
      <c r="AB12" s="582"/>
      <c r="AC12" s="582"/>
      <c r="AD12" s="582"/>
      <c r="AE12" s="582"/>
      <c r="AF12" s="582"/>
      <c r="AG12" s="582"/>
      <c r="AH12" s="582"/>
      <c r="AI12" s="582"/>
      <c r="AJ12" s="582"/>
      <c r="AK12" s="582"/>
      <c r="AL12" s="582"/>
      <c r="AM12" s="582"/>
      <c r="AN12" s="582"/>
      <c r="AO12" s="582"/>
      <c r="AP12" s="582"/>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4"/>
      <c r="FZ12" s="144"/>
      <c r="GA12" s="144"/>
      <c r="GB12" s="144"/>
      <c r="GC12" s="144"/>
      <c r="GD12" s="144"/>
      <c r="GE12" s="144"/>
      <c r="GF12" s="144"/>
      <c r="GG12" s="144"/>
      <c r="GH12" s="144"/>
      <c r="GI12" s="144"/>
      <c r="GJ12" s="144"/>
      <c r="GK12" s="144"/>
      <c r="GL12" s="144"/>
      <c r="GM12" s="144"/>
      <c r="GN12" s="144"/>
      <c r="GO12" s="144"/>
      <c r="GP12" s="144"/>
      <c r="GQ12" s="144"/>
      <c r="GR12" s="144"/>
      <c r="GS12" s="144"/>
      <c r="GT12" s="144"/>
      <c r="GU12" s="144"/>
      <c r="GV12" s="144"/>
      <c r="GW12" s="144"/>
      <c r="GX12" s="144"/>
      <c r="GY12" s="144"/>
      <c r="GZ12" s="144"/>
      <c r="HA12" s="144"/>
      <c r="HB12" s="144"/>
      <c r="HC12" s="144"/>
      <c r="HD12" s="144"/>
      <c r="HE12" s="144"/>
      <c r="HF12" s="144"/>
      <c r="HG12" s="144"/>
      <c r="HH12" s="144"/>
      <c r="HI12" s="144"/>
      <c r="HJ12" s="144"/>
      <c r="HK12" s="144"/>
      <c r="HL12" s="144"/>
      <c r="HM12" s="144"/>
      <c r="HN12" s="144"/>
      <c r="HO12" s="144"/>
      <c r="HP12" s="144"/>
      <c r="HQ12" s="144"/>
      <c r="HR12" s="144"/>
      <c r="HS12" s="144"/>
      <c r="HT12" s="144"/>
      <c r="HU12" s="144"/>
      <c r="HV12" s="144"/>
      <c r="HW12" s="144"/>
      <c r="HX12" s="144"/>
      <c r="HY12" s="144"/>
      <c r="HZ12" s="144"/>
      <c r="IA12" s="144"/>
      <c r="IB12" s="144"/>
      <c r="IC12" s="144"/>
      <c r="ID12" s="144"/>
      <c r="IE12" s="144"/>
      <c r="IF12" s="144"/>
      <c r="IG12" s="144"/>
    </row>
    <row r="13" spans="1:241" ht="15.65" customHeight="1">
      <c r="A13" s="1350" t="s">
        <v>254</v>
      </c>
      <c r="B13" s="953">
        <v>3066456000</v>
      </c>
      <c r="C13" s="953">
        <v>3235444000</v>
      </c>
      <c r="D13" s="953">
        <v>3295853000</v>
      </c>
      <c r="E13" s="953">
        <v>3354561000</v>
      </c>
      <c r="F13" s="953">
        <v>3458249000</v>
      </c>
      <c r="G13" s="953">
        <v>3580355000</v>
      </c>
      <c r="H13" s="143">
        <f>ROUND(2683258.31+208033441.59+53040341.29+3169525635.96+-34441737.4+2478935.49+173593188.29+-5477492.26+540921001.82+-406044118.99+132233.73+2033538.76+338923.1,-3)</f>
        <v>3706817000</v>
      </c>
      <c r="I13" s="143">
        <v>4166182000</v>
      </c>
      <c r="J13" s="143">
        <v>4558082000</v>
      </c>
      <c r="K13" s="143">
        <v>4734549000</v>
      </c>
      <c r="M13" s="1121">
        <f t="shared" si="0"/>
        <v>3.8715187660072869E-2</v>
      </c>
      <c r="N13" s="1404">
        <f>K13/$K$41</f>
        <v>0.16694997973665371</v>
      </c>
      <c r="O13" s="591"/>
      <c r="P13" s="582"/>
      <c r="Q13" s="582"/>
      <c r="R13" s="582"/>
      <c r="T13" s="592"/>
      <c r="U13" s="582"/>
      <c r="V13" s="583"/>
      <c r="W13" s="582"/>
      <c r="X13" s="582"/>
      <c r="Y13" s="582"/>
      <c r="Z13" s="582"/>
      <c r="AA13" s="582"/>
      <c r="AB13" s="582"/>
      <c r="AC13" s="582"/>
      <c r="AD13" s="582"/>
      <c r="AE13" s="582"/>
      <c r="AF13" s="582"/>
      <c r="AG13" s="582"/>
      <c r="AH13" s="582"/>
      <c r="AI13" s="582"/>
      <c r="AJ13" s="582"/>
      <c r="AK13" s="582"/>
      <c r="AL13" s="582"/>
      <c r="AM13" s="582"/>
      <c r="AN13" s="582"/>
      <c r="AO13" s="582"/>
      <c r="AP13" s="582"/>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c r="DF13" s="144"/>
      <c r="DG13" s="144"/>
      <c r="DH13" s="144"/>
      <c r="DI13" s="144"/>
      <c r="DJ13" s="144"/>
      <c r="DK13" s="144"/>
      <c r="DL13" s="144"/>
      <c r="DM13" s="144"/>
      <c r="DN13" s="144"/>
      <c r="DO13" s="144"/>
      <c r="DP13" s="144"/>
      <c r="DQ13" s="144"/>
      <c r="DR13" s="144"/>
      <c r="DS13" s="144"/>
      <c r="DT13" s="144"/>
      <c r="DU13" s="144"/>
      <c r="DV13" s="144"/>
      <c r="DW13" s="144"/>
      <c r="DX13" s="144"/>
      <c r="DY13" s="144"/>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c r="EY13" s="144"/>
      <c r="EZ13" s="144"/>
      <c r="FA13" s="144"/>
      <c r="FB13" s="144"/>
      <c r="FC13" s="144"/>
      <c r="FD13" s="144"/>
      <c r="FE13" s="144"/>
      <c r="FF13" s="144"/>
      <c r="FG13" s="144"/>
      <c r="FH13" s="144"/>
      <c r="FI13" s="144"/>
      <c r="FJ13" s="144"/>
      <c r="FK13" s="144"/>
      <c r="FL13" s="144"/>
      <c r="FM13" s="144"/>
      <c r="FN13" s="144"/>
      <c r="FO13" s="144"/>
      <c r="FP13" s="144"/>
      <c r="FQ13" s="144"/>
      <c r="FR13" s="144"/>
      <c r="FS13" s="144"/>
      <c r="FT13" s="144"/>
      <c r="FU13" s="144"/>
      <c r="FV13" s="144"/>
      <c r="FW13" s="144"/>
      <c r="FX13" s="144"/>
      <c r="FY13" s="144"/>
      <c r="FZ13" s="144"/>
      <c r="GA13" s="144"/>
      <c r="GB13" s="144"/>
      <c r="GC13" s="144"/>
      <c r="GD13" s="144"/>
      <c r="GE13" s="144"/>
      <c r="GF13" s="144"/>
      <c r="GG13" s="144"/>
      <c r="GH13" s="144"/>
      <c r="GI13" s="144"/>
      <c r="GJ13" s="144"/>
      <c r="GK13" s="144"/>
      <c r="GL13" s="144"/>
      <c r="GM13" s="144"/>
      <c r="GN13" s="144"/>
      <c r="GO13" s="144"/>
      <c r="GP13" s="144"/>
      <c r="GQ13" s="144"/>
      <c r="GR13" s="144"/>
      <c r="GS13" s="144"/>
      <c r="GT13" s="144"/>
      <c r="GU13" s="144"/>
      <c r="GV13" s="144"/>
      <c r="GW13" s="144"/>
      <c r="GX13" s="144"/>
      <c r="GY13" s="144"/>
      <c r="GZ13" s="144"/>
      <c r="HA13" s="144"/>
      <c r="HB13" s="144"/>
      <c r="HC13" s="144"/>
      <c r="HD13" s="144"/>
      <c r="HE13" s="144"/>
      <c r="HF13" s="144"/>
      <c r="HG13" s="144"/>
      <c r="HH13" s="144"/>
      <c r="HI13" s="144"/>
      <c r="HJ13" s="144"/>
      <c r="HK13" s="144"/>
      <c r="HL13" s="144"/>
      <c r="HM13" s="144"/>
      <c r="HN13" s="144"/>
      <c r="HO13" s="144"/>
      <c r="HP13" s="144"/>
      <c r="HQ13" s="144"/>
      <c r="HR13" s="144"/>
      <c r="HS13" s="144"/>
      <c r="HT13" s="144"/>
      <c r="HU13" s="144"/>
      <c r="HV13" s="144"/>
      <c r="HW13" s="144"/>
      <c r="HX13" s="144"/>
      <c r="HY13" s="144"/>
      <c r="HZ13" s="144"/>
      <c r="IA13" s="144"/>
      <c r="IB13" s="144"/>
      <c r="IC13" s="144"/>
      <c r="ID13" s="144"/>
      <c r="IE13" s="144"/>
      <c r="IF13" s="144"/>
      <c r="IG13" s="144"/>
    </row>
    <row r="14" spans="1:241" ht="15.65" customHeight="1">
      <c r="A14" s="1350" t="s">
        <v>255</v>
      </c>
      <c r="B14" s="953"/>
      <c r="C14" s="953"/>
      <c r="D14" s="953"/>
      <c r="E14" s="953"/>
      <c r="F14" s="953"/>
      <c r="G14" s="953">
        <v>5681000</v>
      </c>
      <c r="H14" s="143">
        <f>ROUND(6772425.16,-3)</f>
        <v>6772000</v>
      </c>
      <c r="I14" s="143">
        <v>9398000</v>
      </c>
      <c r="J14" s="143">
        <v>9070000</v>
      </c>
      <c r="K14" s="143">
        <v>9306000</v>
      </c>
      <c r="L14" s="186"/>
      <c r="M14" s="1121">
        <f t="shared" si="0"/>
        <v>2.6019845644983386E-2</v>
      </c>
      <c r="N14" s="1398"/>
      <c r="O14" s="591"/>
      <c r="P14" s="582"/>
      <c r="Q14" s="582"/>
      <c r="R14" s="582"/>
      <c r="T14" s="592"/>
      <c r="U14" s="582"/>
      <c r="V14" s="583"/>
      <c r="W14" s="582"/>
      <c r="X14" s="582"/>
      <c r="Y14" s="582"/>
      <c r="Z14" s="582"/>
      <c r="AA14" s="590"/>
      <c r="AB14" s="582"/>
      <c r="AC14" s="582"/>
      <c r="AD14" s="582"/>
      <c r="AE14" s="582"/>
      <c r="AF14" s="582"/>
      <c r="AG14" s="582"/>
      <c r="AH14" s="582"/>
      <c r="AI14" s="582"/>
      <c r="AJ14" s="582"/>
      <c r="AK14" s="582"/>
      <c r="AL14" s="582"/>
      <c r="AM14" s="582"/>
      <c r="AN14" s="582"/>
      <c r="AO14" s="582"/>
      <c r="AP14" s="582"/>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c r="DE14" s="144"/>
      <c r="DF14" s="144"/>
      <c r="DG14" s="144"/>
      <c r="DH14" s="144"/>
      <c r="DI14" s="144"/>
      <c r="DJ14" s="144"/>
      <c r="DK14" s="144"/>
      <c r="DL14" s="144"/>
      <c r="DM14" s="144"/>
      <c r="DN14" s="144"/>
      <c r="DO14" s="144"/>
      <c r="DP14" s="144"/>
      <c r="DQ14" s="144"/>
      <c r="DR14" s="144"/>
      <c r="DS14" s="144"/>
      <c r="DT14" s="144"/>
      <c r="DU14" s="144"/>
      <c r="DV14" s="144"/>
      <c r="DW14" s="144"/>
      <c r="DX14" s="144"/>
      <c r="DY14" s="144"/>
      <c r="DZ14" s="144"/>
      <c r="EA14" s="144"/>
      <c r="EB14" s="144"/>
      <c r="EC14" s="144"/>
      <c r="ED14" s="144"/>
      <c r="EE14" s="144"/>
      <c r="EF14" s="144"/>
      <c r="EG14" s="144"/>
      <c r="EH14" s="144"/>
      <c r="EI14" s="144"/>
      <c r="EJ14" s="144"/>
      <c r="EK14" s="144"/>
      <c r="EL14" s="144"/>
      <c r="EM14" s="144"/>
      <c r="EN14" s="144"/>
      <c r="EO14" s="144"/>
      <c r="EP14" s="144"/>
      <c r="EQ14" s="144"/>
      <c r="ER14" s="144"/>
      <c r="ES14" s="144"/>
      <c r="ET14" s="144"/>
      <c r="EU14" s="144"/>
      <c r="EV14" s="144"/>
      <c r="EW14" s="144"/>
      <c r="EX14" s="144"/>
      <c r="EY14" s="144"/>
      <c r="EZ14" s="144"/>
      <c r="FA14" s="144"/>
      <c r="FB14" s="144"/>
      <c r="FC14" s="144"/>
      <c r="FD14" s="144"/>
      <c r="FE14" s="144"/>
      <c r="FF14" s="144"/>
      <c r="FG14" s="144"/>
      <c r="FH14" s="144"/>
      <c r="FI14" s="144"/>
      <c r="FJ14" s="144"/>
      <c r="FK14" s="144"/>
      <c r="FL14" s="144"/>
      <c r="FM14" s="144"/>
      <c r="FN14" s="144"/>
      <c r="FO14" s="144"/>
      <c r="FP14" s="144"/>
      <c r="FQ14" s="144"/>
      <c r="FR14" s="144"/>
      <c r="FS14" s="144"/>
      <c r="FT14" s="144"/>
      <c r="FU14" s="144"/>
      <c r="FV14" s="144"/>
      <c r="FW14" s="144"/>
      <c r="FX14" s="144"/>
      <c r="FY14" s="144"/>
      <c r="FZ14" s="144"/>
      <c r="GA14" s="144"/>
      <c r="GB14" s="144"/>
      <c r="GC14" s="144"/>
      <c r="GD14" s="144"/>
      <c r="GE14" s="144"/>
      <c r="GF14" s="144"/>
      <c r="GG14" s="144"/>
      <c r="GH14" s="144"/>
      <c r="GI14" s="144"/>
      <c r="GJ14" s="144"/>
      <c r="GK14" s="144"/>
      <c r="GL14" s="144"/>
      <c r="GM14" s="144"/>
      <c r="GN14" s="144"/>
      <c r="GO14" s="144"/>
      <c r="GP14" s="144"/>
      <c r="GQ14" s="144"/>
      <c r="GR14" s="144"/>
      <c r="GS14" s="144"/>
      <c r="GT14" s="144"/>
      <c r="GU14" s="144"/>
      <c r="GV14" s="144"/>
      <c r="GW14" s="144"/>
      <c r="GX14" s="144"/>
      <c r="GY14" s="144"/>
      <c r="GZ14" s="144"/>
      <c r="HA14" s="144"/>
      <c r="HB14" s="144"/>
      <c r="HC14" s="144"/>
      <c r="HD14" s="144"/>
      <c r="HE14" s="144"/>
      <c r="HF14" s="144"/>
      <c r="HG14" s="144"/>
      <c r="HH14" s="144"/>
      <c r="HI14" s="144"/>
      <c r="HJ14" s="144"/>
      <c r="HK14" s="144"/>
      <c r="HL14" s="144"/>
      <c r="HM14" s="144"/>
      <c r="HN14" s="144"/>
      <c r="HO14" s="144"/>
      <c r="HP14" s="144"/>
      <c r="HQ14" s="144"/>
      <c r="HR14" s="144"/>
      <c r="HS14" s="144"/>
      <c r="HT14" s="144"/>
      <c r="HU14" s="144"/>
      <c r="HV14" s="144"/>
      <c r="HW14" s="144"/>
      <c r="HX14" s="144"/>
      <c r="HY14" s="144"/>
      <c r="HZ14" s="144"/>
      <c r="IA14" s="144"/>
      <c r="IB14" s="144"/>
      <c r="IC14" s="144"/>
      <c r="ID14" s="144"/>
      <c r="IE14" s="144"/>
      <c r="IF14" s="144"/>
      <c r="IG14" s="144"/>
    </row>
    <row r="15" spans="1:241" ht="15.65" customHeight="1">
      <c r="A15" s="144" t="s">
        <v>1335</v>
      </c>
      <c r="B15" s="953"/>
      <c r="C15" s="953"/>
      <c r="D15" s="953"/>
      <c r="E15" s="953"/>
      <c r="F15" s="953"/>
      <c r="G15" s="953">
        <v>6444000</v>
      </c>
      <c r="H15" s="143">
        <f>ROUND(5794346.74+726593.28,-3)</f>
        <v>6521000</v>
      </c>
      <c r="I15" s="143">
        <v>6051000</v>
      </c>
      <c r="J15" s="143">
        <v>6110000</v>
      </c>
      <c r="K15" s="143">
        <v>6681000</v>
      </c>
      <c r="M15" s="1121">
        <f t="shared" si="0"/>
        <v>9.3453355155482809E-2</v>
      </c>
      <c r="N15" s="1398"/>
      <c r="O15" s="591"/>
      <c r="P15" s="582"/>
      <c r="Q15" s="582"/>
      <c r="R15" s="582"/>
      <c r="T15" s="592"/>
      <c r="U15" s="582"/>
      <c r="V15" s="583"/>
      <c r="W15" s="582"/>
      <c r="X15" s="582"/>
      <c r="Y15" s="582"/>
      <c r="Z15" s="582"/>
      <c r="AA15" s="590"/>
      <c r="AB15" s="582"/>
      <c r="AC15" s="582"/>
      <c r="AD15" s="582"/>
      <c r="AE15" s="582"/>
      <c r="AF15" s="582"/>
      <c r="AG15" s="582"/>
      <c r="AH15" s="582"/>
      <c r="AI15" s="582"/>
      <c r="AJ15" s="582"/>
      <c r="AK15" s="582"/>
      <c r="AL15" s="582"/>
      <c r="AM15" s="582"/>
      <c r="AN15" s="582"/>
      <c r="AO15" s="582"/>
      <c r="AP15" s="582"/>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4"/>
      <c r="DU15" s="144"/>
      <c r="DV15" s="144"/>
      <c r="DW15" s="144"/>
      <c r="DX15" s="144"/>
      <c r="DY15" s="144"/>
      <c r="DZ15" s="144"/>
      <c r="EA15" s="144"/>
      <c r="EB15" s="144"/>
      <c r="EC15" s="144"/>
      <c r="ED15" s="144"/>
      <c r="EE15" s="144"/>
      <c r="EF15" s="144"/>
      <c r="EG15" s="144"/>
      <c r="EH15" s="144"/>
      <c r="EI15" s="144"/>
      <c r="EJ15" s="144"/>
      <c r="EK15" s="144"/>
      <c r="EL15" s="144"/>
      <c r="EM15" s="144"/>
      <c r="EN15" s="144"/>
      <c r="EO15" s="144"/>
      <c r="EP15" s="144"/>
      <c r="EQ15" s="144"/>
      <c r="ER15" s="144"/>
      <c r="ES15" s="144"/>
      <c r="ET15" s="144"/>
      <c r="EU15" s="144"/>
      <c r="EV15" s="144"/>
      <c r="EW15" s="144"/>
      <c r="EX15" s="144"/>
      <c r="EY15" s="144"/>
      <c r="EZ15" s="144"/>
      <c r="FA15" s="144"/>
      <c r="FB15" s="144"/>
      <c r="FC15" s="144"/>
      <c r="FD15" s="144"/>
      <c r="FE15" s="144"/>
      <c r="FF15" s="144"/>
      <c r="FG15" s="144"/>
      <c r="FH15" s="144"/>
      <c r="FI15" s="144"/>
      <c r="FJ15" s="144"/>
      <c r="FK15" s="144"/>
      <c r="FL15" s="144"/>
      <c r="FM15" s="144"/>
      <c r="FN15" s="144"/>
      <c r="FO15" s="144"/>
      <c r="FP15" s="144"/>
      <c r="FQ15" s="144"/>
      <c r="FR15" s="144"/>
      <c r="FS15" s="144"/>
      <c r="FT15" s="144"/>
      <c r="FU15" s="144"/>
      <c r="FV15" s="144"/>
      <c r="FW15" s="144"/>
      <c r="FX15" s="144"/>
      <c r="FY15" s="144"/>
      <c r="FZ15" s="144"/>
      <c r="GA15" s="144"/>
      <c r="GB15" s="144"/>
      <c r="GC15" s="144"/>
      <c r="GD15" s="144"/>
      <c r="GE15" s="144"/>
      <c r="GF15" s="144"/>
      <c r="GG15" s="144"/>
      <c r="GH15" s="144"/>
      <c r="GI15" s="144"/>
      <c r="GJ15" s="144"/>
      <c r="GK15" s="144"/>
      <c r="GL15" s="144"/>
      <c r="GM15" s="144"/>
      <c r="GN15" s="144"/>
      <c r="GO15" s="144"/>
      <c r="GP15" s="144"/>
      <c r="GQ15" s="144"/>
      <c r="GR15" s="144"/>
      <c r="GS15" s="144"/>
      <c r="GT15" s="144"/>
      <c r="GU15" s="144"/>
      <c r="GV15" s="144"/>
      <c r="GW15" s="144"/>
      <c r="GX15" s="144"/>
      <c r="GY15" s="144"/>
      <c r="GZ15" s="144"/>
      <c r="HA15" s="144"/>
      <c r="HB15" s="144"/>
      <c r="HC15" s="144"/>
      <c r="HD15" s="144"/>
      <c r="HE15" s="144"/>
      <c r="HF15" s="144"/>
      <c r="HG15" s="144"/>
      <c r="HH15" s="144"/>
      <c r="HI15" s="144"/>
      <c r="HJ15" s="144"/>
      <c r="HK15" s="144"/>
      <c r="HL15" s="144"/>
      <c r="HM15" s="144"/>
      <c r="HN15" s="144"/>
      <c r="HO15" s="144"/>
      <c r="HP15" s="144"/>
      <c r="HQ15" s="144"/>
      <c r="HR15" s="144"/>
      <c r="HS15" s="144"/>
      <c r="HT15" s="144"/>
      <c r="HU15" s="144"/>
      <c r="HV15" s="144"/>
      <c r="HW15" s="144"/>
      <c r="HX15" s="144"/>
      <c r="HY15" s="144"/>
      <c r="HZ15" s="144"/>
      <c r="IA15" s="144"/>
      <c r="IB15" s="144"/>
      <c r="IC15" s="144"/>
      <c r="ID15" s="144"/>
      <c r="IE15" s="144"/>
      <c r="IF15" s="144"/>
      <c r="IG15" s="144"/>
    </row>
    <row r="16" spans="1:241" ht="15.65" customHeight="1">
      <c r="A16" s="144" t="s">
        <v>721</v>
      </c>
      <c r="B16" s="953"/>
      <c r="C16" s="953"/>
      <c r="D16" s="953"/>
      <c r="E16" s="953"/>
      <c r="F16" s="953"/>
      <c r="G16" s="953">
        <v>382018000</v>
      </c>
      <c r="H16" s="143">
        <f>ROUND(603081210.21-242492835.9,-3)</f>
        <v>360588000</v>
      </c>
      <c r="I16" s="143">
        <v>363105000</v>
      </c>
      <c r="J16" s="143">
        <v>426830000</v>
      </c>
      <c r="K16" s="143">
        <v>450877000</v>
      </c>
      <c r="L16" s="212"/>
      <c r="M16" s="1121">
        <f t="shared" si="0"/>
        <v>5.6338589133847261E-2</v>
      </c>
      <c r="N16" s="1398"/>
      <c r="O16" s="591"/>
      <c r="P16" s="582"/>
      <c r="Q16" s="582"/>
      <c r="R16" s="582"/>
      <c r="T16" s="592"/>
      <c r="U16" s="582"/>
      <c r="V16" s="583"/>
      <c r="W16" s="582"/>
      <c r="X16" s="582"/>
      <c r="Y16" s="582"/>
      <c r="Z16" s="582"/>
      <c r="AA16" s="590"/>
      <c r="AB16" s="582"/>
      <c r="AC16" s="582"/>
      <c r="AD16" s="582"/>
      <c r="AE16" s="582"/>
      <c r="AF16" s="582"/>
      <c r="AG16" s="582"/>
      <c r="AH16" s="582"/>
      <c r="AI16" s="582"/>
      <c r="AJ16" s="582"/>
      <c r="AK16" s="582"/>
      <c r="AL16" s="582"/>
      <c r="AM16" s="582"/>
      <c r="AN16" s="582"/>
      <c r="AO16" s="582"/>
      <c r="AP16" s="582"/>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4"/>
      <c r="GD16" s="144"/>
      <c r="GE16" s="144"/>
      <c r="GF16" s="144"/>
      <c r="GG16" s="144"/>
      <c r="GH16" s="144"/>
      <c r="GI16" s="144"/>
      <c r="GJ16" s="144"/>
      <c r="GK16" s="144"/>
      <c r="GL16" s="144"/>
      <c r="GM16" s="144"/>
      <c r="GN16" s="144"/>
      <c r="GO16" s="144"/>
      <c r="GP16" s="144"/>
      <c r="GQ16" s="144"/>
      <c r="GR16" s="144"/>
      <c r="GS16" s="144"/>
      <c r="GT16" s="144"/>
      <c r="GU16" s="144"/>
      <c r="GV16" s="144"/>
      <c r="GW16" s="144"/>
      <c r="GX16" s="144"/>
      <c r="GY16" s="144"/>
      <c r="GZ16" s="144"/>
      <c r="HA16" s="144"/>
      <c r="HB16" s="144"/>
      <c r="HC16" s="144"/>
      <c r="HD16" s="144"/>
      <c r="HE16" s="144"/>
      <c r="HF16" s="144"/>
      <c r="HG16" s="144"/>
      <c r="HH16" s="144"/>
      <c r="HI16" s="144"/>
      <c r="HJ16" s="144"/>
      <c r="HK16" s="144"/>
      <c r="HL16" s="144"/>
      <c r="HM16" s="144"/>
      <c r="HN16" s="144"/>
      <c r="HO16" s="144"/>
      <c r="HP16" s="144"/>
      <c r="HQ16" s="144"/>
      <c r="HR16" s="144"/>
      <c r="HS16" s="144"/>
      <c r="HT16" s="144"/>
      <c r="HU16" s="144"/>
      <c r="HV16" s="144"/>
      <c r="HW16" s="144"/>
      <c r="HX16" s="144"/>
      <c r="HY16" s="144"/>
      <c r="HZ16" s="144"/>
      <c r="IA16" s="144"/>
      <c r="IB16" s="144"/>
      <c r="IC16" s="144"/>
      <c r="ID16" s="144"/>
      <c r="IE16" s="144"/>
      <c r="IF16" s="144"/>
      <c r="IG16" s="144"/>
    </row>
    <row r="17" spans="1:241" ht="6" customHeight="1">
      <c r="A17" s="144"/>
      <c r="B17" s="956"/>
      <c r="C17" s="956"/>
      <c r="D17" s="956"/>
      <c r="E17" s="956"/>
      <c r="F17" s="956"/>
      <c r="G17" s="956"/>
      <c r="H17" s="956"/>
      <c r="M17" s="1122"/>
      <c r="N17" s="1405"/>
      <c r="O17" s="582"/>
      <c r="P17" s="582"/>
      <c r="Q17" s="582"/>
      <c r="R17" s="582"/>
      <c r="T17" s="592"/>
      <c r="U17" s="582"/>
      <c r="V17" s="583"/>
      <c r="W17" s="582"/>
      <c r="X17" s="582"/>
      <c r="Y17" s="582"/>
      <c r="Z17" s="582"/>
      <c r="AA17" s="582"/>
      <c r="AB17" s="582"/>
      <c r="AC17" s="582"/>
      <c r="AD17" s="582"/>
      <c r="AE17" s="582"/>
      <c r="AF17" s="582"/>
      <c r="AG17" s="582"/>
      <c r="AH17" s="582"/>
      <c r="AI17" s="582"/>
      <c r="AJ17" s="582"/>
      <c r="AK17" s="582"/>
      <c r="AL17" s="582"/>
      <c r="AM17" s="582"/>
      <c r="AN17" s="582"/>
      <c r="AO17" s="582"/>
      <c r="AP17" s="582"/>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DU17" s="144"/>
      <c r="DV17" s="144"/>
      <c r="DW17" s="144"/>
      <c r="DX17" s="144"/>
      <c r="DY17" s="144"/>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144"/>
      <c r="FG17" s="144"/>
      <c r="FH17" s="144"/>
      <c r="FI17" s="144"/>
      <c r="FJ17" s="144"/>
      <c r="FK17" s="144"/>
      <c r="FL17" s="144"/>
      <c r="FM17" s="144"/>
      <c r="FN17" s="144"/>
      <c r="FO17" s="144"/>
      <c r="FP17" s="144"/>
      <c r="FQ17" s="144"/>
      <c r="FR17" s="144"/>
      <c r="FS17" s="144"/>
      <c r="FT17" s="144"/>
      <c r="FU17" s="144"/>
      <c r="FV17" s="144"/>
      <c r="FW17" s="144"/>
      <c r="FX17" s="144"/>
      <c r="FY17" s="144"/>
      <c r="FZ17" s="144"/>
      <c r="GA17" s="144"/>
      <c r="GB17" s="144"/>
      <c r="GC17" s="144"/>
      <c r="GD17" s="144"/>
      <c r="GE17" s="144"/>
      <c r="GF17" s="144"/>
      <c r="GG17" s="144"/>
      <c r="GH17" s="144"/>
      <c r="GI17" s="144"/>
      <c r="GJ17" s="144"/>
      <c r="GK17" s="144"/>
      <c r="GL17" s="144"/>
      <c r="GM17" s="144"/>
      <c r="GN17" s="144"/>
      <c r="GO17" s="144"/>
      <c r="GP17" s="144"/>
      <c r="GQ17" s="144"/>
      <c r="GR17" s="144"/>
      <c r="GS17" s="144"/>
      <c r="GT17" s="144"/>
      <c r="GU17" s="144"/>
      <c r="GV17" s="144"/>
      <c r="GW17" s="144"/>
      <c r="GX17" s="144"/>
      <c r="GY17" s="144"/>
      <c r="GZ17" s="144"/>
      <c r="HA17" s="144"/>
      <c r="HB17" s="144"/>
      <c r="HC17" s="144"/>
      <c r="HD17" s="144"/>
      <c r="HE17" s="144"/>
      <c r="HF17" s="144"/>
      <c r="HG17" s="144"/>
      <c r="HH17" s="144"/>
      <c r="HI17" s="144"/>
      <c r="HJ17" s="144"/>
      <c r="HK17" s="144"/>
      <c r="HL17" s="144"/>
      <c r="HM17" s="144"/>
      <c r="HN17" s="144"/>
      <c r="HO17" s="144"/>
      <c r="HP17" s="144"/>
      <c r="HQ17" s="144"/>
      <c r="HR17" s="144"/>
      <c r="HS17" s="144"/>
      <c r="HT17" s="144"/>
      <c r="HU17" s="144"/>
      <c r="HV17" s="144"/>
      <c r="HW17" s="144"/>
      <c r="HX17" s="144"/>
      <c r="HY17" s="144"/>
      <c r="HZ17" s="144"/>
      <c r="IA17" s="144"/>
      <c r="IB17" s="144"/>
      <c r="IC17" s="144"/>
      <c r="ID17" s="144"/>
      <c r="IE17" s="144"/>
      <c r="IF17" s="144"/>
      <c r="IG17" s="144"/>
    </row>
    <row r="18" spans="1:241" ht="15.65" customHeight="1">
      <c r="A18" s="146" t="s">
        <v>256</v>
      </c>
      <c r="B18" s="1127">
        <v>15733790000</v>
      </c>
      <c r="C18" s="1127">
        <v>17069018000</v>
      </c>
      <c r="D18" s="1127">
        <v>17348564000</v>
      </c>
      <c r="E18" s="1127">
        <v>18001810000</v>
      </c>
      <c r="F18" s="1127">
        <v>19188948000</v>
      </c>
      <c r="G18" s="1127">
        <f>SUM(G7:G16)</f>
        <v>20553037000</v>
      </c>
      <c r="H18" s="1127">
        <f>SUM(H7:H16)</f>
        <v>20943678000</v>
      </c>
      <c r="I18" s="1128">
        <v>24058765000</v>
      </c>
      <c r="J18" s="1128">
        <v>28061732000</v>
      </c>
      <c r="K18" s="1128">
        <v>26670180000</v>
      </c>
      <c r="L18" s="149"/>
      <c r="M18" s="1123">
        <f>(K18/J18)-1</f>
        <v>-4.9588956234062787E-2</v>
      </c>
      <c r="N18" s="1406"/>
      <c r="O18" s="591"/>
      <c r="P18" s="582"/>
      <c r="Q18" s="582"/>
      <c r="R18" s="582"/>
      <c r="T18" s="592"/>
      <c r="U18" s="582"/>
      <c r="V18" s="583"/>
      <c r="W18" s="582"/>
      <c r="X18" s="582"/>
      <c r="Y18" s="582"/>
      <c r="Z18" s="582"/>
      <c r="AA18" s="582"/>
      <c r="AB18" s="582"/>
      <c r="AC18" s="582"/>
      <c r="AD18" s="582"/>
      <c r="AE18" s="582"/>
      <c r="AF18" s="582"/>
      <c r="AG18" s="582"/>
      <c r="AH18" s="582"/>
      <c r="AI18" s="582"/>
      <c r="AJ18" s="582"/>
      <c r="AK18" s="582"/>
      <c r="AL18" s="582"/>
      <c r="AM18" s="582"/>
      <c r="AN18" s="582"/>
      <c r="AO18" s="582"/>
      <c r="AP18" s="582"/>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c r="DE18" s="144"/>
      <c r="DF18" s="144"/>
      <c r="DG18" s="144"/>
      <c r="DH18" s="144"/>
      <c r="DI18" s="144"/>
      <c r="DJ18" s="144"/>
      <c r="DK18" s="144"/>
      <c r="DL18" s="144"/>
      <c r="DM18" s="144"/>
      <c r="DN18" s="144"/>
      <c r="DO18" s="144"/>
      <c r="DP18" s="144"/>
      <c r="DQ18" s="144"/>
      <c r="DR18" s="144"/>
      <c r="DS18" s="144"/>
      <c r="DT18" s="144"/>
      <c r="DU18" s="144"/>
      <c r="DV18" s="144"/>
      <c r="DW18" s="144"/>
      <c r="DX18" s="144"/>
      <c r="DY18" s="144"/>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4"/>
      <c r="FG18" s="144"/>
      <c r="FH18" s="144"/>
      <c r="FI18" s="144"/>
      <c r="FJ18" s="144"/>
      <c r="FK18" s="144"/>
      <c r="FL18" s="144"/>
      <c r="FM18" s="144"/>
      <c r="FN18" s="144"/>
      <c r="FO18" s="144"/>
      <c r="FP18" s="144"/>
      <c r="FQ18" s="144"/>
      <c r="FR18" s="144"/>
      <c r="FS18" s="144"/>
      <c r="FT18" s="144"/>
      <c r="FU18" s="144"/>
      <c r="FV18" s="144"/>
      <c r="FW18" s="144"/>
      <c r="FX18" s="144"/>
      <c r="FY18" s="144"/>
      <c r="FZ18" s="144"/>
      <c r="GA18" s="144"/>
      <c r="GB18" s="144"/>
      <c r="GC18" s="144"/>
      <c r="GD18" s="144"/>
      <c r="GE18" s="144"/>
      <c r="GF18" s="144"/>
      <c r="GG18" s="144"/>
      <c r="GH18" s="144"/>
      <c r="GI18" s="144"/>
      <c r="GJ18" s="144"/>
      <c r="GK18" s="144"/>
      <c r="GL18" s="144"/>
      <c r="GM18" s="144"/>
      <c r="GN18" s="144"/>
      <c r="GO18" s="144"/>
      <c r="GP18" s="144"/>
      <c r="GQ18" s="144"/>
      <c r="GR18" s="144"/>
      <c r="GS18" s="144"/>
      <c r="GT18" s="144"/>
      <c r="GU18" s="144"/>
      <c r="GV18" s="144"/>
      <c r="GW18" s="144"/>
      <c r="GX18" s="144"/>
      <c r="GY18" s="144"/>
      <c r="GZ18" s="144"/>
      <c r="HA18" s="144"/>
      <c r="HB18" s="144"/>
      <c r="HC18" s="144"/>
      <c r="HD18" s="144"/>
      <c r="HE18" s="144"/>
      <c r="HF18" s="144"/>
      <c r="HG18" s="144"/>
      <c r="HH18" s="144"/>
      <c r="HI18" s="144"/>
      <c r="HJ18" s="144"/>
      <c r="HK18" s="144"/>
      <c r="HL18" s="144"/>
      <c r="HM18" s="144"/>
      <c r="HN18" s="144"/>
      <c r="HO18" s="144"/>
      <c r="HP18" s="144"/>
      <c r="HQ18" s="144"/>
      <c r="HR18" s="144"/>
      <c r="HS18" s="144"/>
      <c r="HT18" s="144"/>
      <c r="HU18" s="144"/>
      <c r="HV18" s="144"/>
      <c r="HW18" s="144"/>
      <c r="HX18" s="144"/>
      <c r="HY18" s="144"/>
      <c r="HZ18" s="144"/>
      <c r="IA18" s="144"/>
      <c r="IB18" s="144"/>
      <c r="IC18" s="144"/>
      <c r="ID18" s="144"/>
      <c r="IE18" s="144"/>
      <c r="IF18" s="144"/>
      <c r="IG18" s="144"/>
    </row>
    <row r="19" spans="1:241" ht="12" customHeight="1">
      <c r="A19" s="519"/>
      <c r="B19" s="953"/>
      <c r="C19" s="953"/>
      <c r="D19" s="953"/>
      <c r="E19" s="953"/>
      <c r="F19" s="953"/>
      <c r="G19" s="953"/>
      <c r="H19" s="953"/>
      <c r="I19" s="217"/>
      <c r="J19" s="217"/>
      <c r="K19" s="217"/>
      <c r="M19" s="1121"/>
      <c r="N19" s="1398"/>
      <c r="O19" s="582"/>
      <c r="P19" s="582"/>
      <c r="Q19" s="582"/>
      <c r="R19" s="582"/>
      <c r="T19" s="592"/>
      <c r="U19" s="582"/>
      <c r="V19" s="582"/>
      <c r="W19" s="582"/>
      <c r="X19" s="582"/>
      <c r="Y19" s="582"/>
      <c r="Z19" s="582"/>
      <c r="AA19" s="582"/>
      <c r="AB19" s="582"/>
      <c r="AC19" s="582"/>
      <c r="AD19" s="582"/>
      <c r="AE19" s="582"/>
      <c r="AF19" s="582"/>
      <c r="AG19" s="582"/>
      <c r="AH19" s="582"/>
      <c r="AI19" s="582"/>
      <c r="AJ19" s="582"/>
      <c r="AK19" s="582"/>
      <c r="AL19" s="582"/>
      <c r="AM19" s="582"/>
      <c r="AN19" s="582"/>
      <c r="AO19" s="582"/>
      <c r="AP19" s="582"/>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DE19" s="144"/>
      <c r="DF19" s="144"/>
      <c r="DG19" s="144"/>
      <c r="DH19" s="144"/>
      <c r="DI19" s="144"/>
      <c r="DJ19" s="144"/>
      <c r="DK19" s="144"/>
      <c r="DL19" s="144"/>
      <c r="DM19" s="144"/>
      <c r="DN19" s="144"/>
      <c r="DO19" s="144"/>
      <c r="DP19" s="144"/>
      <c r="DQ19" s="144"/>
      <c r="DR19" s="144"/>
      <c r="DS19" s="144"/>
      <c r="DT19" s="144"/>
      <c r="DU19" s="144"/>
      <c r="DV19" s="144"/>
      <c r="DW19" s="144"/>
      <c r="DX19" s="144"/>
      <c r="DY19" s="144"/>
      <c r="DZ19" s="144"/>
      <c r="EA19" s="144"/>
      <c r="EB19" s="144"/>
      <c r="EC19" s="144"/>
      <c r="ED19" s="144"/>
      <c r="EE19" s="144"/>
      <c r="EF19" s="144"/>
      <c r="EG19" s="144"/>
      <c r="EH19" s="144"/>
      <c r="EI19" s="144"/>
      <c r="EJ19" s="144"/>
      <c r="EK19" s="144"/>
      <c r="EL19" s="144"/>
      <c r="EM19" s="144"/>
      <c r="EN19" s="144"/>
      <c r="EO19" s="144"/>
      <c r="EP19" s="144"/>
      <c r="EQ19" s="144"/>
      <c r="ER19" s="144"/>
      <c r="ES19" s="144"/>
      <c r="ET19" s="144"/>
      <c r="EU19" s="144"/>
      <c r="EV19" s="144"/>
      <c r="EW19" s="144"/>
      <c r="EX19" s="144"/>
      <c r="EY19" s="144"/>
      <c r="EZ19" s="144"/>
      <c r="FA19" s="144"/>
      <c r="FB19" s="144"/>
      <c r="FC19" s="144"/>
      <c r="FD19" s="144"/>
      <c r="FE19" s="144"/>
      <c r="FF19" s="144"/>
      <c r="FG19" s="144"/>
      <c r="FH19" s="144"/>
      <c r="FI19" s="144"/>
      <c r="FJ19" s="144"/>
      <c r="FK19" s="144"/>
      <c r="FL19" s="144"/>
      <c r="FM19" s="144"/>
      <c r="FN19" s="144"/>
      <c r="FO19" s="144"/>
      <c r="FP19" s="144"/>
      <c r="FQ19" s="144"/>
      <c r="FR19" s="144"/>
      <c r="FS19" s="144"/>
      <c r="FT19" s="144"/>
      <c r="FU19" s="144"/>
      <c r="FV19" s="144"/>
      <c r="FW19" s="144"/>
      <c r="FX19" s="144"/>
      <c r="FY19" s="144"/>
      <c r="FZ19" s="144"/>
      <c r="GA19" s="144"/>
      <c r="GB19" s="144"/>
      <c r="GC19" s="144"/>
      <c r="GD19" s="144"/>
      <c r="GE19" s="144"/>
      <c r="GF19" s="144"/>
      <c r="GG19" s="144"/>
      <c r="GH19" s="144"/>
      <c r="GI19" s="144"/>
      <c r="GJ19" s="144"/>
      <c r="GK19" s="144"/>
      <c r="GL19" s="144"/>
      <c r="GM19" s="144"/>
      <c r="GN19" s="144"/>
      <c r="GO19" s="144"/>
      <c r="GP19" s="144"/>
      <c r="GQ19" s="144"/>
      <c r="GR19" s="144"/>
      <c r="GS19" s="144"/>
      <c r="GT19" s="144"/>
      <c r="GU19" s="144"/>
      <c r="GV19" s="144"/>
      <c r="GW19" s="144"/>
      <c r="GX19" s="144"/>
      <c r="GY19" s="144"/>
      <c r="GZ19" s="144"/>
      <c r="HA19" s="144"/>
      <c r="HB19" s="144"/>
      <c r="HC19" s="144"/>
      <c r="HD19" s="144"/>
      <c r="HE19" s="144"/>
      <c r="HF19" s="144"/>
      <c r="HG19" s="144"/>
      <c r="HH19" s="144"/>
      <c r="HI19" s="144"/>
      <c r="HJ19" s="144"/>
      <c r="HK19" s="144"/>
      <c r="HL19" s="144"/>
      <c r="HM19" s="144"/>
      <c r="HN19" s="144"/>
      <c r="HO19" s="144"/>
      <c r="HP19" s="144"/>
      <c r="HQ19" s="144"/>
      <c r="HR19" s="144"/>
      <c r="HS19" s="144"/>
      <c r="HT19" s="144"/>
      <c r="HU19" s="144"/>
      <c r="HV19" s="144"/>
      <c r="HW19" s="144"/>
      <c r="HX19" s="144"/>
      <c r="HY19" s="144"/>
      <c r="HZ19" s="144"/>
      <c r="IA19" s="144"/>
      <c r="IB19" s="144"/>
      <c r="IC19" s="144"/>
      <c r="ID19" s="144"/>
      <c r="IE19" s="144"/>
      <c r="IF19" s="144"/>
      <c r="IG19" s="144"/>
    </row>
    <row r="20" spans="1:241">
      <c r="A20" s="146" t="s">
        <v>709</v>
      </c>
      <c r="B20" s="953"/>
      <c r="C20" s="953"/>
      <c r="D20" s="953"/>
      <c r="E20" s="953"/>
      <c r="F20" s="953"/>
      <c r="G20" s="953"/>
      <c r="H20" s="953"/>
      <c r="I20" s="143"/>
      <c r="J20" s="143"/>
      <c r="K20" s="143"/>
      <c r="M20" s="1121"/>
      <c r="N20" s="1398"/>
      <c r="O20" s="582"/>
      <c r="P20" s="582"/>
      <c r="Q20" s="582"/>
      <c r="R20" s="582"/>
      <c r="T20" s="583"/>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DU20" s="144"/>
      <c r="DV20" s="144"/>
      <c r="DW20" s="144"/>
      <c r="DX20" s="144"/>
      <c r="DY20" s="144"/>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c r="EZ20" s="144"/>
      <c r="FA20" s="144"/>
      <c r="FB20" s="144"/>
      <c r="FC20" s="144"/>
      <c r="FD20" s="144"/>
      <c r="FE20" s="144"/>
      <c r="FF20" s="144"/>
      <c r="FG20" s="144"/>
      <c r="FH20" s="144"/>
      <c r="FI20" s="144"/>
      <c r="FJ20" s="144"/>
      <c r="FK20" s="144"/>
      <c r="FL20" s="144"/>
      <c r="FM20" s="144"/>
      <c r="FN20" s="144"/>
      <c r="FO20" s="144"/>
      <c r="FP20" s="144"/>
      <c r="FQ20" s="144"/>
      <c r="FR20" s="144"/>
      <c r="FS20" s="144"/>
      <c r="FT20" s="144"/>
      <c r="FU20" s="144"/>
      <c r="FV20" s="144"/>
      <c r="FW20" s="144"/>
      <c r="FX20" s="144"/>
      <c r="FY20" s="144"/>
      <c r="FZ20" s="144"/>
      <c r="GA20" s="144"/>
      <c r="GB20" s="144"/>
      <c r="GC20" s="144"/>
      <c r="GD20" s="144"/>
      <c r="GE20" s="144"/>
      <c r="GF20" s="144"/>
      <c r="GG20" s="144"/>
      <c r="GH20" s="144"/>
      <c r="GI20" s="144"/>
      <c r="GJ20" s="144"/>
      <c r="GK20" s="144"/>
      <c r="GL20" s="144"/>
      <c r="GM20" s="144"/>
      <c r="GN20" s="144"/>
      <c r="GO20" s="144"/>
      <c r="GP20" s="144"/>
      <c r="GQ20" s="144"/>
      <c r="GR20" s="144"/>
      <c r="GS20" s="144"/>
      <c r="GT20" s="144"/>
      <c r="GU20" s="144"/>
      <c r="GV20" s="144"/>
      <c r="GW20" s="144"/>
      <c r="GX20" s="144"/>
      <c r="GY20" s="144"/>
      <c r="GZ20" s="144"/>
      <c r="HA20" s="144"/>
      <c r="HB20" s="144"/>
      <c r="HC20" s="144"/>
      <c r="HD20" s="144"/>
      <c r="HE20" s="144"/>
      <c r="HF20" s="144"/>
      <c r="HG20" s="144"/>
      <c r="HH20" s="144"/>
      <c r="HI20" s="144"/>
      <c r="HJ20" s="144"/>
      <c r="HK20" s="144"/>
      <c r="HL20" s="144"/>
      <c r="HM20" s="144"/>
      <c r="HN20" s="144"/>
      <c r="HO20" s="144"/>
      <c r="HP20" s="144"/>
      <c r="HQ20" s="144"/>
      <c r="HR20" s="144"/>
      <c r="HS20" s="144"/>
      <c r="HT20" s="144"/>
      <c r="HU20" s="144"/>
      <c r="HV20" s="144"/>
      <c r="HW20" s="144"/>
      <c r="HX20" s="144"/>
      <c r="HY20" s="144"/>
      <c r="HZ20" s="144"/>
      <c r="IA20" s="144"/>
      <c r="IB20" s="144"/>
      <c r="IC20" s="144"/>
      <c r="ID20" s="144"/>
      <c r="IE20" s="144"/>
      <c r="IF20" s="144"/>
      <c r="IG20" s="144"/>
    </row>
    <row r="21" spans="1:241" ht="15.65" customHeight="1">
      <c r="A21" s="1350" t="s">
        <v>257</v>
      </c>
      <c r="B21" s="957"/>
      <c r="C21" s="957"/>
      <c r="D21" s="957"/>
      <c r="E21" s="957"/>
      <c r="F21" s="957"/>
      <c r="G21" s="957">
        <v>12577000</v>
      </c>
      <c r="H21" s="424">
        <f>ROUND(7557161.83+0,-3)</f>
        <v>7557000</v>
      </c>
      <c r="I21" s="424">
        <v>7253000</v>
      </c>
      <c r="J21" s="424">
        <v>8495000</v>
      </c>
      <c r="K21" s="424">
        <v>12881000</v>
      </c>
      <c r="M21" s="1121">
        <f t="shared" ref="M21:M37" si="1">(K21/J21)-1</f>
        <v>0.51630370806356685</v>
      </c>
      <c r="N21" s="1398"/>
      <c r="O21" s="591"/>
      <c r="P21" s="582"/>
      <c r="Q21" s="582"/>
      <c r="R21" s="582"/>
      <c r="T21" s="583"/>
      <c r="U21" s="582"/>
      <c r="V21" s="582"/>
      <c r="W21" s="582"/>
      <c r="X21" s="582"/>
      <c r="Y21" s="582"/>
      <c r="Z21" s="582"/>
      <c r="AA21" s="582"/>
      <c r="AB21" s="582"/>
      <c r="AC21" s="582"/>
      <c r="AD21" s="582"/>
      <c r="AE21" s="582"/>
      <c r="AF21" s="582"/>
      <c r="AG21" s="582"/>
      <c r="AH21" s="582"/>
      <c r="AI21" s="582"/>
      <c r="AJ21" s="582"/>
      <c r="AK21" s="582"/>
      <c r="AL21" s="582"/>
      <c r="AM21" s="582"/>
      <c r="AN21" s="582"/>
      <c r="AO21" s="582"/>
      <c r="AP21" s="582"/>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c r="DE21" s="144"/>
      <c r="DF21" s="144"/>
      <c r="DG21" s="144"/>
      <c r="DH21" s="144"/>
      <c r="DI21" s="144"/>
      <c r="DJ21" s="144"/>
      <c r="DK21" s="144"/>
      <c r="DL21" s="144"/>
      <c r="DM21" s="144"/>
      <c r="DN21" s="144"/>
      <c r="DO21" s="144"/>
      <c r="DP21" s="144"/>
      <c r="DQ21" s="144"/>
      <c r="DR21" s="144"/>
      <c r="DS21" s="144"/>
      <c r="DT21" s="144"/>
      <c r="DU21" s="144"/>
      <c r="DV21" s="144"/>
      <c r="DW21" s="144"/>
      <c r="DX21" s="144"/>
      <c r="DY21" s="144"/>
      <c r="DZ21" s="144"/>
      <c r="EA21" s="144"/>
      <c r="EB21" s="144"/>
      <c r="EC21" s="144"/>
      <c r="ED21" s="144"/>
      <c r="EE21" s="144"/>
      <c r="EF21" s="144"/>
      <c r="EG21" s="144"/>
      <c r="EH21" s="144"/>
      <c r="EI21" s="144"/>
      <c r="EJ21" s="144"/>
      <c r="EK21" s="144"/>
      <c r="EL21" s="144"/>
      <c r="EM21" s="144"/>
      <c r="EN21" s="144"/>
      <c r="EO21" s="144"/>
      <c r="EP21" s="144"/>
      <c r="EQ21" s="144"/>
      <c r="ER21" s="144"/>
      <c r="ES21" s="144"/>
      <c r="ET21" s="144"/>
      <c r="EU21" s="144"/>
      <c r="EV21" s="144"/>
      <c r="EW21" s="144"/>
      <c r="EX21" s="144"/>
      <c r="EY21" s="144"/>
      <c r="EZ21" s="144"/>
      <c r="FA21" s="144"/>
      <c r="FB21" s="144"/>
      <c r="FC21" s="144"/>
      <c r="FD21" s="144"/>
      <c r="FE21" s="144"/>
      <c r="FF21" s="144"/>
      <c r="FG21" s="144"/>
      <c r="FH21" s="144"/>
      <c r="FI21" s="144"/>
      <c r="FJ21" s="144"/>
      <c r="FK21" s="144"/>
      <c r="FL21" s="144"/>
      <c r="FM21" s="144"/>
      <c r="FN21" s="144"/>
      <c r="FO21" s="144"/>
      <c r="FP21" s="144"/>
      <c r="FQ21" s="144"/>
      <c r="FR21" s="144"/>
      <c r="FS21" s="144"/>
      <c r="FT21" s="144"/>
      <c r="FU21" s="144"/>
      <c r="FV21" s="144"/>
      <c r="FW21" s="144"/>
      <c r="FX21" s="144"/>
      <c r="FY21" s="144"/>
      <c r="FZ21" s="144"/>
      <c r="GA21" s="144"/>
      <c r="GB21" s="144"/>
      <c r="GC21" s="144"/>
      <c r="GD21" s="144"/>
      <c r="GE21" s="144"/>
      <c r="GF21" s="144"/>
      <c r="GG21" s="144"/>
      <c r="GH21" s="144"/>
      <c r="GI21" s="144"/>
      <c r="GJ21" s="144"/>
      <c r="GK21" s="144"/>
      <c r="GL21" s="144"/>
      <c r="GM21" s="144"/>
      <c r="GN21" s="144"/>
      <c r="GO21" s="144"/>
      <c r="GP21" s="144"/>
      <c r="GQ21" s="144"/>
      <c r="GR21" s="144"/>
      <c r="GS21" s="144"/>
      <c r="GT21" s="144"/>
      <c r="GU21" s="144"/>
      <c r="GV21" s="144"/>
      <c r="GW21" s="144"/>
      <c r="GX21" s="144"/>
      <c r="GY21" s="144"/>
      <c r="GZ21" s="144"/>
      <c r="HA21" s="144"/>
      <c r="HB21" s="144"/>
      <c r="HC21" s="144"/>
      <c r="HD21" s="144"/>
      <c r="HE21" s="144"/>
      <c r="HF21" s="144"/>
      <c r="HG21" s="144"/>
      <c r="HH21" s="144"/>
      <c r="HI21" s="144"/>
      <c r="HJ21" s="144"/>
      <c r="HK21" s="144"/>
      <c r="HL21" s="144"/>
      <c r="HM21" s="144"/>
      <c r="HN21" s="144"/>
      <c r="HO21" s="144"/>
      <c r="HP21" s="144"/>
      <c r="HQ21" s="144"/>
      <c r="HR21" s="144"/>
      <c r="HS21" s="144"/>
      <c r="HT21" s="144"/>
      <c r="HU21" s="144"/>
      <c r="HV21" s="144"/>
      <c r="HW21" s="144"/>
      <c r="HX21" s="144"/>
      <c r="HY21" s="144"/>
      <c r="HZ21" s="144"/>
      <c r="IA21" s="144"/>
      <c r="IB21" s="144"/>
      <c r="IC21" s="144"/>
      <c r="ID21" s="144"/>
      <c r="IE21" s="144"/>
      <c r="IF21" s="144"/>
      <c r="IG21" s="144"/>
    </row>
    <row r="22" spans="1:241" ht="15.65" customHeight="1">
      <c r="A22" s="1350" t="s">
        <v>258</v>
      </c>
      <c r="B22" s="958"/>
      <c r="C22" s="958"/>
      <c r="D22" s="958"/>
      <c r="E22" s="958"/>
      <c r="F22" s="958"/>
      <c r="G22" s="958">
        <v>129451000</v>
      </c>
      <c r="H22" s="1351">
        <f>ROUND(131950330.82,-3)</f>
        <v>131950000</v>
      </c>
      <c r="I22" s="424">
        <v>234194000</v>
      </c>
      <c r="J22" s="424">
        <v>219818000</v>
      </c>
      <c r="K22" s="424">
        <v>188683000</v>
      </c>
      <c r="L22" s="350"/>
      <c r="M22" s="1121">
        <f t="shared" si="1"/>
        <v>-0.14163990210082888</v>
      </c>
      <c r="N22" s="1398"/>
      <c r="O22" s="591"/>
      <c r="P22" s="582"/>
      <c r="Q22" s="582"/>
      <c r="R22" s="582"/>
      <c r="T22" s="592"/>
      <c r="U22" s="582"/>
      <c r="V22" s="583"/>
      <c r="W22" s="582"/>
      <c r="X22" s="582"/>
      <c r="Y22" s="582"/>
      <c r="Z22" s="582"/>
      <c r="AA22" s="582"/>
      <c r="AB22" s="582"/>
      <c r="AC22" s="582"/>
      <c r="AD22" s="582"/>
      <c r="AE22" s="582"/>
      <c r="AF22" s="582"/>
      <c r="AG22" s="582"/>
      <c r="AH22" s="582"/>
      <c r="AI22" s="582"/>
      <c r="AJ22" s="582"/>
      <c r="AK22" s="582"/>
      <c r="AL22" s="582"/>
      <c r="AM22" s="582"/>
      <c r="AN22" s="582"/>
      <c r="AO22" s="582"/>
      <c r="AP22" s="582"/>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c r="DF22" s="144"/>
      <c r="DG22" s="144"/>
      <c r="DH22" s="144"/>
      <c r="DI22" s="144"/>
      <c r="DJ22" s="144"/>
      <c r="DK22" s="144"/>
      <c r="DL22" s="144"/>
      <c r="DM22" s="144"/>
      <c r="DN22" s="144"/>
      <c r="DO22" s="144"/>
      <c r="DP22" s="144"/>
      <c r="DQ22" s="144"/>
      <c r="DR22" s="144"/>
      <c r="DS22" s="144"/>
      <c r="DT22" s="144"/>
      <c r="DU22" s="144"/>
      <c r="DV22" s="144"/>
      <c r="DW22" s="144"/>
      <c r="DX22" s="144"/>
      <c r="DY22" s="144"/>
      <c r="DZ22" s="144"/>
      <c r="EA22" s="144"/>
      <c r="EB22" s="144"/>
      <c r="EC22" s="144"/>
      <c r="ED22" s="144"/>
      <c r="EE22" s="144"/>
      <c r="EF22" s="144"/>
      <c r="EG22" s="144"/>
      <c r="EH22" s="144"/>
      <c r="EI22" s="144"/>
      <c r="EJ22" s="144"/>
      <c r="EK22" s="144"/>
      <c r="EL22" s="144"/>
      <c r="EM22" s="144"/>
      <c r="EN22" s="144"/>
      <c r="EO22" s="144"/>
      <c r="EP22" s="144"/>
      <c r="EQ22" s="144"/>
      <c r="ER22" s="144"/>
      <c r="ES22" s="144"/>
      <c r="ET22" s="144"/>
      <c r="EU22" s="144"/>
      <c r="EV22" s="144"/>
      <c r="EW22" s="144"/>
      <c r="EX22" s="144"/>
      <c r="EY22" s="144"/>
      <c r="EZ22" s="144"/>
      <c r="FA22" s="144"/>
      <c r="FB22" s="144"/>
      <c r="FC22" s="144"/>
      <c r="FD22" s="144"/>
      <c r="FE22" s="144"/>
      <c r="FF22" s="144"/>
      <c r="FG22" s="144"/>
      <c r="FH22" s="144"/>
      <c r="FI22" s="144"/>
      <c r="FJ22" s="144"/>
      <c r="FK22" s="144"/>
      <c r="FL22" s="144"/>
      <c r="FM22" s="144"/>
      <c r="FN22" s="144"/>
      <c r="FO22" s="144"/>
      <c r="FP22" s="144"/>
      <c r="FQ22" s="144"/>
      <c r="FR22" s="144"/>
      <c r="FS22" s="144"/>
      <c r="FT22" s="144"/>
      <c r="FU22" s="144"/>
      <c r="FV22" s="144"/>
      <c r="FW22" s="144"/>
      <c r="FX22" s="144"/>
      <c r="FY22" s="144"/>
      <c r="FZ22" s="144"/>
      <c r="GA22" s="144"/>
      <c r="GB22" s="144"/>
      <c r="GC22" s="144"/>
      <c r="GD22" s="144"/>
      <c r="GE22" s="144"/>
      <c r="GF22" s="144"/>
      <c r="GG22" s="144"/>
      <c r="GH22" s="144"/>
      <c r="GI22" s="144"/>
      <c r="GJ22" s="144"/>
      <c r="GK22" s="144"/>
      <c r="GL22" s="144"/>
      <c r="GM22" s="144"/>
      <c r="GN22" s="144"/>
      <c r="GO22" s="144"/>
      <c r="GP22" s="144"/>
      <c r="GQ22" s="144"/>
      <c r="GR22" s="144"/>
      <c r="GS22" s="144"/>
      <c r="GT22" s="144"/>
      <c r="GU22" s="144"/>
      <c r="GV22" s="144"/>
      <c r="GW22" s="144"/>
      <c r="GX22" s="144"/>
      <c r="GY22" s="144"/>
      <c r="GZ22" s="144"/>
      <c r="HA22" s="144"/>
      <c r="HB22" s="144"/>
      <c r="HC22" s="144"/>
      <c r="HD22" s="144"/>
      <c r="HE22" s="144"/>
      <c r="HF22" s="144"/>
      <c r="HG22" s="144"/>
      <c r="HH22" s="144"/>
      <c r="HI22" s="144"/>
      <c r="HJ22" s="144"/>
      <c r="HK22" s="144"/>
      <c r="HL22" s="144"/>
      <c r="HM22" s="144"/>
      <c r="HN22" s="144"/>
      <c r="HO22" s="144"/>
      <c r="HP22" s="144"/>
      <c r="HQ22" s="144"/>
      <c r="HR22" s="144"/>
      <c r="HS22" s="144"/>
      <c r="HT22" s="144"/>
      <c r="HU22" s="144"/>
      <c r="HV22" s="144"/>
      <c r="HW22" s="144"/>
      <c r="HX22" s="144"/>
      <c r="HY22" s="144"/>
      <c r="HZ22" s="144"/>
      <c r="IA22" s="144"/>
      <c r="IB22" s="144"/>
      <c r="IC22" s="144"/>
      <c r="ID22" s="144"/>
      <c r="IE22" s="144"/>
      <c r="IF22" s="144"/>
      <c r="IG22" s="144"/>
    </row>
    <row r="23" spans="1:241" ht="15.65" customHeight="1">
      <c r="A23" s="1350" t="s">
        <v>259</v>
      </c>
      <c r="B23" s="958"/>
      <c r="C23" s="958"/>
      <c r="D23" s="958"/>
      <c r="E23" s="958"/>
      <c r="F23" s="958"/>
      <c r="G23" s="958">
        <v>21838000</v>
      </c>
      <c r="H23" s="1351">
        <f>ROUND(21687544.8,-3)</f>
        <v>21688000</v>
      </c>
      <c r="I23" s="424">
        <v>52438000</v>
      </c>
      <c r="J23" s="424">
        <v>58809000</v>
      </c>
      <c r="K23" s="424">
        <v>57449000</v>
      </c>
      <c r="L23" s="350"/>
      <c r="M23" s="1121">
        <f t="shared" si="1"/>
        <v>-2.3125712050876546E-2</v>
      </c>
      <c r="N23" s="1398"/>
      <c r="O23" s="591"/>
      <c r="P23" s="582"/>
      <c r="Q23" s="582"/>
      <c r="R23" s="582"/>
      <c r="T23" s="592"/>
      <c r="U23" s="582"/>
      <c r="V23" s="583"/>
      <c r="W23" s="582"/>
      <c r="X23" s="582"/>
      <c r="Y23" s="582"/>
      <c r="Z23" s="582"/>
      <c r="AA23" s="582"/>
      <c r="AB23" s="582"/>
      <c r="AC23" s="582"/>
      <c r="AD23" s="582"/>
      <c r="AE23" s="582"/>
      <c r="AF23" s="582"/>
      <c r="AG23" s="582"/>
      <c r="AH23" s="582"/>
      <c r="AI23" s="582"/>
      <c r="AJ23" s="582"/>
      <c r="AK23" s="582"/>
      <c r="AL23" s="582"/>
      <c r="AM23" s="582"/>
      <c r="AN23" s="582"/>
      <c r="AO23" s="582"/>
      <c r="AP23" s="582"/>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row>
    <row r="24" spans="1:241" ht="15.65" customHeight="1">
      <c r="A24" s="1350" t="s">
        <v>260</v>
      </c>
      <c r="B24" s="953"/>
      <c r="C24" s="953"/>
      <c r="D24" s="953"/>
      <c r="E24" s="953"/>
      <c r="F24" s="953"/>
      <c r="G24" s="953">
        <v>205000</v>
      </c>
      <c r="H24" s="143">
        <f>ROUND(207801.87+0,-3)</f>
        <v>208000</v>
      </c>
      <c r="I24" s="424">
        <v>195000</v>
      </c>
      <c r="J24" s="424">
        <v>202000</v>
      </c>
      <c r="K24" s="424">
        <v>196000</v>
      </c>
      <c r="L24" s="350"/>
      <c r="M24" s="1121">
        <f t="shared" si="1"/>
        <v>-2.9702970297029729E-2</v>
      </c>
      <c r="N24" s="1398"/>
      <c r="O24" s="591"/>
      <c r="P24" s="582"/>
      <c r="Q24" s="582"/>
      <c r="R24" s="582"/>
      <c r="T24" s="592"/>
      <c r="U24" s="582"/>
      <c r="V24" s="583"/>
      <c r="W24" s="582"/>
      <c r="X24" s="582"/>
      <c r="Y24" s="582"/>
      <c r="Z24" s="582"/>
      <c r="AA24" s="582"/>
      <c r="AB24" s="582"/>
      <c r="AC24" s="582"/>
      <c r="AD24" s="582"/>
      <c r="AE24" s="582"/>
      <c r="AF24" s="582"/>
      <c r="AG24" s="582"/>
      <c r="AH24" s="582"/>
      <c r="AI24" s="582"/>
      <c r="AJ24" s="582"/>
      <c r="AK24" s="582"/>
      <c r="AL24" s="582"/>
      <c r="AM24" s="582"/>
      <c r="AN24" s="582"/>
      <c r="AO24" s="582"/>
      <c r="AP24" s="582"/>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144"/>
      <c r="DP24" s="144"/>
      <c r="DQ24" s="144"/>
      <c r="DR24" s="144"/>
      <c r="DS24" s="144"/>
      <c r="DT24" s="144"/>
      <c r="DU24" s="144"/>
      <c r="DV24" s="144"/>
      <c r="DW24" s="144"/>
      <c r="DX24" s="144"/>
      <c r="DY24" s="144"/>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4"/>
      <c r="FG24" s="144"/>
      <c r="FH24" s="144"/>
      <c r="FI24" s="144"/>
      <c r="FJ24" s="144"/>
      <c r="FK24" s="144"/>
      <c r="FL24" s="144"/>
      <c r="FM24" s="144"/>
      <c r="FN24" s="144"/>
      <c r="FO24" s="144"/>
      <c r="FP24" s="144"/>
      <c r="FQ24" s="144"/>
      <c r="FR24" s="144"/>
      <c r="FS24" s="144"/>
      <c r="FT24" s="144"/>
      <c r="FU24" s="144"/>
      <c r="FV24" s="144"/>
      <c r="FW24" s="144"/>
      <c r="FX24" s="144"/>
      <c r="FY24" s="144"/>
      <c r="FZ24" s="144"/>
      <c r="GA24" s="144"/>
      <c r="GB24" s="144"/>
      <c r="GC24" s="144"/>
      <c r="GD24" s="144"/>
      <c r="GE24" s="144"/>
      <c r="GF24" s="144"/>
      <c r="GG24" s="144"/>
      <c r="GH24" s="144"/>
      <c r="GI24" s="144"/>
      <c r="GJ24" s="144"/>
      <c r="GK24" s="144"/>
      <c r="GL24" s="144"/>
      <c r="GM24" s="144"/>
      <c r="GN24" s="144"/>
      <c r="GO24" s="144"/>
      <c r="GP24" s="144"/>
      <c r="GQ24" s="144"/>
      <c r="GR24" s="144"/>
      <c r="GS24" s="144"/>
      <c r="GT24" s="144"/>
      <c r="GU24" s="144"/>
      <c r="GV24" s="144"/>
      <c r="GW24" s="144"/>
      <c r="GX24" s="144"/>
      <c r="GY24" s="144"/>
      <c r="GZ24" s="144"/>
      <c r="HA24" s="144"/>
      <c r="HB24" s="144"/>
      <c r="HC24" s="144"/>
      <c r="HD24" s="144"/>
      <c r="HE24" s="144"/>
      <c r="HF24" s="144"/>
      <c r="HG24" s="144"/>
      <c r="HH24" s="144"/>
      <c r="HI24" s="144"/>
      <c r="HJ24" s="144"/>
      <c r="HK24" s="144"/>
      <c r="HL24" s="144"/>
      <c r="HM24" s="144"/>
      <c r="HN24" s="144"/>
      <c r="HO24" s="144"/>
      <c r="HP24" s="144"/>
      <c r="HQ24" s="144"/>
      <c r="HR24" s="144"/>
      <c r="HS24" s="144"/>
      <c r="HT24" s="144"/>
      <c r="HU24" s="144"/>
      <c r="HV24" s="144"/>
      <c r="HW24" s="144"/>
      <c r="HX24" s="144"/>
      <c r="HY24" s="144"/>
      <c r="HZ24" s="144"/>
      <c r="IA24" s="144"/>
      <c r="IB24" s="144"/>
      <c r="IC24" s="144"/>
      <c r="ID24" s="144"/>
      <c r="IE24" s="144"/>
      <c r="IF24" s="144"/>
      <c r="IG24" s="144"/>
    </row>
    <row r="25" spans="1:241" ht="15.65" customHeight="1">
      <c r="A25" s="1350" t="s">
        <v>261</v>
      </c>
      <c r="B25" s="953"/>
      <c r="C25" s="953"/>
      <c r="D25" s="953"/>
      <c r="E25" s="953"/>
      <c r="F25" s="953"/>
      <c r="G25" s="953">
        <v>2604000</v>
      </c>
      <c r="H25" s="143">
        <f>ROUND(1840522.66+614428.88, -3)</f>
        <v>2455000</v>
      </c>
      <c r="I25" s="424">
        <v>2400000</v>
      </c>
      <c r="J25" s="424">
        <v>2576000</v>
      </c>
      <c r="K25" s="424">
        <v>2513000</v>
      </c>
      <c r="L25" s="350"/>
      <c r="M25" s="1121">
        <f t="shared" si="1"/>
        <v>-2.4456521739130488E-2</v>
      </c>
      <c r="N25" s="1398"/>
      <c r="O25" s="591"/>
      <c r="P25" s="582"/>
      <c r="Q25" s="582"/>
      <c r="R25" s="582"/>
      <c r="T25" s="592"/>
      <c r="U25" s="582"/>
      <c r="V25" s="583"/>
      <c r="W25" s="582"/>
      <c r="X25" s="582"/>
      <c r="Y25" s="582"/>
      <c r="Z25" s="582"/>
      <c r="AA25" s="582"/>
      <c r="AB25" s="582"/>
      <c r="AC25" s="582"/>
      <c r="AD25" s="582"/>
      <c r="AE25" s="582"/>
      <c r="AF25" s="582"/>
      <c r="AG25" s="582"/>
      <c r="AH25" s="582"/>
      <c r="AI25" s="582"/>
      <c r="AJ25" s="582"/>
      <c r="AK25" s="582"/>
      <c r="AL25" s="582"/>
      <c r="AM25" s="582"/>
      <c r="AN25" s="582"/>
      <c r="AO25" s="582"/>
      <c r="AP25" s="582"/>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c r="DE25" s="144"/>
      <c r="DF25" s="144"/>
      <c r="DG25" s="144"/>
      <c r="DH25" s="144"/>
      <c r="DI25" s="144"/>
      <c r="DJ25" s="144"/>
      <c r="DK25" s="144"/>
      <c r="DL25" s="144"/>
      <c r="DM25" s="144"/>
      <c r="DN25" s="144"/>
      <c r="DO25" s="144"/>
      <c r="DP25" s="144"/>
      <c r="DQ25" s="144"/>
      <c r="DR25" s="144"/>
      <c r="DS25" s="144"/>
      <c r="DT25" s="144"/>
      <c r="DU25" s="144"/>
      <c r="DV25" s="144"/>
      <c r="DW25" s="144"/>
      <c r="DX25" s="144"/>
      <c r="DY25" s="144"/>
      <c r="DZ25" s="144"/>
      <c r="EA25" s="144"/>
      <c r="EB25" s="144"/>
      <c r="EC25" s="144"/>
      <c r="ED25" s="144"/>
      <c r="EE25" s="144"/>
      <c r="EF25" s="144"/>
      <c r="EG25" s="144"/>
      <c r="EH25" s="144"/>
      <c r="EI25" s="144"/>
      <c r="EJ25" s="144"/>
      <c r="EK25" s="144"/>
      <c r="EL25" s="144"/>
      <c r="EM25" s="144"/>
      <c r="EN25" s="144"/>
      <c r="EO25" s="144"/>
      <c r="EP25" s="144"/>
      <c r="EQ25" s="144"/>
      <c r="ER25" s="144"/>
      <c r="ES25" s="144"/>
      <c r="ET25" s="144"/>
      <c r="EU25" s="144"/>
      <c r="EV25" s="144"/>
      <c r="EW25" s="144"/>
      <c r="EX25" s="144"/>
      <c r="EY25" s="144"/>
      <c r="EZ25" s="144"/>
      <c r="FA25" s="144"/>
      <c r="FB25" s="144"/>
      <c r="FC25" s="144"/>
      <c r="FD25" s="144"/>
      <c r="FE25" s="144"/>
      <c r="FF25" s="144"/>
      <c r="FG25" s="144"/>
      <c r="FH25" s="144"/>
      <c r="FI25" s="144"/>
      <c r="FJ25" s="144"/>
      <c r="FK25" s="144"/>
      <c r="FL25" s="144"/>
      <c r="FM25" s="144"/>
      <c r="FN25" s="144"/>
      <c r="FO25" s="144"/>
      <c r="FP25" s="144"/>
      <c r="FQ25" s="144"/>
      <c r="FR25" s="144"/>
      <c r="FS25" s="144"/>
      <c r="FT25" s="144"/>
      <c r="FU25" s="144"/>
      <c r="FV25" s="144"/>
      <c r="FW25" s="144"/>
      <c r="FX25" s="144"/>
      <c r="FY25" s="144"/>
      <c r="FZ25" s="144"/>
      <c r="GA25" s="144"/>
      <c r="GB25" s="144"/>
      <c r="GC25" s="144"/>
      <c r="GD25" s="144"/>
      <c r="GE25" s="144"/>
      <c r="GF25" s="144"/>
      <c r="GG25" s="144"/>
      <c r="GH25" s="144"/>
      <c r="GI25" s="144"/>
      <c r="GJ25" s="144"/>
      <c r="GK25" s="144"/>
      <c r="GL25" s="144"/>
      <c r="GM25" s="144"/>
      <c r="GN25" s="144"/>
      <c r="GO25" s="144"/>
      <c r="GP25" s="144"/>
      <c r="GQ25" s="144"/>
      <c r="GR25" s="144"/>
      <c r="GS25" s="144"/>
      <c r="GT25" s="144"/>
      <c r="GU25" s="144"/>
      <c r="GV25" s="144"/>
      <c r="GW25" s="144"/>
      <c r="GX25" s="144"/>
      <c r="GY25" s="144"/>
      <c r="GZ25" s="144"/>
      <c r="HA25" s="144"/>
      <c r="HB25" s="144"/>
      <c r="HC25" s="144"/>
      <c r="HD25" s="144"/>
      <c r="HE25" s="144"/>
      <c r="HF25" s="144"/>
      <c r="HG25" s="144"/>
      <c r="HH25" s="144"/>
      <c r="HI25" s="144"/>
      <c r="HJ25" s="144"/>
      <c r="HK25" s="144"/>
      <c r="HL25" s="144"/>
      <c r="HM25" s="144"/>
      <c r="HN25" s="144"/>
      <c r="HO25" s="144"/>
      <c r="HP25" s="144"/>
      <c r="HQ25" s="144"/>
      <c r="HR25" s="144"/>
      <c r="HS25" s="144"/>
      <c r="HT25" s="144"/>
      <c r="HU25" s="144"/>
      <c r="HV25" s="144"/>
      <c r="HW25" s="144"/>
      <c r="HX25" s="144"/>
      <c r="HY25" s="144"/>
      <c r="HZ25" s="144"/>
      <c r="IA25" s="144"/>
      <c r="IB25" s="144"/>
      <c r="IC25" s="144"/>
      <c r="ID25" s="144"/>
      <c r="IE25" s="144"/>
      <c r="IF25" s="144"/>
      <c r="IG25" s="144"/>
    </row>
    <row r="26" spans="1:241" ht="15.65" customHeight="1">
      <c r="A26" s="1350" t="s">
        <v>262</v>
      </c>
      <c r="B26" s="953"/>
      <c r="C26" s="953"/>
      <c r="D26" s="953"/>
      <c r="E26" s="953"/>
      <c r="F26" s="953"/>
      <c r="G26" s="953">
        <v>309000</v>
      </c>
      <c r="H26" s="143">
        <f>ROUND(365532.86,-3)</f>
        <v>366000</v>
      </c>
      <c r="I26" s="424">
        <v>353000</v>
      </c>
      <c r="J26" s="424">
        <v>376000</v>
      </c>
      <c r="K26" s="424">
        <v>309000</v>
      </c>
      <c r="L26" s="350"/>
      <c r="M26" s="1121">
        <f t="shared" si="1"/>
        <v>-0.17819148936170215</v>
      </c>
      <c r="N26" s="1398"/>
      <c r="O26" s="591"/>
      <c r="P26" s="582"/>
      <c r="Q26" s="582"/>
      <c r="R26" s="582"/>
      <c r="T26" s="592"/>
      <c r="U26" s="582"/>
      <c r="V26" s="583"/>
      <c r="W26" s="582"/>
      <c r="X26" s="582"/>
      <c r="Y26" s="582"/>
      <c r="Z26" s="582"/>
      <c r="AA26" s="582"/>
      <c r="AB26" s="582"/>
      <c r="AC26" s="582"/>
      <c r="AD26" s="582"/>
      <c r="AE26" s="582"/>
      <c r="AF26" s="582"/>
      <c r="AG26" s="582"/>
      <c r="AH26" s="582"/>
      <c r="AI26" s="582"/>
      <c r="AJ26" s="582"/>
      <c r="AK26" s="582"/>
      <c r="AL26" s="582"/>
      <c r="AM26" s="582"/>
      <c r="AN26" s="582"/>
      <c r="AO26" s="582"/>
      <c r="AP26" s="582"/>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DU26" s="144"/>
      <c r="DV26" s="144"/>
      <c r="DW26" s="144"/>
      <c r="DX26" s="144"/>
      <c r="DY26" s="144"/>
      <c r="DZ26" s="144"/>
      <c r="EA26" s="144"/>
      <c r="EB26" s="144"/>
      <c r="EC26" s="144"/>
      <c r="ED26" s="144"/>
      <c r="EE26" s="144"/>
      <c r="EF26" s="144"/>
      <c r="EG26" s="144"/>
      <c r="EH26" s="144"/>
      <c r="EI26" s="144"/>
      <c r="EJ26" s="144"/>
      <c r="EK26" s="144"/>
      <c r="EL26" s="144"/>
      <c r="EM26" s="144"/>
      <c r="EN26" s="144"/>
      <c r="EO26" s="144"/>
      <c r="EP26" s="144"/>
      <c r="EQ26" s="144"/>
      <c r="ER26" s="144"/>
      <c r="ES26" s="144"/>
      <c r="ET26" s="144"/>
      <c r="EU26" s="144"/>
      <c r="EV26" s="144"/>
      <c r="EW26" s="144"/>
      <c r="EX26" s="144"/>
      <c r="EY26" s="144"/>
      <c r="EZ26" s="144"/>
      <c r="FA26" s="144"/>
      <c r="FB26" s="144"/>
      <c r="FC26" s="144"/>
      <c r="FD26" s="144"/>
      <c r="FE26" s="144"/>
      <c r="FF26" s="144"/>
      <c r="FG26" s="144"/>
      <c r="FH26" s="144"/>
      <c r="FI26" s="144"/>
      <c r="FJ26" s="144"/>
      <c r="FK26" s="144"/>
      <c r="FL26" s="144"/>
      <c r="FM26" s="144"/>
      <c r="FN26" s="144"/>
      <c r="FO26" s="144"/>
      <c r="FP26" s="144"/>
      <c r="FQ26" s="144"/>
      <c r="FR26" s="144"/>
      <c r="FS26" s="144"/>
      <c r="FT26" s="144"/>
      <c r="FU26" s="144"/>
      <c r="FV26" s="144"/>
      <c r="FW26" s="144"/>
      <c r="FX26" s="144"/>
      <c r="FY26" s="144"/>
      <c r="FZ26" s="144"/>
      <c r="GA26" s="144"/>
      <c r="GB26" s="144"/>
      <c r="GC26" s="144"/>
      <c r="GD26" s="144"/>
      <c r="GE26" s="144"/>
      <c r="GF26" s="144"/>
      <c r="GG26" s="144"/>
      <c r="GH26" s="144"/>
      <c r="GI26" s="144"/>
      <c r="GJ26" s="144"/>
      <c r="GK26" s="144"/>
      <c r="GL26" s="144"/>
      <c r="GM26" s="144"/>
      <c r="GN26" s="144"/>
      <c r="GO26" s="144"/>
      <c r="GP26" s="144"/>
      <c r="GQ26" s="144"/>
      <c r="GR26" s="144"/>
      <c r="GS26" s="144"/>
      <c r="GT26" s="144"/>
      <c r="GU26" s="144"/>
      <c r="GV26" s="144"/>
      <c r="GW26" s="144"/>
      <c r="GX26" s="144"/>
      <c r="GY26" s="144"/>
      <c r="GZ26" s="144"/>
      <c r="HA26" s="144"/>
      <c r="HB26" s="144"/>
      <c r="HC26" s="144"/>
      <c r="HD26" s="144"/>
      <c r="HE26" s="144"/>
      <c r="HF26" s="144"/>
      <c r="HG26" s="144"/>
      <c r="HH26" s="144"/>
      <c r="HI26" s="144"/>
      <c r="HJ26" s="144"/>
      <c r="HK26" s="144"/>
      <c r="HL26" s="144"/>
      <c r="HM26" s="144"/>
      <c r="HN26" s="144"/>
      <c r="HO26" s="144"/>
      <c r="HP26" s="144"/>
      <c r="HQ26" s="144"/>
      <c r="HR26" s="144"/>
      <c r="HS26" s="144"/>
      <c r="HT26" s="144"/>
      <c r="HU26" s="144"/>
      <c r="HV26" s="144"/>
      <c r="HW26" s="144"/>
      <c r="HX26" s="144"/>
      <c r="HY26" s="144"/>
      <c r="HZ26" s="144"/>
      <c r="IA26" s="144"/>
      <c r="IB26" s="144"/>
      <c r="IC26" s="144"/>
      <c r="ID26" s="144"/>
      <c r="IE26" s="144"/>
      <c r="IF26" s="144"/>
      <c r="IG26" s="144"/>
    </row>
    <row r="27" spans="1:241" ht="15.65" customHeight="1">
      <c r="A27" s="1350" t="s">
        <v>263</v>
      </c>
      <c r="B27" s="953"/>
      <c r="C27" s="953"/>
      <c r="D27" s="953"/>
      <c r="E27" s="953"/>
      <c r="F27" s="953"/>
      <c r="G27" s="953">
        <v>1050000</v>
      </c>
      <c r="H27" s="143">
        <f>ROUND(934707.14+0,-3)</f>
        <v>935000</v>
      </c>
      <c r="I27" s="424">
        <v>1363000</v>
      </c>
      <c r="J27" s="424">
        <v>1744000</v>
      </c>
      <c r="K27" s="424">
        <v>1853000</v>
      </c>
      <c r="L27" s="350"/>
      <c r="M27" s="1121">
        <f t="shared" si="1"/>
        <v>6.25E-2</v>
      </c>
      <c r="N27" s="1398"/>
      <c r="O27" s="591"/>
      <c r="P27" s="582"/>
      <c r="Q27" s="582"/>
      <c r="R27" s="582"/>
      <c r="T27" s="592"/>
      <c r="U27" s="582"/>
      <c r="V27" s="583"/>
      <c r="W27" s="582"/>
      <c r="X27" s="582"/>
      <c r="Y27" s="582"/>
      <c r="Z27" s="582"/>
      <c r="AA27" s="582"/>
      <c r="AB27" s="582"/>
      <c r="AC27" s="582"/>
      <c r="AD27" s="582"/>
      <c r="AE27" s="582"/>
      <c r="AF27" s="582"/>
      <c r="AG27" s="582"/>
      <c r="AH27" s="582"/>
      <c r="AI27" s="582"/>
      <c r="AJ27" s="582"/>
      <c r="AK27" s="582"/>
      <c r="AL27" s="582"/>
      <c r="AM27" s="582"/>
      <c r="AN27" s="582"/>
      <c r="AO27" s="582"/>
      <c r="AP27" s="582"/>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c r="DF27" s="144"/>
      <c r="DG27" s="144"/>
      <c r="DH27" s="144"/>
      <c r="DI27" s="144"/>
      <c r="DJ27" s="144"/>
      <c r="DK27" s="144"/>
      <c r="DL27" s="144"/>
      <c r="DM27" s="144"/>
      <c r="DN27" s="144"/>
      <c r="DO27" s="144"/>
      <c r="DP27" s="144"/>
      <c r="DQ27" s="144"/>
      <c r="DR27" s="144"/>
      <c r="DS27" s="144"/>
      <c r="DT27" s="144"/>
      <c r="DU27" s="144"/>
      <c r="DV27" s="144"/>
      <c r="DW27" s="144"/>
      <c r="DX27" s="144"/>
      <c r="DY27" s="144"/>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144"/>
      <c r="FA27" s="144"/>
      <c r="FB27" s="144"/>
      <c r="FC27" s="144"/>
      <c r="FD27" s="144"/>
      <c r="FE27" s="144"/>
      <c r="FF27" s="144"/>
      <c r="FG27" s="144"/>
      <c r="FH27" s="144"/>
      <c r="FI27" s="144"/>
      <c r="FJ27" s="144"/>
      <c r="FK27" s="144"/>
      <c r="FL27" s="144"/>
      <c r="FM27" s="144"/>
      <c r="FN27" s="144"/>
      <c r="FO27" s="144"/>
      <c r="FP27" s="144"/>
      <c r="FQ27" s="144"/>
      <c r="FR27" s="144"/>
      <c r="FS27" s="144"/>
      <c r="FT27" s="144"/>
      <c r="FU27" s="144"/>
      <c r="FV27" s="144"/>
      <c r="FW27" s="144"/>
      <c r="FX27" s="144"/>
      <c r="FY27" s="144"/>
      <c r="FZ27" s="144"/>
      <c r="GA27" s="144"/>
      <c r="GB27" s="144"/>
      <c r="GC27" s="144"/>
      <c r="GD27" s="144"/>
      <c r="GE27" s="144"/>
      <c r="GF27" s="144"/>
      <c r="GG27" s="144"/>
      <c r="GH27" s="144"/>
      <c r="GI27" s="144"/>
      <c r="GJ27" s="144"/>
      <c r="GK27" s="144"/>
      <c r="GL27" s="144"/>
      <c r="GM27" s="144"/>
      <c r="GN27" s="144"/>
      <c r="GO27" s="144"/>
      <c r="GP27" s="144"/>
      <c r="GQ27" s="144"/>
      <c r="GR27" s="144"/>
      <c r="GS27" s="144"/>
      <c r="GT27" s="144"/>
      <c r="GU27" s="144"/>
      <c r="GV27" s="144"/>
      <c r="GW27" s="144"/>
      <c r="GX27" s="144"/>
      <c r="GY27" s="144"/>
      <c r="GZ27" s="144"/>
      <c r="HA27" s="144"/>
      <c r="HB27" s="144"/>
      <c r="HC27" s="144"/>
      <c r="HD27" s="144"/>
      <c r="HE27" s="144"/>
      <c r="HF27" s="144"/>
      <c r="HG27" s="144"/>
      <c r="HH27" s="144"/>
      <c r="HI27" s="144"/>
      <c r="HJ27" s="144"/>
      <c r="HK27" s="144"/>
      <c r="HL27" s="144"/>
      <c r="HM27" s="144"/>
      <c r="HN27" s="144"/>
      <c r="HO27" s="144"/>
      <c r="HP27" s="144"/>
      <c r="HQ27" s="144"/>
      <c r="HR27" s="144"/>
      <c r="HS27" s="144"/>
      <c r="HT27" s="144"/>
      <c r="HU27" s="144"/>
      <c r="HV27" s="144"/>
      <c r="HW27" s="144"/>
      <c r="HX27" s="144"/>
      <c r="HY27" s="144"/>
      <c r="HZ27" s="144"/>
      <c r="IA27" s="144"/>
      <c r="IB27" s="144"/>
      <c r="IC27" s="144"/>
      <c r="ID27" s="144"/>
      <c r="IE27" s="144"/>
      <c r="IF27" s="144"/>
      <c r="IG27" s="144"/>
    </row>
    <row r="28" spans="1:241" ht="15.65" customHeight="1">
      <c r="A28" s="1350" t="s">
        <v>1338</v>
      </c>
      <c r="B28" s="953"/>
      <c r="C28" s="953"/>
      <c r="D28" s="953"/>
      <c r="E28" s="953"/>
      <c r="F28" s="953"/>
      <c r="G28" s="953">
        <v>649451000</v>
      </c>
      <c r="H28" s="143">
        <f>SUM('4.1'!$C$15:$G$15)</f>
        <v>1123440000</v>
      </c>
      <c r="I28" s="424">
        <f>'4.1'!$C$16</f>
        <v>1264050000</v>
      </c>
      <c r="J28" s="424">
        <v>1368275000</v>
      </c>
      <c r="K28" s="424">
        <v>1416622000</v>
      </c>
      <c r="L28" s="350"/>
      <c r="M28" s="1121">
        <f t="shared" si="1"/>
        <v>3.5334271253951055E-2</v>
      </c>
      <c r="N28" s="1398"/>
      <c r="O28" s="591"/>
      <c r="P28" s="582"/>
      <c r="Q28" s="582"/>
      <c r="R28" s="582"/>
      <c r="T28" s="592"/>
      <c r="U28" s="582"/>
      <c r="V28" s="583"/>
      <c r="W28" s="582"/>
      <c r="X28" s="582"/>
      <c r="Y28" s="582"/>
      <c r="Z28" s="582"/>
      <c r="AA28" s="582"/>
      <c r="AB28" s="582"/>
      <c r="AC28" s="582"/>
      <c r="AD28" s="582"/>
      <c r="AE28" s="582"/>
      <c r="AF28" s="582"/>
      <c r="AG28" s="582"/>
      <c r="AH28" s="582"/>
      <c r="AI28" s="582"/>
      <c r="AJ28" s="582"/>
      <c r="AK28" s="582"/>
      <c r="AL28" s="582"/>
      <c r="AM28" s="582"/>
      <c r="AN28" s="582"/>
      <c r="AO28" s="582"/>
      <c r="AP28" s="582"/>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DU28" s="144"/>
      <c r="DV28" s="144"/>
      <c r="DW28" s="144"/>
      <c r="DX28" s="144"/>
      <c r="DY28" s="144"/>
      <c r="DZ28" s="144"/>
      <c r="EA28" s="144"/>
      <c r="EB28" s="144"/>
      <c r="EC28" s="144"/>
      <c r="ED28" s="144"/>
      <c r="EE28" s="144"/>
      <c r="EF28" s="144"/>
      <c r="EG28" s="144"/>
      <c r="EH28" s="144"/>
      <c r="EI28" s="144"/>
      <c r="EJ28" s="144"/>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44"/>
      <c r="FG28" s="144"/>
      <c r="FH28" s="144"/>
      <c r="FI28" s="144"/>
      <c r="FJ28" s="144"/>
      <c r="FK28" s="144"/>
      <c r="FL28" s="144"/>
      <c r="FM28" s="144"/>
      <c r="FN28" s="144"/>
      <c r="FO28" s="144"/>
      <c r="FP28" s="144"/>
      <c r="FQ28" s="144"/>
      <c r="FR28" s="144"/>
      <c r="FS28" s="144"/>
      <c r="FT28" s="144"/>
      <c r="FU28" s="144"/>
      <c r="FV28" s="144"/>
      <c r="FW28" s="144"/>
      <c r="FX28" s="144"/>
      <c r="FY28" s="144"/>
      <c r="FZ28" s="144"/>
      <c r="GA28" s="144"/>
      <c r="GB28" s="144"/>
      <c r="GC28" s="144"/>
      <c r="GD28" s="144"/>
      <c r="GE28" s="144"/>
      <c r="GF28" s="144"/>
      <c r="GG28" s="144"/>
      <c r="GH28" s="144"/>
      <c r="GI28" s="144"/>
      <c r="GJ28" s="144"/>
      <c r="GK28" s="144"/>
      <c r="GL28" s="144"/>
      <c r="GM28" s="144"/>
      <c r="GN28" s="144"/>
      <c r="GO28" s="144"/>
      <c r="GP28" s="144"/>
      <c r="GQ28" s="144"/>
      <c r="GR28" s="144"/>
      <c r="GS28" s="144"/>
      <c r="GT28" s="144"/>
      <c r="GU28" s="144"/>
      <c r="GV28" s="144"/>
      <c r="GW28" s="144"/>
      <c r="GX28" s="144"/>
      <c r="GY28" s="144"/>
      <c r="GZ28" s="144"/>
      <c r="HA28" s="144"/>
      <c r="HB28" s="144"/>
      <c r="HC28" s="144"/>
      <c r="HD28" s="144"/>
      <c r="HE28" s="144"/>
      <c r="HF28" s="144"/>
      <c r="HG28" s="144"/>
      <c r="HH28" s="144"/>
      <c r="HI28" s="144"/>
      <c r="HJ28" s="144"/>
      <c r="HK28" s="144"/>
      <c r="HL28" s="144"/>
      <c r="HM28" s="144"/>
      <c r="HN28" s="144"/>
      <c r="HO28" s="144"/>
      <c r="HP28" s="144"/>
      <c r="HQ28" s="144"/>
      <c r="HR28" s="144"/>
      <c r="HS28" s="144"/>
      <c r="HT28" s="144"/>
      <c r="HU28" s="144"/>
      <c r="HV28" s="144"/>
      <c r="HW28" s="144"/>
      <c r="HX28" s="144"/>
      <c r="HY28" s="144"/>
      <c r="HZ28" s="144"/>
      <c r="IA28" s="144"/>
      <c r="IB28" s="144"/>
      <c r="IC28" s="144"/>
      <c r="ID28" s="144"/>
      <c r="IE28" s="144"/>
      <c r="IF28" s="144"/>
      <c r="IG28" s="144"/>
    </row>
    <row r="29" spans="1:241" ht="15.65" customHeight="1">
      <c r="A29" s="144" t="s">
        <v>264</v>
      </c>
      <c r="B29" s="953"/>
      <c r="C29" s="953"/>
      <c r="D29" s="953"/>
      <c r="E29" s="953"/>
      <c r="F29" s="953"/>
      <c r="G29" s="953">
        <v>3060000</v>
      </c>
      <c r="H29" s="143">
        <f>ROUND(3214035.05+0,-3)</f>
        <v>3214000</v>
      </c>
      <c r="I29" s="424">
        <v>2893000</v>
      </c>
      <c r="J29" s="424">
        <v>3195000</v>
      </c>
      <c r="K29" s="424">
        <v>3436000</v>
      </c>
      <c r="L29" s="350"/>
      <c r="M29" s="1121">
        <f t="shared" si="1"/>
        <v>7.5430359937402214E-2</v>
      </c>
      <c r="N29" s="1398"/>
      <c r="O29" s="591"/>
      <c r="P29" s="582"/>
      <c r="Q29" s="582"/>
      <c r="R29" s="582"/>
      <c r="T29" s="592"/>
      <c r="U29" s="582"/>
      <c r="V29" s="582"/>
      <c r="W29" s="590"/>
      <c r="X29" s="594"/>
      <c r="Y29" s="582"/>
      <c r="Z29" s="582"/>
      <c r="AA29" s="582"/>
      <c r="AB29" s="582"/>
      <c r="AC29" s="582"/>
      <c r="AD29" s="582"/>
      <c r="AE29" s="582"/>
      <c r="AF29" s="582"/>
      <c r="AG29" s="582"/>
      <c r="AH29" s="582"/>
      <c r="AI29" s="582"/>
      <c r="AJ29" s="582"/>
      <c r="AK29" s="582"/>
      <c r="AL29" s="582"/>
      <c r="AM29" s="582"/>
      <c r="AN29" s="582"/>
      <c r="AO29" s="582"/>
      <c r="AP29" s="582"/>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4"/>
      <c r="DV29" s="144"/>
      <c r="DW29" s="144"/>
      <c r="DX29" s="144"/>
      <c r="DY29" s="144"/>
      <c r="DZ29" s="144"/>
      <c r="EA29" s="144"/>
      <c r="EB29" s="144"/>
      <c r="EC29" s="144"/>
      <c r="ED29" s="144"/>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c r="GT29" s="144"/>
      <c r="GU29" s="144"/>
      <c r="GV29" s="144"/>
      <c r="GW29" s="144"/>
      <c r="GX29" s="144"/>
      <c r="GY29" s="144"/>
      <c r="GZ29" s="144"/>
      <c r="HA29" s="144"/>
      <c r="HB29" s="144"/>
      <c r="HC29" s="144"/>
      <c r="HD29" s="144"/>
      <c r="HE29" s="144"/>
      <c r="HF29" s="144"/>
      <c r="HG29" s="144"/>
      <c r="HH29" s="144"/>
      <c r="HI29" s="144"/>
      <c r="HJ29" s="144"/>
      <c r="HK29" s="144"/>
      <c r="HL29" s="144"/>
      <c r="HM29" s="144"/>
      <c r="HN29" s="144"/>
      <c r="HO29" s="144"/>
      <c r="HP29" s="144"/>
      <c r="HQ29" s="144"/>
      <c r="HR29" s="144"/>
      <c r="HS29" s="144"/>
      <c r="HT29" s="144"/>
      <c r="HU29" s="144"/>
      <c r="HV29" s="144"/>
      <c r="HW29" s="144"/>
      <c r="HX29" s="144"/>
      <c r="HY29" s="144"/>
      <c r="HZ29" s="144"/>
      <c r="IA29" s="144"/>
      <c r="IB29" s="144"/>
      <c r="IC29" s="144"/>
      <c r="ID29" s="144"/>
      <c r="IE29" s="144"/>
      <c r="IF29" s="144"/>
      <c r="IG29" s="144"/>
    </row>
    <row r="30" spans="1:241" ht="15.65" customHeight="1">
      <c r="A30" s="144" t="s">
        <v>266</v>
      </c>
      <c r="B30" s="953"/>
      <c r="C30" s="953"/>
      <c r="D30" s="953"/>
      <c r="E30" s="953"/>
      <c r="F30" s="953"/>
      <c r="G30" s="953">
        <v>398000</v>
      </c>
      <c r="H30" s="143">
        <f>ROUND(460022.04+0,-3)</f>
        <v>460000</v>
      </c>
      <c r="I30" s="424">
        <v>435000</v>
      </c>
      <c r="J30" s="424">
        <v>557000</v>
      </c>
      <c r="K30" s="424">
        <v>508000</v>
      </c>
      <c r="L30" s="350"/>
      <c r="M30" s="1121">
        <f t="shared" si="1"/>
        <v>-8.7971274685816891E-2</v>
      </c>
      <c r="N30" s="1398"/>
      <c r="O30" s="591"/>
      <c r="P30" s="582"/>
      <c r="Q30" s="582"/>
      <c r="R30" s="582"/>
      <c r="T30" s="592"/>
      <c r="U30" s="582"/>
      <c r="V30" s="582"/>
      <c r="W30" s="590"/>
      <c r="X30" s="594"/>
      <c r="Y30" s="582"/>
      <c r="Z30" s="582"/>
      <c r="AA30" s="582"/>
      <c r="AB30" s="582"/>
      <c r="AC30" s="582"/>
      <c r="AD30" s="582"/>
      <c r="AE30" s="582"/>
      <c r="AF30" s="582"/>
      <c r="AG30" s="582"/>
      <c r="AH30" s="582"/>
      <c r="AI30" s="582"/>
      <c r="AJ30" s="582"/>
      <c r="AK30" s="582"/>
      <c r="AL30" s="582"/>
      <c r="AM30" s="582"/>
      <c r="AN30" s="582"/>
      <c r="AO30" s="582"/>
      <c r="AP30" s="582"/>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44"/>
      <c r="DP30" s="144"/>
      <c r="DQ30" s="144"/>
      <c r="DR30" s="144"/>
      <c r="DS30" s="144"/>
      <c r="DT30" s="144"/>
      <c r="DU30" s="144"/>
      <c r="DV30" s="144"/>
      <c r="DW30" s="144"/>
      <c r="DX30" s="144"/>
      <c r="DY30" s="144"/>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c r="GH30" s="144"/>
      <c r="GI30" s="144"/>
      <c r="GJ30" s="144"/>
      <c r="GK30" s="144"/>
      <c r="GL30" s="144"/>
      <c r="GM30" s="144"/>
      <c r="GN30" s="144"/>
      <c r="GO30" s="144"/>
      <c r="GP30" s="144"/>
      <c r="GQ30" s="144"/>
      <c r="GR30" s="144"/>
      <c r="GS30" s="144"/>
      <c r="GT30" s="144"/>
      <c r="GU30" s="144"/>
      <c r="GV30" s="144"/>
      <c r="GW30" s="144"/>
      <c r="GX30" s="144"/>
      <c r="GY30" s="144"/>
      <c r="GZ30" s="144"/>
      <c r="HA30" s="144"/>
      <c r="HB30" s="144"/>
      <c r="HC30" s="144"/>
      <c r="HD30" s="144"/>
      <c r="HE30" s="144"/>
      <c r="HF30" s="144"/>
      <c r="HG30" s="144"/>
      <c r="HH30" s="144"/>
      <c r="HI30" s="144"/>
      <c r="HJ30" s="144"/>
      <c r="HK30" s="144"/>
      <c r="HL30" s="144"/>
      <c r="HM30" s="144"/>
      <c r="HN30" s="144"/>
      <c r="HO30" s="144"/>
      <c r="HP30" s="144"/>
      <c r="HQ30" s="144"/>
      <c r="HR30" s="144"/>
      <c r="HS30" s="144"/>
      <c r="HT30" s="144"/>
      <c r="HU30" s="144"/>
      <c r="HV30" s="144"/>
      <c r="HW30" s="144"/>
      <c r="HX30" s="144"/>
      <c r="HY30" s="144"/>
      <c r="HZ30" s="144"/>
      <c r="IA30" s="144"/>
      <c r="IB30" s="144"/>
      <c r="IC30" s="144"/>
      <c r="ID30" s="144"/>
      <c r="IE30" s="144"/>
      <c r="IF30" s="144"/>
      <c r="IG30" s="144"/>
    </row>
    <row r="31" spans="1:241" ht="15.65" customHeight="1">
      <c r="A31" s="144" t="s">
        <v>267</v>
      </c>
      <c r="B31" s="953"/>
      <c r="C31" s="953"/>
      <c r="D31" s="953"/>
      <c r="E31" s="953"/>
      <c r="F31" s="953"/>
      <c r="G31" s="953">
        <v>179000</v>
      </c>
      <c r="H31" s="143">
        <f>ROUND(142617.3+0,-3)</f>
        <v>143000</v>
      </c>
      <c r="I31" s="424">
        <v>205000</v>
      </c>
      <c r="J31" s="424">
        <v>159000</v>
      </c>
      <c r="K31" s="424">
        <v>338000</v>
      </c>
      <c r="L31" s="350"/>
      <c r="M31" s="1121">
        <f t="shared" si="1"/>
        <v>1.1257861635220126</v>
      </c>
      <c r="N31" s="1398"/>
      <c r="O31" s="591"/>
      <c r="P31" s="582"/>
      <c r="Q31" s="582"/>
      <c r="R31" s="582"/>
      <c r="T31" s="592"/>
      <c r="W31" s="590"/>
      <c r="X31" s="594"/>
      <c r="Y31" s="582"/>
      <c r="Z31" s="582"/>
      <c r="AA31" s="582"/>
      <c r="AB31" s="582"/>
      <c r="AC31" s="582"/>
      <c r="AD31" s="582"/>
      <c r="AE31" s="582"/>
      <c r="AF31" s="582"/>
      <c r="AG31" s="582"/>
      <c r="AH31" s="582"/>
      <c r="AI31" s="582"/>
      <c r="AJ31" s="582"/>
      <c r="AK31" s="582"/>
      <c r="AL31" s="582"/>
      <c r="AM31" s="582"/>
      <c r="AN31" s="582"/>
      <c r="AO31" s="582"/>
      <c r="AP31" s="582"/>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44"/>
      <c r="BZ31" s="144"/>
      <c r="CA31" s="144"/>
      <c r="CB31" s="144"/>
      <c r="CC31" s="144"/>
      <c r="CD31" s="144"/>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c r="DC31" s="144"/>
      <c r="DD31" s="144"/>
      <c r="DE31" s="144"/>
      <c r="DF31" s="144"/>
      <c r="DG31" s="144"/>
      <c r="DH31" s="144"/>
      <c r="DI31" s="144"/>
      <c r="DJ31" s="144"/>
      <c r="DK31" s="144"/>
      <c r="DL31" s="144"/>
      <c r="DM31" s="144"/>
      <c r="DN31" s="144"/>
      <c r="DO31" s="144"/>
      <c r="DP31" s="144"/>
      <c r="DQ31" s="144"/>
      <c r="DR31" s="144"/>
      <c r="DS31" s="144"/>
      <c r="DT31" s="144"/>
      <c r="DU31" s="144"/>
      <c r="DV31" s="144"/>
      <c r="DW31" s="144"/>
      <c r="DX31" s="144"/>
      <c r="DY31" s="144"/>
      <c r="DZ31" s="144"/>
      <c r="EA31" s="144"/>
      <c r="EB31" s="144"/>
      <c r="EC31" s="144"/>
      <c r="ED31" s="144"/>
      <c r="EE31" s="144"/>
      <c r="EF31" s="144"/>
      <c r="EG31" s="144"/>
      <c r="EH31" s="144"/>
      <c r="EI31" s="144"/>
      <c r="EJ31" s="144"/>
      <c r="EK31" s="144"/>
      <c r="EL31" s="144"/>
      <c r="EM31" s="144"/>
      <c r="EN31" s="144"/>
      <c r="EO31" s="144"/>
      <c r="EP31" s="144"/>
      <c r="EQ31" s="144"/>
      <c r="ER31" s="144"/>
      <c r="ES31" s="144"/>
      <c r="ET31" s="144"/>
      <c r="EU31" s="144"/>
      <c r="EV31" s="144"/>
      <c r="EW31" s="144"/>
      <c r="EX31" s="144"/>
      <c r="EY31" s="144"/>
      <c r="EZ31" s="144"/>
      <c r="FA31" s="144"/>
      <c r="FB31" s="144"/>
      <c r="FC31" s="144"/>
      <c r="FD31" s="144"/>
      <c r="FE31" s="144"/>
      <c r="FF31" s="144"/>
      <c r="FG31" s="144"/>
      <c r="FH31" s="144"/>
      <c r="FI31" s="144"/>
      <c r="FJ31" s="144"/>
      <c r="FK31" s="144"/>
      <c r="FL31" s="144"/>
      <c r="FM31" s="144"/>
      <c r="FN31" s="144"/>
      <c r="FO31" s="144"/>
      <c r="FP31" s="144"/>
      <c r="FQ31" s="144"/>
      <c r="FR31" s="144"/>
      <c r="FS31" s="144"/>
      <c r="FT31" s="144"/>
      <c r="FU31" s="144"/>
      <c r="FV31" s="144"/>
      <c r="FW31" s="144"/>
      <c r="FX31" s="144"/>
      <c r="FY31" s="144"/>
      <c r="FZ31" s="144"/>
      <c r="GA31" s="144"/>
      <c r="GB31" s="144"/>
      <c r="GC31" s="144"/>
      <c r="GD31" s="144"/>
      <c r="GE31" s="144"/>
      <c r="GF31" s="144"/>
      <c r="GG31" s="144"/>
      <c r="GH31" s="144"/>
      <c r="GI31" s="144"/>
      <c r="GJ31" s="144"/>
      <c r="GK31" s="144"/>
      <c r="GL31" s="144"/>
      <c r="GM31" s="144"/>
      <c r="GN31" s="144"/>
      <c r="GO31" s="144"/>
      <c r="GP31" s="144"/>
      <c r="GQ31" s="144"/>
      <c r="GR31" s="144"/>
      <c r="GS31" s="144"/>
      <c r="GT31" s="144"/>
      <c r="GU31" s="144"/>
      <c r="GV31" s="144"/>
      <c r="GW31" s="144"/>
      <c r="GX31" s="144"/>
      <c r="GY31" s="144"/>
      <c r="GZ31" s="144"/>
      <c r="HA31" s="144"/>
      <c r="HB31" s="144"/>
      <c r="HC31" s="144"/>
      <c r="HD31" s="144"/>
      <c r="HE31" s="144"/>
      <c r="HF31" s="144"/>
      <c r="HG31" s="144"/>
      <c r="HH31" s="144"/>
      <c r="HI31" s="144"/>
      <c r="HJ31" s="144"/>
      <c r="HK31" s="144"/>
      <c r="HL31" s="144"/>
      <c r="HM31" s="144"/>
      <c r="HN31" s="144"/>
      <c r="HO31" s="144"/>
      <c r="HP31" s="144"/>
      <c r="HQ31" s="144"/>
      <c r="HR31" s="144"/>
      <c r="HS31" s="144"/>
      <c r="HT31" s="144"/>
      <c r="HU31" s="144"/>
      <c r="HV31" s="144"/>
      <c r="HW31" s="144"/>
      <c r="HX31" s="144"/>
      <c r="HY31" s="144"/>
      <c r="HZ31" s="144"/>
      <c r="IA31" s="144"/>
      <c r="IB31" s="144"/>
      <c r="IC31" s="144"/>
      <c r="ID31" s="144"/>
      <c r="IE31" s="144"/>
      <c r="IF31" s="144"/>
      <c r="IG31" s="144"/>
    </row>
    <row r="32" spans="1:241" ht="15.65" customHeight="1">
      <c r="A32" s="144" t="s">
        <v>247</v>
      </c>
      <c r="B32" s="953"/>
      <c r="C32" s="953"/>
      <c r="D32" s="953"/>
      <c r="E32" s="953"/>
      <c r="F32" s="953"/>
      <c r="G32" s="953">
        <v>12000</v>
      </c>
      <c r="H32" s="143">
        <f>ROUND(12296.11+0,-3)</f>
        <v>12000</v>
      </c>
      <c r="I32" s="424">
        <v>13000</v>
      </c>
      <c r="J32" s="424">
        <v>16000</v>
      </c>
      <c r="K32" s="424">
        <v>18000</v>
      </c>
      <c r="L32" s="350"/>
      <c r="M32" s="1121">
        <f t="shared" si="1"/>
        <v>0.125</v>
      </c>
      <c r="N32" s="1398"/>
      <c r="O32" s="591"/>
      <c r="P32" s="582"/>
      <c r="Q32" s="582"/>
      <c r="R32" s="582"/>
      <c r="T32" s="592"/>
      <c r="U32" s="582"/>
      <c r="V32" s="582"/>
      <c r="W32" s="590"/>
      <c r="X32" s="594"/>
      <c r="Y32" s="582"/>
      <c r="Z32" s="582"/>
      <c r="AA32" s="582"/>
      <c r="AB32" s="582"/>
      <c r="AC32" s="582"/>
      <c r="AD32" s="582"/>
      <c r="AE32" s="582"/>
      <c r="AF32" s="582"/>
      <c r="AG32" s="582"/>
      <c r="AH32" s="582"/>
      <c r="AI32" s="582"/>
      <c r="AJ32" s="582"/>
      <c r="AK32" s="582"/>
      <c r="AL32" s="582"/>
      <c r="AM32" s="582"/>
      <c r="AN32" s="582"/>
      <c r="AO32" s="582"/>
      <c r="AP32" s="582"/>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c r="DE32" s="144"/>
      <c r="DF32" s="144"/>
      <c r="DG32" s="144"/>
      <c r="DH32" s="144"/>
      <c r="DI32" s="144"/>
      <c r="DJ32" s="144"/>
      <c r="DK32" s="144"/>
      <c r="DL32" s="144"/>
      <c r="DM32" s="144"/>
      <c r="DN32" s="144"/>
      <c r="DO32" s="144"/>
      <c r="DP32" s="144"/>
      <c r="DQ32" s="144"/>
      <c r="DR32" s="144"/>
      <c r="DS32" s="144"/>
      <c r="DT32" s="144"/>
      <c r="DU32" s="144"/>
      <c r="DV32" s="144"/>
      <c r="DW32" s="144"/>
      <c r="DX32" s="144"/>
      <c r="DY32" s="144"/>
      <c r="DZ32" s="144"/>
      <c r="EA32" s="144"/>
      <c r="EB32" s="144"/>
      <c r="EC32" s="144"/>
      <c r="ED32" s="144"/>
      <c r="EE32" s="144"/>
      <c r="EF32" s="144"/>
      <c r="EG32" s="144"/>
      <c r="EH32" s="144"/>
      <c r="EI32" s="144"/>
      <c r="EJ32" s="144"/>
      <c r="EK32" s="144"/>
      <c r="EL32" s="144"/>
      <c r="EM32" s="144"/>
      <c r="EN32" s="144"/>
      <c r="EO32" s="144"/>
      <c r="EP32" s="144"/>
      <c r="EQ32" s="144"/>
      <c r="ER32" s="144"/>
      <c r="ES32" s="144"/>
      <c r="ET32" s="144"/>
      <c r="EU32" s="144"/>
      <c r="EV32" s="144"/>
      <c r="EW32" s="144"/>
      <c r="EX32" s="144"/>
      <c r="EY32" s="144"/>
      <c r="EZ32" s="144"/>
      <c r="FA32" s="144"/>
      <c r="FB32" s="144"/>
      <c r="FC32" s="144"/>
      <c r="FD32" s="144"/>
      <c r="FE32" s="144"/>
      <c r="FF32" s="144"/>
      <c r="FG32" s="144"/>
      <c r="FH32" s="144"/>
      <c r="FI32" s="144"/>
      <c r="FJ32" s="144"/>
      <c r="FK32" s="144"/>
      <c r="FL32" s="144"/>
      <c r="FM32" s="144"/>
      <c r="FN32" s="144"/>
      <c r="FO32" s="144"/>
      <c r="FP32" s="144"/>
      <c r="FQ32" s="144"/>
      <c r="FR32" s="144"/>
      <c r="FS32" s="144"/>
      <c r="FT32" s="144"/>
      <c r="FU32" s="144"/>
      <c r="FV32" s="144"/>
      <c r="FW32" s="144"/>
      <c r="FX32" s="144"/>
      <c r="FY32" s="144"/>
      <c r="FZ32" s="144"/>
      <c r="GA32" s="144"/>
      <c r="GB32" s="144"/>
      <c r="GC32" s="144"/>
      <c r="GD32" s="144"/>
      <c r="GE32" s="144"/>
      <c r="GF32" s="144"/>
      <c r="GG32" s="144"/>
      <c r="GH32" s="144"/>
      <c r="GI32" s="144"/>
      <c r="GJ32" s="144"/>
      <c r="GK32" s="144"/>
      <c r="GL32" s="144"/>
      <c r="GM32" s="144"/>
      <c r="GN32" s="144"/>
      <c r="GO32" s="144"/>
      <c r="GP32" s="144"/>
      <c r="GQ32" s="144"/>
      <c r="GR32" s="144"/>
      <c r="GS32" s="144"/>
      <c r="GT32" s="144"/>
      <c r="GU32" s="144"/>
      <c r="GV32" s="144"/>
      <c r="GW32" s="144"/>
      <c r="GX32" s="144"/>
      <c r="GY32" s="144"/>
      <c r="GZ32" s="144"/>
      <c r="HA32" s="144"/>
      <c r="HB32" s="144"/>
      <c r="HC32" s="144"/>
      <c r="HD32" s="144"/>
      <c r="HE32" s="144"/>
      <c r="HF32" s="144"/>
      <c r="HG32" s="144"/>
      <c r="HH32" s="144"/>
      <c r="HI32" s="144"/>
      <c r="HJ32" s="144"/>
      <c r="HK32" s="144"/>
      <c r="HL32" s="144"/>
      <c r="HM32" s="144"/>
      <c r="HN32" s="144"/>
      <c r="HO32" s="144"/>
      <c r="HP32" s="144"/>
      <c r="HQ32" s="144"/>
      <c r="HR32" s="144"/>
      <c r="HS32" s="144"/>
      <c r="HT32" s="144"/>
      <c r="HU32" s="144"/>
      <c r="HV32" s="144"/>
      <c r="HW32" s="144"/>
      <c r="HX32" s="144"/>
      <c r="HY32" s="144"/>
      <c r="HZ32" s="144"/>
      <c r="IA32" s="144"/>
      <c r="IB32" s="144"/>
      <c r="IC32" s="144"/>
      <c r="ID32" s="144"/>
      <c r="IE32" s="144"/>
      <c r="IF32" s="144"/>
      <c r="IG32" s="144"/>
    </row>
    <row r="33" spans="1:241" ht="15.65" customHeight="1">
      <c r="A33" s="144" t="s">
        <v>268</v>
      </c>
      <c r="B33" s="953"/>
      <c r="C33" s="953"/>
      <c r="D33" s="953"/>
      <c r="E33" s="953"/>
      <c r="F33" s="953"/>
      <c r="G33" s="953">
        <v>664000</v>
      </c>
      <c r="H33" s="143">
        <f>ROUND(878294.38+0,-3)</f>
        <v>878000</v>
      </c>
      <c r="I33" s="424">
        <v>1597000</v>
      </c>
      <c r="J33" s="424">
        <v>2314000</v>
      </c>
      <c r="K33" s="424">
        <v>3203000</v>
      </c>
      <c r="L33" s="350"/>
      <c r="M33" s="1121">
        <f t="shared" si="1"/>
        <v>0.38418323249783914</v>
      </c>
      <c r="N33" s="1398"/>
      <c r="O33" s="591"/>
      <c r="P33" s="582"/>
      <c r="Q33" s="582"/>
      <c r="R33" s="582"/>
      <c r="T33" s="592"/>
      <c r="U33" s="582"/>
      <c r="V33" s="583"/>
      <c r="W33" s="582"/>
      <c r="X33" s="582"/>
      <c r="Y33" s="582"/>
      <c r="Z33" s="582"/>
      <c r="AA33" s="582"/>
      <c r="AB33" s="582"/>
      <c r="AC33" s="582"/>
      <c r="AD33" s="582"/>
      <c r="AE33" s="582"/>
      <c r="AF33" s="582"/>
      <c r="AG33" s="582"/>
      <c r="AH33" s="582"/>
      <c r="AI33" s="582"/>
      <c r="AJ33" s="582"/>
      <c r="AK33" s="582"/>
      <c r="AL33" s="582"/>
      <c r="AM33" s="582"/>
      <c r="AN33" s="582"/>
      <c r="AO33" s="582"/>
      <c r="AP33" s="582"/>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c r="DE33" s="144"/>
      <c r="DF33" s="144"/>
      <c r="DG33" s="144"/>
      <c r="DH33" s="144"/>
      <c r="DI33" s="144"/>
      <c r="DJ33" s="144"/>
      <c r="DK33" s="144"/>
      <c r="DL33" s="144"/>
      <c r="DM33" s="144"/>
      <c r="DN33" s="144"/>
      <c r="DO33" s="144"/>
      <c r="DP33" s="144"/>
      <c r="DQ33" s="144"/>
      <c r="DR33" s="144"/>
      <c r="DS33" s="144"/>
      <c r="DT33" s="144"/>
      <c r="DU33" s="144"/>
      <c r="DV33" s="144"/>
      <c r="DW33" s="144"/>
      <c r="DX33" s="144"/>
      <c r="DY33" s="144"/>
      <c r="DZ33" s="144"/>
      <c r="EA33" s="144"/>
      <c r="EB33" s="144"/>
      <c r="EC33" s="144"/>
      <c r="ED33" s="144"/>
      <c r="EE33" s="144"/>
      <c r="EF33" s="144"/>
      <c r="EG33" s="144"/>
      <c r="EH33" s="144"/>
      <c r="EI33" s="144"/>
      <c r="EJ33" s="144"/>
      <c r="EK33" s="144"/>
      <c r="EL33" s="144"/>
      <c r="EM33" s="144"/>
      <c r="EN33" s="144"/>
      <c r="EO33" s="144"/>
      <c r="EP33" s="144"/>
      <c r="EQ33" s="144"/>
      <c r="ER33" s="144"/>
      <c r="ES33" s="144"/>
      <c r="ET33" s="144"/>
      <c r="EU33" s="144"/>
      <c r="EV33" s="144"/>
      <c r="EW33" s="144"/>
      <c r="EX33" s="144"/>
      <c r="EY33" s="144"/>
      <c r="EZ33" s="144"/>
      <c r="FA33" s="144"/>
      <c r="FB33" s="144"/>
      <c r="FC33" s="144"/>
      <c r="FD33" s="144"/>
      <c r="FE33" s="144"/>
      <c r="FF33" s="144"/>
      <c r="FG33" s="144"/>
      <c r="FH33" s="144"/>
      <c r="FI33" s="144"/>
      <c r="FJ33" s="144"/>
      <c r="FK33" s="144"/>
      <c r="FL33" s="144"/>
      <c r="FM33" s="144"/>
      <c r="FN33" s="144"/>
      <c r="FO33" s="144"/>
      <c r="FP33" s="144"/>
      <c r="FQ33" s="144"/>
      <c r="FR33" s="144"/>
      <c r="FS33" s="144"/>
      <c r="FT33" s="144"/>
      <c r="FU33" s="144"/>
      <c r="FV33" s="144"/>
      <c r="FW33" s="144"/>
      <c r="FX33" s="144"/>
      <c r="FY33" s="144"/>
      <c r="FZ33" s="144"/>
      <c r="GA33" s="144"/>
      <c r="GB33" s="144"/>
      <c r="GC33" s="144"/>
      <c r="GD33" s="144"/>
      <c r="GE33" s="144"/>
      <c r="GF33" s="144"/>
      <c r="GG33" s="144"/>
      <c r="GH33" s="144"/>
      <c r="GI33" s="144"/>
      <c r="GJ33" s="144"/>
      <c r="GK33" s="144"/>
      <c r="GL33" s="144"/>
      <c r="GM33" s="144"/>
      <c r="GN33" s="144"/>
      <c r="GO33" s="144"/>
      <c r="GP33" s="144"/>
      <c r="GQ33" s="144"/>
      <c r="GR33" s="144"/>
      <c r="GS33" s="144"/>
      <c r="GT33" s="144"/>
      <c r="GU33" s="144"/>
      <c r="GV33" s="144"/>
      <c r="GW33" s="144"/>
      <c r="GX33" s="144"/>
      <c r="GY33" s="144"/>
      <c r="GZ33" s="144"/>
      <c r="HA33" s="144"/>
      <c r="HB33" s="144"/>
      <c r="HC33" s="144"/>
      <c r="HD33" s="144"/>
      <c r="HE33" s="144"/>
      <c r="HF33" s="144"/>
      <c r="HG33" s="144"/>
      <c r="HH33" s="144"/>
      <c r="HI33" s="144"/>
      <c r="HJ33" s="144"/>
      <c r="HK33" s="144"/>
      <c r="HL33" s="144"/>
      <c r="HM33" s="144"/>
      <c r="HN33" s="144"/>
      <c r="HO33" s="144"/>
      <c r="HP33" s="144"/>
      <c r="HQ33" s="144"/>
      <c r="HR33" s="144"/>
      <c r="HS33" s="144"/>
      <c r="HT33" s="144"/>
      <c r="HU33" s="144"/>
      <c r="HV33" s="144"/>
      <c r="HW33" s="144"/>
      <c r="HX33" s="144"/>
      <c r="HY33" s="144"/>
      <c r="HZ33" s="144"/>
      <c r="IA33" s="144"/>
      <c r="IB33" s="144"/>
      <c r="IC33" s="144"/>
      <c r="ID33" s="144"/>
      <c r="IE33" s="144"/>
      <c r="IF33" s="144"/>
      <c r="IG33" s="144"/>
    </row>
    <row r="34" spans="1:241" ht="15.65" customHeight="1">
      <c r="A34" s="144" t="s">
        <v>269</v>
      </c>
      <c r="B34" s="953"/>
      <c r="C34" s="953"/>
      <c r="D34" s="953"/>
      <c r="E34" s="953"/>
      <c r="F34" s="953"/>
      <c r="G34" s="953">
        <v>175000</v>
      </c>
      <c r="H34" s="143">
        <f>ROUND(216842.49+0,-3)</f>
        <v>217000</v>
      </c>
      <c r="I34" s="424">
        <v>233000</v>
      </c>
      <c r="J34" s="424">
        <v>229000</v>
      </c>
      <c r="K34" s="424">
        <v>264000</v>
      </c>
      <c r="L34" s="350"/>
      <c r="M34" s="1121">
        <f t="shared" si="1"/>
        <v>0.15283842794759828</v>
      </c>
      <c r="N34" s="1398"/>
      <c r="O34" s="591"/>
      <c r="P34" s="582"/>
      <c r="Q34" s="582"/>
      <c r="R34" s="582"/>
      <c r="T34" s="592"/>
      <c r="U34" s="582"/>
      <c r="V34" s="583"/>
      <c r="W34" s="582"/>
      <c r="X34" s="582"/>
      <c r="Y34" s="582"/>
      <c r="Z34" s="582"/>
      <c r="AA34" s="582"/>
      <c r="AB34" s="582"/>
      <c r="AC34" s="582"/>
      <c r="AD34" s="582"/>
      <c r="AE34" s="582"/>
      <c r="AF34" s="582"/>
      <c r="AG34" s="582"/>
      <c r="AH34" s="582"/>
      <c r="AI34" s="582"/>
      <c r="AJ34" s="582"/>
      <c r="AK34" s="582"/>
      <c r="AL34" s="582"/>
      <c r="AM34" s="582"/>
      <c r="AN34" s="582"/>
      <c r="AO34" s="582"/>
      <c r="AP34" s="582"/>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c r="DE34" s="144"/>
      <c r="DF34" s="144"/>
      <c r="DG34" s="144"/>
      <c r="DH34" s="144"/>
      <c r="DI34" s="144"/>
      <c r="DJ34" s="144"/>
      <c r="DK34" s="144"/>
      <c r="DL34" s="144"/>
      <c r="DM34" s="144"/>
      <c r="DN34" s="144"/>
      <c r="DO34" s="144"/>
      <c r="DP34" s="144"/>
      <c r="DQ34" s="144"/>
      <c r="DR34" s="144"/>
      <c r="DS34" s="144"/>
      <c r="DT34" s="144"/>
      <c r="DU34" s="144"/>
      <c r="DV34" s="144"/>
      <c r="DW34" s="144"/>
      <c r="DX34" s="144"/>
      <c r="DY34" s="144"/>
      <c r="DZ34" s="144"/>
      <c r="EA34" s="144"/>
      <c r="EB34" s="144"/>
      <c r="EC34" s="144"/>
      <c r="ED34" s="144"/>
      <c r="EE34" s="144"/>
      <c r="EF34" s="144"/>
      <c r="EG34" s="144"/>
      <c r="EH34" s="144"/>
      <c r="EI34" s="144"/>
      <c r="EJ34" s="144"/>
      <c r="EK34" s="144"/>
      <c r="EL34" s="144"/>
      <c r="EM34" s="144"/>
      <c r="EN34" s="144"/>
      <c r="EO34" s="144"/>
      <c r="EP34" s="144"/>
      <c r="EQ34" s="144"/>
      <c r="ER34" s="144"/>
      <c r="ES34" s="144"/>
      <c r="ET34" s="144"/>
      <c r="EU34" s="144"/>
      <c r="EV34" s="144"/>
      <c r="EW34" s="144"/>
      <c r="EX34" s="144"/>
      <c r="EY34" s="144"/>
      <c r="EZ34" s="144"/>
      <c r="FA34" s="144"/>
      <c r="FB34" s="144"/>
      <c r="FC34" s="144"/>
      <c r="FD34" s="144"/>
      <c r="FE34" s="144"/>
      <c r="FF34" s="144"/>
      <c r="FG34" s="144"/>
      <c r="FH34" s="144"/>
      <c r="FI34" s="144"/>
      <c r="FJ34" s="144"/>
      <c r="FK34" s="144"/>
      <c r="FL34" s="144"/>
      <c r="FM34" s="144"/>
      <c r="FN34" s="144"/>
      <c r="FO34" s="144"/>
      <c r="FP34" s="144"/>
      <c r="FQ34" s="144"/>
      <c r="FR34" s="144"/>
      <c r="FS34" s="144"/>
      <c r="FT34" s="144"/>
      <c r="FU34" s="144"/>
      <c r="FV34" s="144"/>
      <c r="FW34" s="144"/>
      <c r="FX34" s="144"/>
      <c r="FY34" s="144"/>
      <c r="FZ34" s="144"/>
      <c r="GA34" s="144"/>
      <c r="GB34" s="144"/>
      <c r="GC34" s="144"/>
      <c r="GD34" s="144"/>
      <c r="GE34" s="144"/>
      <c r="GF34" s="144"/>
      <c r="GG34" s="144"/>
      <c r="GH34" s="144"/>
      <c r="GI34" s="144"/>
      <c r="GJ34" s="144"/>
      <c r="GK34" s="144"/>
      <c r="GL34" s="144"/>
      <c r="GM34" s="144"/>
      <c r="GN34" s="144"/>
      <c r="GO34" s="144"/>
      <c r="GP34" s="144"/>
      <c r="GQ34" s="144"/>
      <c r="GR34" s="144"/>
      <c r="GS34" s="144"/>
      <c r="GT34" s="144"/>
      <c r="GU34" s="144"/>
      <c r="GV34" s="144"/>
      <c r="GW34" s="144"/>
      <c r="GX34" s="144"/>
      <c r="GY34" s="144"/>
      <c r="GZ34" s="144"/>
      <c r="HA34" s="144"/>
      <c r="HB34" s="144"/>
      <c r="HC34" s="144"/>
      <c r="HD34" s="144"/>
      <c r="HE34" s="144"/>
      <c r="HF34" s="144"/>
      <c r="HG34" s="144"/>
      <c r="HH34" s="144"/>
      <c r="HI34" s="144"/>
      <c r="HJ34" s="144"/>
      <c r="HK34" s="144"/>
      <c r="HL34" s="144"/>
      <c r="HM34" s="144"/>
      <c r="HN34" s="144"/>
      <c r="HO34" s="144"/>
      <c r="HP34" s="144"/>
      <c r="HQ34" s="144"/>
      <c r="HR34" s="144"/>
      <c r="HS34" s="144"/>
      <c r="HT34" s="144"/>
      <c r="HU34" s="144"/>
      <c r="HV34" s="144"/>
      <c r="HW34" s="144"/>
      <c r="HX34" s="144"/>
      <c r="HY34" s="144"/>
      <c r="HZ34" s="144"/>
      <c r="IA34" s="144"/>
      <c r="IB34" s="144"/>
      <c r="IC34" s="144"/>
      <c r="ID34" s="144"/>
      <c r="IE34" s="144"/>
      <c r="IF34" s="144"/>
      <c r="IG34" s="144"/>
    </row>
    <row r="35" spans="1:241" ht="15.65" customHeight="1">
      <c r="A35" s="144" t="s">
        <v>246</v>
      </c>
      <c r="B35" s="953"/>
      <c r="C35" s="953"/>
      <c r="D35" s="953"/>
      <c r="E35" s="953"/>
      <c r="F35" s="953"/>
      <c r="G35" s="953">
        <v>178000</v>
      </c>
      <c r="H35" s="143">
        <f>ROUND(218257.13,-3)</f>
        <v>218000</v>
      </c>
      <c r="I35" s="424">
        <v>114000</v>
      </c>
      <c r="J35" s="424">
        <v>159000</v>
      </c>
      <c r="K35" s="424">
        <v>192000</v>
      </c>
      <c r="L35" s="350"/>
      <c r="M35" s="1121">
        <f t="shared" si="1"/>
        <v>0.20754716981132071</v>
      </c>
      <c r="N35" s="1398"/>
      <c r="O35" s="591"/>
      <c r="P35" s="582"/>
      <c r="Q35" s="582"/>
      <c r="R35" s="582"/>
      <c r="T35" s="592"/>
      <c r="U35" s="582"/>
      <c r="V35" s="583"/>
      <c r="X35" s="582"/>
      <c r="Y35" s="582"/>
      <c r="Z35" s="582"/>
      <c r="AA35" s="582"/>
      <c r="AB35" s="582"/>
      <c r="AC35" s="582"/>
      <c r="AD35" s="582"/>
      <c r="AE35" s="582"/>
      <c r="AF35" s="582"/>
      <c r="AG35" s="582"/>
      <c r="AH35" s="582"/>
      <c r="AI35" s="582"/>
      <c r="AJ35" s="582"/>
      <c r="AK35" s="582"/>
      <c r="AL35" s="582"/>
      <c r="AM35" s="582"/>
      <c r="AN35" s="582"/>
      <c r="AO35" s="582"/>
      <c r="AP35" s="582"/>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S35" s="144"/>
      <c r="BT35" s="144"/>
      <c r="BU35" s="144"/>
      <c r="BV35" s="144"/>
      <c r="BW35" s="144"/>
      <c r="BX35" s="144"/>
      <c r="BY35" s="144"/>
      <c r="BZ35" s="144"/>
      <c r="CA35" s="144"/>
      <c r="CB35" s="144"/>
      <c r="CC35" s="144"/>
      <c r="CD35" s="144"/>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c r="DC35" s="144"/>
      <c r="DD35" s="144"/>
      <c r="DE35" s="144"/>
      <c r="DF35" s="144"/>
      <c r="DG35" s="144"/>
      <c r="DH35" s="144"/>
      <c r="DI35" s="144"/>
      <c r="DJ35" s="144"/>
      <c r="DK35" s="144"/>
      <c r="DL35" s="144"/>
      <c r="DM35" s="144"/>
      <c r="DN35" s="144"/>
      <c r="DO35" s="144"/>
      <c r="DP35" s="144"/>
      <c r="DQ35" s="144"/>
      <c r="DR35" s="144"/>
      <c r="DS35" s="144"/>
      <c r="DT35" s="144"/>
      <c r="DU35" s="144"/>
      <c r="DV35" s="144"/>
      <c r="DW35" s="144"/>
      <c r="DX35" s="144"/>
      <c r="DY35" s="144"/>
      <c r="DZ35" s="144"/>
      <c r="EA35" s="144"/>
      <c r="EB35" s="144"/>
      <c r="EC35" s="144"/>
      <c r="ED35" s="144"/>
      <c r="EE35" s="144"/>
      <c r="EF35" s="144"/>
      <c r="EG35" s="144"/>
      <c r="EH35" s="144"/>
      <c r="EI35" s="144"/>
      <c r="EJ35" s="144"/>
      <c r="EK35" s="144"/>
      <c r="EL35" s="144"/>
      <c r="EM35" s="144"/>
      <c r="EN35" s="144"/>
      <c r="EO35" s="144"/>
      <c r="EP35" s="144"/>
      <c r="EQ35" s="144"/>
      <c r="ER35" s="144"/>
      <c r="ES35" s="144"/>
      <c r="ET35" s="144"/>
      <c r="EU35" s="144"/>
      <c r="EV35" s="144"/>
      <c r="EW35" s="144"/>
      <c r="EX35" s="144"/>
      <c r="EY35" s="144"/>
      <c r="EZ35" s="144"/>
      <c r="FA35" s="144"/>
      <c r="FB35" s="144"/>
      <c r="FC35" s="144"/>
      <c r="FD35" s="144"/>
      <c r="FE35" s="144"/>
      <c r="FF35" s="144"/>
      <c r="FG35" s="144"/>
      <c r="FH35" s="144"/>
      <c r="FI35" s="144"/>
      <c r="FJ35" s="144"/>
      <c r="FK35" s="144"/>
      <c r="FL35" s="144"/>
      <c r="FM35" s="144"/>
      <c r="FN35" s="144"/>
      <c r="FO35" s="144"/>
      <c r="FP35" s="144"/>
      <c r="FQ35" s="144"/>
      <c r="FR35" s="144"/>
      <c r="FS35" s="144"/>
      <c r="FT35" s="144"/>
      <c r="FU35" s="144"/>
      <c r="FV35" s="144"/>
      <c r="FW35" s="144"/>
      <c r="FX35" s="144"/>
      <c r="FY35" s="144"/>
      <c r="FZ35" s="144"/>
      <c r="GA35" s="144"/>
      <c r="GB35" s="144"/>
      <c r="GC35" s="144"/>
      <c r="GD35" s="144"/>
      <c r="GE35" s="144"/>
      <c r="GF35" s="144"/>
      <c r="GG35" s="144"/>
      <c r="GH35" s="144"/>
      <c r="GI35" s="144"/>
      <c r="GJ35" s="144"/>
      <c r="GK35" s="144"/>
      <c r="GL35" s="144"/>
      <c r="GM35" s="144"/>
      <c r="GN35" s="144"/>
      <c r="GO35" s="144"/>
      <c r="GP35" s="144"/>
      <c r="GQ35" s="144"/>
      <c r="GR35" s="144"/>
      <c r="GS35" s="144"/>
      <c r="GT35" s="144"/>
      <c r="GU35" s="144"/>
      <c r="GV35" s="144"/>
      <c r="GW35" s="144"/>
      <c r="GX35" s="144"/>
      <c r="GY35" s="144"/>
      <c r="GZ35" s="144"/>
      <c r="HA35" s="144"/>
      <c r="HB35" s="144"/>
      <c r="HC35" s="144"/>
      <c r="HD35" s="144"/>
      <c r="HE35" s="144"/>
      <c r="HF35" s="144"/>
      <c r="HG35" s="144"/>
      <c r="HH35" s="144"/>
      <c r="HI35" s="144"/>
      <c r="HJ35" s="144"/>
      <c r="HK35" s="144"/>
      <c r="HL35" s="144"/>
      <c r="HM35" s="144"/>
      <c r="HN35" s="144"/>
      <c r="HO35" s="144"/>
      <c r="HP35" s="144"/>
      <c r="HQ35" s="144"/>
      <c r="HR35" s="144"/>
      <c r="HS35" s="144"/>
      <c r="HT35" s="144"/>
      <c r="HU35" s="144"/>
      <c r="HV35" s="144"/>
      <c r="HW35" s="144"/>
      <c r="HX35" s="144"/>
      <c r="HY35" s="144"/>
      <c r="HZ35" s="144"/>
      <c r="IA35" s="144"/>
      <c r="IB35" s="144"/>
      <c r="IC35" s="144"/>
      <c r="ID35" s="144"/>
      <c r="IE35" s="144"/>
      <c r="IF35" s="144"/>
      <c r="IG35" s="144"/>
    </row>
    <row r="36" spans="1:241" ht="15.65" customHeight="1">
      <c r="A36" s="144" t="s">
        <v>245</v>
      </c>
      <c r="B36" s="953"/>
      <c r="C36" s="953"/>
      <c r="D36" s="953"/>
      <c r="E36" s="953"/>
      <c r="F36" s="953"/>
      <c r="G36" s="953">
        <v>90000</v>
      </c>
      <c r="H36" s="143">
        <f>ROUND(87968.28,-3)</f>
        <v>88000</v>
      </c>
      <c r="I36" s="424">
        <v>82000</v>
      </c>
      <c r="J36" s="424">
        <v>109000</v>
      </c>
      <c r="K36" s="424">
        <v>105000</v>
      </c>
      <c r="M36" s="1121">
        <f t="shared" si="1"/>
        <v>-3.669724770642202E-2</v>
      </c>
      <c r="N36" s="1398"/>
      <c r="O36" s="591"/>
      <c r="P36" s="582"/>
      <c r="Q36" s="582"/>
      <c r="R36" s="582"/>
      <c r="T36" s="592"/>
      <c r="U36" s="582"/>
      <c r="V36" s="583"/>
      <c r="W36" s="582"/>
      <c r="X36" s="582"/>
      <c r="Y36" s="582"/>
      <c r="Z36" s="582"/>
      <c r="AA36" s="582"/>
      <c r="AB36" s="582"/>
      <c r="AC36" s="582"/>
      <c r="AD36" s="582"/>
      <c r="AE36" s="582"/>
      <c r="AF36" s="582"/>
      <c r="AG36" s="582"/>
      <c r="AH36" s="582"/>
      <c r="AI36" s="582"/>
      <c r="AJ36" s="582"/>
      <c r="AK36" s="582"/>
      <c r="AL36" s="582"/>
      <c r="AM36" s="582"/>
      <c r="AN36" s="582"/>
      <c r="AO36" s="582"/>
      <c r="AP36" s="582"/>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4"/>
      <c r="BR36" s="144"/>
      <c r="BS36" s="144"/>
      <c r="BT36" s="144"/>
      <c r="BU36" s="144"/>
      <c r="BV36" s="144"/>
      <c r="BW36" s="144"/>
      <c r="BX36" s="144"/>
      <c r="BY36" s="144"/>
      <c r="BZ36" s="144"/>
      <c r="CA36" s="144"/>
      <c r="CB36" s="144"/>
      <c r="CC36" s="144"/>
      <c r="CD36" s="144"/>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c r="DC36" s="144"/>
      <c r="DD36" s="144"/>
      <c r="DE36" s="144"/>
      <c r="DF36" s="144"/>
      <c r="DG36" s="144"/>
      <c r="DH36" s="144"/>
      <c r="DI36" s="144"/>
      <c r="DJ36" s="144"/>
      <c r="DK36" s="144"/>
      <c r="DL36" s="144"/>
      <c r="DM36" s="144"/>
      <c r="DN36" s="144"/>
      <c r="DO36" s="144"/>
      <c r="DP36" s="144"/>
      <c r="DQ36" s="144"/>
      <c r="DR36" s="144"/>
      <c r="DS36" s="144"/>
      <c r="DT36" s="144"/>
      <c r="DU36" s="144"/>
      <c r="DV36" s="144"/>
      <c r="DW36" s="144"/>
      <c r="DX36" s="144"/>
      <c r="DY36" s="144"/>
      <c r="DZ36" s="144"/>
      <c r="EA36" s="144"/>
      <c r="EB36" s="144"/>
      <c r="EC36" s="144"/>
      <c r="ED36" s="144"/>
      <c r="EE36" s="144"/>
      <c r="EF36" s="144"/>
      <c r="EG36" s="144"/>
      <c r="EH36" s="144"/>
      <c r="EI36" s="144"/>
      <c r="EJ36" s="144"/>
      <c r="EK36" s="144"/>
      <c r="EL36" s="144"/>
      <c r="EM36" s="144"/>
      <c r="EN36" s="144"/>
      <c r="EO36" s="144"/>
      <c r="EP36" s="144"/>
      <c r="EQ36" s="144"/>
      <c r="ER36" s="144"/>
      <c r="ES36" s="144"/>
      <c r="ET36" s="144"/>
      <c r="EU36" s="144"/>
      <c r="EV36" s="144"/>
      <c r="EW36" s="144"/>
      <c r="EX36" s="144"/>
      <c r="EY36" s="144"/>
      <c r="EZ36" s="144"/>
      <c r="FA36" s="144"/>
      <c r="FB36" s="144"/>
      <c r="FC36" s="144"/>
      <c r="FD36" s="144"/>
      <c r="FE36" s="144"/>
      <c r="FF36" s="144"/>
      <c r="FG36" s="144"/>
      <c r="FH36" s="144"/>
      <c r="FI36" s="144"/>
      <c r="FJ36" s="144"/>
      <c r="FK36" s="144"/>
      <c r="FL36" s="144"/>
      <c r="FM36" s="144"/>
      <c r="FN36" s="144"/>
      <c r="FO36" s="144"/>
      <c r="FP36" s="144"/>
      <c r="FQ36" s="144"/>
      <c r="FR36" s="144"/>
      <c r="FS36" s="144"/>
      <c r="FT36" s="144"/>
      <c r="FU36" s="144"/>
      <c r="FV36" s="144"/>
      <c r="FW36" s="144"/>
      <c r="FX36" s="144"/>
      <c r="FY36" s="144"/>
      <c r="FZ36" s="144"/>
      <c r="GA36" s="144"/>
      <c r="GB36" s="144"/>
      <c r="GC36" s="144"/>
      <c r="GD36" s="144"/>
      <c r="GE36" s="144"/>
      <c r="GF36" s="144"/>
      <c r="GG36" s="144"/>
      <c r="GH36" s="144"/>
      <c r="GI36" s="144"/>
      <c r="GJ36" s="144"/>
      <c r="GK36" s="144"/>
      <c r="GL36" s="144"/>
      <c r="GM36" s="144"/>
      <c r="GN36" s="144"/>
      <c r="GO36" s="144"/>
      <c r="GP36" s="144"/>
      <c r="GQ36" s="144"/>
      <c r="GR36" s="144"/>
      <c r="GS36" s="144"/>
      <c r="GT36" s="144"/>
      <c r="GU36" s="144"/>
      <c r="GV36" s="144"/>
      <c r="GW36" s="144"/>
      <c r="GX36" s="144"/>
      <c r="GY36" s="144"/>
      <c r="GZ36" s="144"/>
      <c r="HA36" s="144"/>
      <c r="HB36" s="144"/>
      <c r="HC36" s="144"/>
      <c r="HD36" s="144"/>
      <c r="HE36" s="144"/>
      <c r="HF36" s="144"/>
      <c r="HG36" s="144"/>
      <c r="HH36" s="144"/>
      <c r="HI36" s="144"/>
      <c r="HJ36" s="144"/>
      <c r="HK36" s="144"/>
      <c r="HL36" s="144"/>
      <c r="HM36" s="144"/>
      <c r="HN36" s="144"/>
      <c r="HO36" s="144"/>
      <c r="HP36" s="144"/>
      <c r="HQ36" s="144"/>
      <c r="HR36" s="144"/>
      <c r="HS36" s="144"/>
      <c r="HT36" s="144"/>
      <c r="HU36" s="144"/>
      <c r="HV36" s="144"/>
      <c r="HW36" s="144"/>
      <c r="HX36" s="144"/>
      <c r="HY36" s="144"/>
      <c r="HZ36" s="144"/>
      <c r="IA36" s="144"/>
      <c r="IB36" s="144"/>
      <c r="IC36" s="144"/>
      <c r="ID36" s="144"/>
      <c r="IE36" s="144"/>
      <c r="IF36" s="144"/>
      <c r="IG36" s="144"/>
    </row>
    <row r="37" spans="1:241" ht="15.65" customHeight="1">
      <c r="A37" s="144" t="s">
        <v>1341</v>
      </c>
      <c r="B37" s="953"/>
      <c r="C37" s="953"/>
      <c r="D37" s="953"/>
      <c r="E37" s="953"/>
      <c r="F37" s="953"/>
      <c r="G37" s="953">
        <v>136140.20000000001</v>
      </c>
      <c r="H37" s="143">
        <v>340628.13</v>
      </c>
      <c r="I37" s="424">
        <v>353000</v>
      </c>
      <c r="J37" s="424">
        <v>349000</v>
      </c>
      <c r="K37" s="424">
        <v>336000</v>
      </c>
      <c r="M37" s="1121">
        <f t="shared" si="1"/>
        <v>-3.7249283667621813E-2</v>
      </c>
      <c r="N37" s="1398"/>
      <c r="O37" s="591"/>
      <c r="P37" s="582"/>
      <c r="Q37" s="582"/>
      <c r="R37" s="582"/>
      <c r="T37" s="592"/>
      <c r="U37" s="582"/>
      <c r="V37" s="583"/>
      <c r="W37" s="582"/>
      <c r="X37" s="582"/>
      <c r="Y37" s="582"/>
      <c r="Z37" s="582"/>
      <c r="AA37" s="582"/>
      <c r="AB37" s="582"/>
      <c r="AC37" s="582"/>
      <c r="AD37" s="582"/>
      <c r="AE37" s="582"/>
      <c r="AF37" s="582"/>
      <c r="AG37" s="582"/>
      <c r="AH37" s="582"/>
      <c r="AI37" s="582"/>
      <c r="AJ37" s="582"/>
      <c r="AK37" s="582"/>
      <c r="AL37" s="582"/>
      <c r="AM37" s="582"/>
      <c r="AN37" s="582"/>
      <c r="AO37" s="582"/>
      <c r="AP37" s="582"/>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4"/>
      <c r="BR37" s="144"/>
      <c r="BS37" s="144"/>
      <c r="BT37" s="144"/>
      <c r="BU37" s="144"/>
      <c r="BV37" s="144"/>
      <c r="BW37" s="144"/>
      <c r="BX37" s="144"/>
      <c r="BY37" s="144"/>
      <c r="BZ37" s="144"/>
      <c r="CA37" s="144"/>
      <c r="CB37" s="144"/>
      <c r="CC37" s="144"/>
      <c r="CD37" s="144"/>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c r="DC37" s="144"/>
      <c r="DD37" s="144"/>
      <c r="DE37" s="144"/>
      <c r="DF37" s="144"/>
      <c r="DG37" s="144"/>
      <c r="DH37" s="144"/>
      <c r="DI37" s="144"/>
      <c r="DJ37" s="144"/>
      <c r="DK37" s="144"/>
      <c r="DL37" s="144"/>
      <c r="DM37" s="144"/>
      <c r="DN37" s="144"/>
      <c r="DO37" s="144"/>
      <c r="DP37" s="144"/>
      <c r="DQ37" s="144"/>
      <c r="DR37" s="144"/>
      <c r="DS37" s="144"/>
      <c r="DT37" s="144"/>
      <c r="DU37" s="144"/>
      <c r="DV37" s="144"/>
      <c r="DW37" s="144"/>
      <c r="DX37" s="144"/>
      <c r="DY37" s="144"/>
      <c r="DZ37" s="144"/>
      <c r="EA37" s="144"/>
      <c r="EB37" s="144"/>
      <c r="EC37" s="144"/>
      <c r="ED37" s="144"/>
      <c r="EE37" s="144"/>
      <c r="EF37" s="144"/>
      <c r="EG37" s="144"/>
      <c r="EH37" s="144"/>
      <c r="EI37" s="144"/>
      <c r="EJ37" s="144"/>
      <c r="EK37" s="144"/>
      <c r="EL37" s="144"/>
      <c r="EM37" s="144"/>
      <c r="EN37" s="144"/>
      <c r="EO37" s="144"/>
      <c r="EP37" s="144"/>
      <c r="EQ37" s="144"/>
      <c r="ER37" s="144"/>
      <c r="ES37" s="144"/>
      <c r="ET37" s="144"/>
      <c r="EU37" s="144"/>
      <c r="EV37" s="144"/>
      <c r="EW37" s="144"/>
      <c r="EX37" s="144"/>
      <c r="EY37" s="144"/>
      <c r="EZ37" s="144"/>
      <c r="FA37" s="144"/>
      <c r="FB37" s="144"/>
      <c r="FC37" s="144"/>
      <c r="FD37" s="144"/>
      <c r="FE37" s="144"/>
      <c r="FF37" s="144"/>
      <c r="FG37" s="144"/>
      <c r="FH37" s="144"/>
      <c r="FI37" s="144"/>
      <c r="FJ37" s="144"/>
      <c r="FK37" s="144"/>
      <c r="FL37" s="144"/>
      <c r="FM37" s="144"/>
      <c r="FN37" s="144"/>
      <c r="FO37" s="144"/>
      <c r="FP37" s="144"/>
      <c r="FQ37" s="144"/>
      <c r="FR37" s="144"/>
      <c r="FS37" s="144"/>
      <c r="FT37" s="144"/>
      <c r="FU37" s="144"/>
      <c r="FV37" s="144"/>
      <c r="FW37" s="144"/>
      <c r="FX37" s="144"/>
      <c r="FY37" s="144"/>
      <c r="FZ37" s="144"/>
      <c r="GA37" s="144"/>
      <c r="GB37" s="144"/>
      <c r="GC37" s="144"/>
      <c r="GD37" s="144"/>
      <c r="GE37" s="144"/>
      <c r="GF37" s="144"/>
      <c r="GG37" s="144"/>
      <c r="GH37" s="144"/>
      <c r="GI37" s="144"/>
      <c r="GJ37" s="144"/>
      <c r="GK37" s="144"/>
      <c r="GL37" s="144"/>
      <c r="GM37" s="144"/>
      <c r="GN37" s="144"/>
      <c r="GO37" s="144"/>
      <c r="GP37" s="144"/>
      <c r="GQ37" s="144"/>
      <c r="GR37" s="144"/>
      <c r="GS37" s="144"/>
      <c r="GT37" s="144"/>
      <c r="GU37" s="144"/>
      <c r="GV37" s="144"/>
      <c r="GW37" s="144"/>
      <c r="GX37" s="144"/>
      <c r="GY37" s="144"/>
      <c r="GZ37" s="144"/>
      <c r="HA37" s="144"/>
      <c r="HB37" s="144"/>
      <c r="HC37" s="144"/>
      <c r="HD37" s="144"/>
      <c r="HE37" s="144"/>
      <c r="HF37" s="144"/>
      <c r="HG37" s="144"/>
      <c r="HH37" s="144"/>
      <c r="HI37" s="144"/>
      <c r="HJ37" s="144"/>
      <c r="HK37" s="144"/>
      <c r="HL37" s="144"/>
      <c r="HM37" s="144"/>
      <c r="HN37" s="144"/>
      <c r="HO37" s="144"/>
      <c r="HP37" s="144"/>
      <c r="HQ37" s="144"/>
      <c r="HR37" s="144"/>
      <c r="HS37" s="144"/>
      <c r="HT37" s="144"/>
      <c r="HU37" s="144"/>
      <c r="HV37" s="144"/>
      <c r="HW37" s="144"/>
      <c r="HX37" s="144"/>
      <c r="HY37" s="144"/>
      <c r="HZ37" s="144"/>
      <c r="IA37" s="144"/>
      <c r="IB37" s="144"/>
      <c r="IC37" s="144"/>
      <c r="ID37" s="144"/>
      <c r="IE37" s="144"/>
      <c r="IF37" s="144"/>
      <c r="IG37" s="144"/>
    </row>
    <row r="38" spans="1:241" ht="6" customHeight="1">
      <c r="B38" s="956"/>
      <c r="C38" s="956"/>
      <c r="D38" s="956"/>
      <c r="E38" s="956"/>
      <c r="F38" s="956"/>
      <c r="G38" s="956"/>
      <c r="H38" s="956"/>
      <c r="N38" s="1400"/>
      <c r="O38" s="591"/>
      <c r="P38" s="582"/>
      <c r="Q38" s="582"/>
      <c r="R38" s="582"/>
      <c r="T38" s="592"/>
      <c r="U38" s="582"/>
      <c r="V38" s="583"/>
      <c r="X38" s="582"/>
      <c r="Y38" s="582"/>
      <c r="Z38" s="582"/>
      <c r="AA38" s="582"/>
      <c r="AB38" s="582"/>
      <c r="AC38" s="582"/>
      <c r="AD38" s="582"/>
      <c r="AE38" s="582"/>
      <c r="AF38" s="582"/>
      <c r="AG38" s="582"/>
      <c r="AH38" s="582"/>
      <c r="AI38" s="582"/>
      <c r="AJ38" s="582"/>
      <c r="AK38" s="582"/>
      <c r="AL38" s="582"/>
      <c r="AM38" s="582"/>
      <c r="AN38" s="582"/>
      <c r="AO38" s="582"/>
      <c r="AP38" s="582"/>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4"/>
      <c r="BR38" s="144"/>
      <c r="BS38" s="144"/>
      <c r="BT38" s="144"/>
      <c r="BU38" s="144"/>
      <c r="BV38" s="144"/>
      <c r="BW38" s="144"/>
      <c r="BX38" s="144"/>
      <c r="BY38" s="144"/>
      <c r="BZ38" s="144"/>
      <c r="CA38" s="144"/>
      <c r="CB38" s="144"/>
      <c r="CC38" s="144"/>
      <c r="CD38" s="144"/>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c r="DC38" s="144"/>
      <c r="DD38" s="144"/>
      <c r="DE38" s="144"/>
      <c r="DF38" s="144"/>
      <c r="DG38" s="144"/>
      <c r="DH38" s="144"/>
      <c r="DI38" s="144"/>
      <c r="DJ38" s="144"/>
      <c r="DK38" s="144"/>
      <c r="DL38" s="144"/>
      <c r="DM38" s="144"/>
      <c r="DN38" s="144"/>
      <c r="DO38" s="144"/>
      <c r="DP38" s="144"/>
      <c r="DQ38" s="144"/>
      <c r="DR38" s="144"/>
      <c r="DS38" s="144"/>
      <c r="DT38" s="144"/>
      <c r="DU38" s="144"/>
      <c r="DV38" s="144"/>
      <c r="DW38" s="144"/>
      <c r="DX38" s="144"/>
      <c r="DY38" s="144"/>
      <c r="DZ38" s="144"/>
      <c r="EA38" s="144"/>
      <c r="EB38" s="144"/>
      <c r="EC38" s="144"/>
      <c r="ED38" s="144"/>
      <c r="EE38" s="144"/>
      <c r="EF38" s="144"/>
      <c r="EG38" s="144"/>
      <c r="EH38" s="144"/>
      <c r="EI38" s="144"/>
      <c r="EJ38" s="144"/>
      <c r="EK38" s="144"/>
      <c r="EL38" s="144"/>
      <c r="EM38" s="144"/>
      <c r="EN38" s="144"/>
      <c r="EO38" s="144"/>
      <c r="EP38" s="144"/>
      <c r="EQ38" s="144"/>
      <c r="ER38" s="144"/>
      <c r="ES38" s="144"/>
      <c r="ET38" s="144"/>
      <c r="EU38" s="144"/>
      <c r="EV38" s="144"/>
      <c r="EW38" s="144"/>
      <c r="EX38" s="144"/>
      <c r="EY38" s="144"/>
      <c r="EZ38" s="144"/>
      <c r="FA38" s="144"/>
      <c r="FB38" s="144"/>
      <c r="FC38" s="144"/>
      <c r="FD38" s="144"/>
      <c r="FE38" s="144"/>
      <c r="FF38" s="144"/>
      <c r="FG38" s="144"/>
      <c r="FH38" s="144"/>
      <c r="FI38" s="144"/>
      <c r="FJ38" s="144"/>
      <c r="FK38" s="144"/>
      <c r="FL38" s="144"/>
      <c r="FM38" s="144"/>
      <c r="FN38" s="144"/>
      <c r="FO38" s="144"/>
      <c r="FP38" s="144"/>
      <c r="FQ38" s="144"/>
      <c r="FR38" s="144"/>
      <c r="FS38" s="144"/>
      <c r="FT38" s="144"/>
      <c r="FU38" s="144"/>
      <c r="FV38" s="144"/>
      <c r="FW38" s="144"/>
      <c r="FX38" s="144"/>
      <c r="FY38" s="144"/>
      <c r="FZ38" s="144"/>
      <c r="GA38" s="144"/>
      <c r="GB38" s="144"/>
      <c r="GC38" s="144"/>
      <c r="GD38" s="144"/>
      <c r="GE38" s="144"/>
      <c r="GF38" s="144"/>
      <c r="GG38" s="144"/>
      <c r="GH38" s="144"/>
      <c r="GI38" s="144"/>
      <c r="GJ38" s="144"/>
      <c r="GK38" s="144"/>
      <c r="GL38" s="144"/>
      <c r="GM38" s="144"/>
      <c r="GN38" s="144"/>
      <c r="GO38" s="144"/>
      <c r="GP38" s="144"/>
      <c r="GQ38" s="144"/>
      <c r="GR38" s="144"/>
      <c r="GS38" s="144"/>
      <c r="GT38" s="144"/>
      <c r="GU38" s="144"/>
      <c r="GV38" s="144"/>
      <c r="GW38" s="144"/>
      <c r="GX38" s="144"/>
      <c r="GY38" s="144"/>
      <c r="GZ38" s="144"/>
      <c r="HA38" s="144"/>
      <c r="HB38" s="144"/>
      <c r="HC38" s="144"/>
      <c r="HD38" s="144"/>
      <c r="HE38" s="144"/>
      <c r="HF38" s="144"/>
      <c r="HG38" s="144"/>
      <c r="HH38" s="144"/>
      <c r="HI38" s="144"/>
      <c r="HJ38" s="144"/>
      <c r="HK38" s="144"/>
      <c r="HL38" s="144"/>
      <c r="HM38" s="144"/>
      <c r="HN38" s="144"/>
      <c r="HO38" s="144"/>
      <c r="HP38" s="144"/>
      <c r="HQ38" s="144"/>
      <c r="HR38" s="144"/>
      <c r="HS38" s="144"/>
      <c r="HT38" s="144"/>
      <c r="HU38" s="144"/>
      <c r="HV38" s="144"/>
      <c r="HW38" s="144"/>
      <c r="HX38" s="144"/>
      <c r="HY38" s="144"/>
      <c r="HZ38" s="144"/>
      <c r="IA38" s="144"/>
      <c r="IB38" s="144"/>
      <c r="IC38" s="144"/>
      <c r="ID38" s="144"/>
      <c r="IE38" s="144"/>
      <c r="IF38" s="144"/>
      <c r="IG38" s="144"/>
    </row>
    <row r="39" spans="1:241" ht="15.65" customHeight="1">
      <c r="A39" s="146" t="s">
        <v>710</v>
      </c>
      <c r="B39" s="1128">
        <f t="shared" ref="B39:H39" si="2">SUM(B21:B37)</f>
        <v>0</v>
      </c>
      <c r="C39" s="1128">
        <f t="shared" si="2"/>
        <v>0</v>
      </c>
      <c r="D39" s="1128">
        <f t="shared" si="2"/>
        <v>0</v>
      </c>
      <c r="E39" s="1128">
        <f t="shared" si="2"/>
        <v>0</v>
      </c>
      <c r="F39" s="1128">
        <f t="shared" si="2"/>
        <v>0</v>
      </c>
      <c r="G39" s="1128">
        <f t="shared" si="2"/>
        <v>822377140.20000005</v>
      </c>
      <c r="H39" s="1128">
        <f t="shared" si="2"/>
        <v>1294169628.1300001</v>
      </c>
      <c r="I39" s="1128">
        <v>1568171000</v>
      </c>
      <c r="J39" s="1128">
        <v>1667381000</v>
      </c>
      <c r="K39" s="1128">
        <v>1688907000</v>
      </c>
      <c r="L39" s="149"/>
      <c r="M39" s="1123">
        <f>(K39/J39)-1</f>
        <v>1.2910066745392967E-2</v>
      </c>
      <c r="N39" s="1406"/>
      <c r="O39" s="582"/>
      <c r="P39" s="582"/>
      <c r="Q39" s="582"/>
      <c r="R39" s="582"/>
      <c r="T39" s="592"/>
      <c r="U39" s="582"/>
      <c r="V39" s="583"/>
      <c r="W39" s="582"/>
      <c r="X39" s="582"/>
      <c r="Y39" s="582"/>
      <c r="Z39" s="582"/>
      <c r="AA39" s="582"/>
      <c r="AB39" s="582"/>
      <c r="AC39" s="582"/>
      <c r="AD39" s="582"/>
      <c r="AE39" s="582"/>
      <c r="AF39" s="582"/>
      <c r="AG39" s="582"/>
      <c r="AH39" s="582"/>
      <c r="AI39" s="582"/>
      <c r="AJ39" s="582"/>
      <c r="AK39" s="582"/>
      <c r="AL39" s="582"/>
      <c r="AM39" s="582"/>
      <c r="AN39" s="582"/>
      <c r="AO39" s="582"/>
      <c r="AP39" s="582"/>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c r="DE39" s="144"/>
      <c r="DF39" s="144"/>
      <c r="DG39" s="144"/>
      <c r="DH39" s="144"/>
      <c r="DI39" s="144"/>
      <c r="DJ39" s="144"/>
      <c r="DK39" s="144"/>
      <c r="DL39" s="144"/>
      <c r="DM39" s="144"/>
      <c r="DN39" s="144"/>
      <c r="DO39" s="144"/>
      <c r="DP39" s="144"/>
      <c r="DQ39" s="144"/>
      <c r="DR39" s="144"/>
      <c r="DS39" s="144"/>
      <c r="DT39" s="144"/>
      <c r="DU39" s="144"/>
      <c r="DV39" s="144"/>
      <c r="DW39" s="144"/>
      <c r="DX39" s="144"/>
      <c r="DY39" s="144"/>
      <c r="DZ39" s="144"/>
      <c r="EA39" s="144"/>
      <c r="EB39" s="144"/>
      <c r="EC39" s="144"/>
      <c r="ED39" s="144"/>
      <c r="EE39" s="144"/>
      <c r="EF39" s="144"/>
      <c r="EG39" s="144"/>
      <c r="EH39" s="144"/>
      <c r="EI39" s="144"/>
      <c r="EJ39" s="144"/>
      <c r="EK39" s="144"/>
      <c r="EL39" s="144"/>
      <c r="EM39" s="144"/>
      <c r="EN39" s="144"/>
      <c r="EO39" s="144"/>
      <c r="EP39" s="144"/>
      <c r="EQ39" s="144"/>
      <c r="ER39" s="144"/>
      <c r="ES39" s="144"/>
      <c r="ET39" s="144"/>
      <c r="EU39" s="144"/>
      <c r="EV39" s="144"/>
      <c r="EW39" s="144"/>
      <c r="EX39" s="144"/>
      <c r="EY39" s="144"/>
      <c r="EZ39" s="144"/>
      <c r="FA39" s="144"/>
      <c r="FB39" s="144"/>
      <c r="FC39" s="144"/>
      <c r="FD39" s="144"/>
      <c r="FE39" s="144"/>
      <c r="FF39" s="144"/>
      <c r="FG39" s="144"/>
      <c r="FH39" s="144"/>
      <c r="FI39" s="144"/>
      <c r="FJ39" s="144"/>
      <c r="FK39" s="144"/>
      <c r="FL39" s="144"/>
      <c r="FM39" s="144"/>
      <c r="FN39" s="144"/>
      <c r="FO39" s="144"/>
      <c r="FP39" s="144"/>
      <c r="FQ39" s="144"/>
      <c r="FR39" s="144"/>
      <c r="FS39" s="144"/>
      <c r="FT39" s="144"/>
      <c r="FU39" s="144"/>
      <c r="FV39" s="144"/>
      <c r="FW39" s="144"/>
      <c r="FX39" s="144"/>
      <c r="FY39" s="144"/>
      <c r="FZ39" s="144"/>
      <c r="GA39" s="144"/>
      <c r="GB39" s="144"/>
      <c r="GC39" s="144"/>
      <c r="GD39" s="144"/>
      <c r="GE39" s="144"/>
      <c r="GF39" s="144"/>
      <c r="GG39" s="144"/>
      <c r="GH39" s="144"/>
      <c r="GI39" s="144"/>
      <c r="GJ39" s="144"/>
      <c r="GK39" s="144"/>
      <c r="GL39" s="144"/>
      <c r="GM39" s="144"/>
      <c r="GN39" s="144"/>
      <c r="GO39" s="144"/>
      <c r="GP39" s="144"/>
      <c r="GQ39" s="144"/>
      <c r="GR39" s="144"/>
      <c r="GS39" s="144"/>
      <c r="GT39" s="144"/>
      <c r="GU39" s="144"/>
      <c r="GV39" s="144"/>
      <c r="GW39" s="144"/>
      <c r="GX39" s="144"/>
      <c r="GY39" s="144"/>
      <c r="GZ39" s="144"/>
      <c r="HA39" s="144"/>
      <c r="HB39" s="144"/>
      <c r="HC39" s="144"/>
      <c r="HD39" s="144"/>
      <c r="HE39" s="144"/>
      <c r="HF39" s="144"/>
      <c r="HG39" s="144"/>
      <c r="HH39" s="144"/>
      <c r="HI39" s="144"/>
      <c r="HJ39" s="144"/>
      <c r="HK39" s="144"/>
      <c r="HL39" s="144"/>
      <c r="HM39" s="144"/>
      <c r="HN39" s="144"/>
      <c r="HO39" s="144"/>
      <c r="HP39" s="144"/>
      <c r="HQ39" s="144"/>
      <c r="HR39" s="144"/>
      <c r="HS39" s="144"/>
      <c r="HT39" s="144"/>
      <c r="HU39" s="144"/>
      <c r="HV39" s="144"/>
      <c r="HW39" s="144"/>
      <c r="HX39" s="144"/>
      <c r="HY39" s="144"/>
      <c r="HZ39" s="144"/>
      <c r="IA39" s="144"/>
      <c r="IB39" s="144"/>
      <c r="IC39" s="144"/>
      <c r="ID39" s="144"/>
      <c r="IE39" s="144"/>
      <c r="IF39" s="144"/>
      <c r="IG39" s="144"/>
    </row>
    <row r="40" spans="1:241" ht="6" customHeight="1">
      <c r="A40" s="150"/>
      <c r="B40" s="1129"/>
      <c r="C40" s="1129"/>
      <c r="D40" s="1129"/>
      <c r="E40" s="1129"/>
      <c r="F40" s="1129"/>
      <c r="G40" s="1129"/>
      <c r="H40" s="1129"/>
      <c r="I40" s="1130"/>
      <c r="J40" s="1130"/>
      <c r="K40" s="1130"/>
      <c r="M40" s="1121"/>
      <c r="N40" s="1398"/>
      <c r="O40" s="591"/>
      <c r="P40" s="582"/>
      <c r="Q40" s="582"/>
      <c r="R40" s="582"/>
      <c r="T40" s="592"/>
      <c r="U40" s="582"/>
      <c r="V40" s="583"/>
      <c r="W40" s="582"/>
      <c r="X40" s="582"/>
      <c r="Y40" s="582"/>
      <c r="Z40" s="582"/>
      <c r="AA40" s="582"/>
      <c r="AB40" s="582"/>
      <c r="AC40" s="582"/>
      <c r="AD40" s="582"/>
      <c r="AE40" s="582"/>
      <c r="AF40" s="582"/>
      <c r="AG40" s="582"/>
      <c r="AH40" s="582"/>
      <c r="AI40" s="582"/>
      <c r="AJ40" s="582"/>
      <c r="AK40" s="582"/>
      <c r="AL40" s="582"/>
      <c r="AM40" s="582"/>
      <c r="AN40" s="582"/>
      <c r="AO40" s="582"/>
      <c r="AP40" s="582"/>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c r="BV40" s="144"/>
      <c r="BW40" s="144"/>
      <c r="BX40" s="144"/>
      <c r="BY40" s="144"/>
      <c r="BZ40" s="144"/>
      <c r="CA40" s="144"/>
      <c r="CB40" s="144"/>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c r="DE40" s="144"/>
      <c r="DF40" s="144"/>
      <c r="DG40" s="144"/>
      <c r="DH40" s="144"/>
      <c r="DI40" s="144"/>
      <c r="DJ40" s="144"/>
      <c r="DK40" s="144"/>
      <c r="DL40" s="144"/>
      <c r="DM40" s="144"/>
      <c r="DN40" s="144"/>
      <c r="DO40" s="144"/>
      <c r="DP40" s="144"/>
      <c r="DQ40" s="144"/>
      <c r="DR40" s="144"/>
      <c r="DS40" s="144"/>
      <c r="DT40" s="144"/>
      <c r="DU40" s="144"/>
      <c r="DV40" s="144"/>
      <c r="DW40" s="144"/>
      <c r="DX40" s="144"/>
      <c r="DY40" s="144"/>
      <c r="DZ40" s="144"/>
      <c r="EA40" s="144"/>
      <c r="EB40" s="144"/>
      <c r="EC40" s="144"/>
      <c r="ED40" s="144"/>
      <c r="EE40" s="144"/>
      <c r="EF40" s="144"/>
      <c r="EG40" s="144"/>
      <c r="EH40" s="144"/>
      <c r="EI40" s="144"/>
      <c r="EJ40" s="144"/>
      <c r="EK40" s="144"/>
      <c r="EL40" s="144"/>
      <c r="EM40" s="144"/>
      <c r="EN40" s="144"/>
      <c r="EO40" s="144"/>
      <c r="EP40" s="144"/>
      <c r="EQ40" s="144"/>
      <c r="ER40" s="144"/>
      <c r="ES40" s="144"/>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4"/>
      <c r="GD40" s="144"/>
      <c r="GE40" s="144"/>
      <c r="GF40" s="144"/>
      <c r="GG40" s="144"/>
      <c r="GH40" s="144"/>
      <c r="GI40" s="144"/>
      <c r="GJ40" s="144"/>
      <c r="GK40" s="144"/>
      <c r="GL40" s="144"/>
      <c r="GM40" s="144"/>
      <c r="GN40" s="144"/>
      <c r="GO40" s="144"/>
      <c r="GP40" s="144"/>
      <c r="GQ40" s="144"/>
      <c r="GR40" s="144"/>
      <c r="GS40" s="144"/>
      <c r="GT40" s="144"/>
      <c r="GU40" s="144"/>
      <c r="GV40" s="144"/>
      <c r="GW40" s="144"/>
      <c r="GX40" s="144"/>
      <c r="GY40" s="144"/>
      <c r="GZ40" s="144"/>
      <c r="HA40" s="144"/>
      <c r="HB40" s="144"/>
      <c r="HC40" s="144"/>
      <c r="HD40" s="144"/>
      <c r="HE40" s="144"/>
      <c r="HF40" s="144"/>
      <c r="HG40" s="144"/>
      <c r="HH40" s="144"/>
      <c r="HI40" s="144"/>
      <c r="HJ40" s="144"/>
      <c r="HK40" s="144"/>
      <c r="HL40" s="144"/>
      <c r="HM40" s="144"/>
      <c r="HN40" s="144"/>
      <c r="HO40" s="144"/>
      <c r="HP40" s="144"/>
      <c r="HQ40" s="144"/>
      <c r="HR40" s="144"/>
      <c r="HS40" s="144"/>
      <c r="HT40" s="144"/>
      <c r="HU40" s="144"/>
      <c r="HV40" s="144"/>
      <c r="HW40" s="144"/>
      <c r="HX40" s="144"/>
      <c r="HY40" s="144"/>
      <c r="HZ40" s="144"/>
      <c r="IA40" s="144"/>
      <c r="IB40" s="144"/>
      <c r="IC40" s="144"/>
      <c r="ID40" s="144"/>
      <c r="IE40" s="144"/>
      <c r="IF40" s="144"/>
      <c r="IG40" s="144"/>
    </row>
    <row r="41" spans="1:241">
      <c r="A41" s="151" t="s">
        <v>0</v>
      </c>
      <c r="B41" s="1131">
        <f t="shared" ref="B41:F41" si="3">SUM(B18,B39)</f>
        <v>15733790000</v>
      </c>
      <c r="C41" s="1131">
        <f t="shared" si="3"/>
        <v>17069018000</v>
      </c>
      <c r="D41" s="1131">
        <f t="shared" si="3"/>
        <v>17348564000</v>
      </c>
      <c r="E41" s="1131">
        <f t="shared" si="3"/>
        <v>18001810000</v>
      </c>
      <c r="F41" s="1131">
        <f t="shared" si="3"/>
        <v>19188948000</v>
      </c>
      <c r="G41" s="1131">
        <f>SUM(G18,G39)</f>
        <v>21375414140.200001</v>
      </c>
      <c r="H41" s="1131">
        <f>SUM(H18,H39)</f>
        <v>22237847628.130001</v>
      </c>
      <c r="I41" s="1132">
        <f>SUM(I18,I39)</f>
        <v>25626936000</v>
      </c>
      <c r="J41" s="1132">
        <f>SUM(J18,J39)</f>
        <v>29729113000</v>
      </c>
      <c r="K41" s="1132">
        <f>SUM(K18,K39)</f>
        <v>28359087000</v>
      </c>
      <c r="L41" s="152"/>
      <c r="M41" s="1124">
        <f>(K41/J41)-1</f>
        <v>-4.6083648711618186E-2</v>
      </c>
      <c r="N41" s="1406"/>
      <c r="O41" s="582"/>
      <c r="P41" s="582"/>
      <c r="Q41" s="582"/>
      <c r="R41" s="582"/>
      <c r="T41" s="592"/>
      <c r="U41" s="582"/>
      <c r="V41" s="583"/>
      <c r="W41" s="582"/>
      <c r="X41" s="582"/>
      <c r="Y41" s="582"/>
      <c r="Z41" s="582"/>
      <c r="AA41" s="582"/>
      <c r="AB41" s="582"/>
      <c r="AC41" s="582"/>
      <c r="AD41" s="582"/>
      <c r="AE41" s="582"/>
      <c r="AF41" s="582"/>
      <c r="AG41" s="582"/>
      <c r="AH41" s="582"/>
      <c r="AI41" s="582"/>
      <c r="AJ41" s="582"/>
      <c r="AK41" s="582"/>
      <c r="AL41" s="582"/>
      <c r="AM41" s="582"/>
      <c r="AN41" s="582"/>
      <c r="AO41" s="582"/>
      <c r="AP41" s="582"/>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4"/>
      <c r="BR41" s="144"/>
      <c r="BS41" s="144"/>
      <c r="BT41" s="144"/>
      <c r="BU41" s="144"/>
      <c r="BV41" s="144"/>
      <c r="BW41" s="144"/>
      <c r="BX41" s="144"/>
      <c r="BY41" s="144"/>
      <c r="BZ41" s="144"/>
      <c r="CA41" s="144"/>
      <c r="CB41" s="144"/>
      <c r="CC41" s="144"/>
      <c r="CD41" s="144"/>
      <c r="CE41" s="144"/>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c r="DC41" s="144"/>
      <c r="DD41" s="144"/>
      <c r="DE41" s="144"/>
      <c r="DF41" s="144"/>
      <c r="DG41" s="144"/>
      <c r="DH41" s="144"/>
      <c r="DI41" s="144"/>
      <c r="DJ41" s="144"/>
      <c r="DK41" s="144"/>
      <c r="DL41" s="144"/>
      <c r="DM41" s="144"/>
      <c r="DN41" s="144"/>
      <c r="DO41" s="144"/>
      <c r="DP41" s="144"/>
      <c r="DQ41" s="144"/>
      <c r="DR41" s="144"/>
      <c r="DS41" s="144"/>
      <c r="DT41" s="144"/>
      <c r="DU41" s="144"/>
      <c r="DV41" s="144"/>
      <c r="DW41" s="144"/>
      <c r="DX41" s="144"/>
      <c r="DY41" s="144"/>
      <c r="DZ41" s="144"/>
      <c r="EA41" s="144"/>
      <c r="EB41" s="144"/>
      <c r="EC41" s="144"/>
      <c r="ED41" s="144"/>
      <c r="EE41" s="144"/>
      <c r="EF41" s="144"/>
      <c r="EG41" s="144"/>
      <c r="EH41" s="144"/>
      <c r="EI41" s="144"/>
      <c r="EJ41" s="144"/>
      <c r="EK41" s="144"/>
      <c r="EL41" s="144"/>
      <c r="EM41" s="144"/>
      <c r="EN41" s="144"/>
      <c r="EO41" s="144"/>
      <c r="EP41" s="144"/>
      <c r="EQ41" s="144"/>
      <c r="ER41" s="144"/>
      <c r="ES41" s="144"/>
      <c r="ET41" s="144"/>
      <c r="EU41" s="144"/>
      <c r="EV41" s="144"/>
      <c r="EW41" s="144"/>
      <c r="EX41" s="144"/>
      <c r="EY41" s="144"/>
      <c r="EZ41" s="144"/>
      <c r="FA41" s="144"/>
      <c r="FB41" s="144"/>
      <c r="FC41" s="144"/>
      <c r="FD41" s="144"/>
      <c r="FE41" s="144"/>
      <c r="FF41" s="144"/>
      <c r="FG41" s="144"/>
      <c r="FH41" s="144"/>
      <c r="FI41" s="144"/>
      <c r="FJ41" s="144"/>
      <c r="FK41" s="144"/>
      <c r="FL41" s="144"/>
      <c r="FM41" s="144"/>
      <c r="FN41" s="144"/>
      <c r="FO41" s="144"/>
      <c r="FP41" s="144"/>
      <c r="FQ41" s="144"/>
      <c r="FR41" s="144"/>
      <c r="FS41" s="144"/>
      <c r="FT41" s="144"/>
      <c r="FU41" s="144"/>
      <c r="FV41" s="144"/>
      <c r="FW41" s="144"/>
      <c r="FX41" s="144"/>
      <c r="FY41" s="144"/>
      <c r="FZ41" s="144"/>
      <c r="GA41" s="144"/>
      <c r="GB41" s="144"/>
      <c r="GC41" s="144"/>
      <c r="GD41" s="144"/>
      <c r="GE41" s="144"/>
      <c r="GF41" s="144"/>
      <c r="GG41" s="144"/>
      <c r="GH41" s="144"/>
      <c r="GI41" s="144"/>
      <c r="GJ41" s="144"/>
      <c r="GK41" s="144"/>
      <c r="GL41" s="144"/>
      <c r="GM41" s="144"/>
      <c r="GN41" s="144"/>
      <c r="GO41" s="144"/>
      <c r="GP41" s="144"/>
      <c r="GQ41" s="144"/>
      <c r="GR41" s="144"/>
      <c r="GS41" s="144"/>
      <c r="GT41" s="144"/>
      <c r="GU41" s="144"/>
      <c r="GV41" s="144"/>
      <c r="GW41" s="144"/>
      <c r="GX41" s="144"/>
      <c r="GY41" s="144"/>
      <c r="GZ41" s="144"/>
      <c r="HA41" s="144"/>
      <c r="HB41" s="144"/>
      <c r="HC41" s="144"/>
      <c r="HD41" s="144"/>
      <c r="HE41" s="144"/>
      <c r="HF41" s="144"/>
      <c r="HG41" s="144"/>
      <c r="HH41" s="144"/>
      <c r="HI41" s="144"/>
      <c r="HJ41" s="144"/>
      <c r="HK41" s="144"/>
      <c r="HL41" s="144"/>
      <c r="HM41" s="144"/>
      <c r="HN41" s="144"/>
      <c r="HO41" s="144"/>
      <c r="HP41" s="144"/>
      <c r="HQ41" s="144"/>
      <c r="HR41" s="144"/>
      <c r="HS41" s="144"/>
      <c r="HT41" s="144"/>
      <c r="HU41" s="144"/>
      <c r="HV41" s="144"/>
      <c r="HW41" s="144"/>
      <c r="HX41" s="144"/>
      <c r="HY41" s="144"/>
      <c r="HZ41" s="144"/>
      <c r="IA41" s="144"/>
      <c r="IB41" s="144"/>
      <c r="IC41" s="144"/>
      <c r="ID41" s="144"/>
      <c r="IE41" s="144"/>
      <c r="IF41" s="144"/>
      <c r="IG41" s="144"/>
    </row>
    <row r="42" spans="1:241" ht="6" customHeight="1">
      <c r="N42" s="1407"/>
      <c r="O42" s="582"/>
      <c r="P42" s="582"/>
      <c r="Q42" s="582"/>
      <c r="R42" s="582"/>
      <c r="T42" s="592"/>
      <c r="U42" s="582"/>
      <c r="V42" s="582"/>
      <c r="W42" s="582"/>
      <c r="X42" s="582"/>
      <c r="Y42" s="582"/>
      <c r="Z42" s="582"/>
      <c r="AA42" s="590"/>
      <c r="AB42" s="582"/>
      <c r="AC42" s="582"/>
      <c r="AD42" s="582"/>
      <c r="AE42" s="582"/>
      <c r="AF42" s="582"/>
      <c r="AG42" s="582"/>
      <c r="AH42" s="582"/>
      <c r="AI42" s="582"/>
      <c r="AJ42" s="582"/>
      <c r="AK42" s="582"/>
      <c r="AL42" s="582"/>
      <c r="AM42" s="582"/>
      <c r="AN42" s="582"/>
      <c r="AO42" s="582"/>
      <c r="AP42" s="582"/>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c r="DE42" s="144"/>
      <c r="DF42" s="144"/>
      <c r="DG42" s="144"/>
      <c r="DH42" s="144"/>
      <c r="DI42" s="144"/>
      <c r="DJ42" s="144"/>
      <c r="DK42" s="144"/>
      <c r="DL42" s="144"/>
      <c r="DM42" s="144"/>
      <c r="DN42" s="144"/>
      <c r="DO42" s="144"/>
      <c r="DP42" s="144"/>
      <c r="DQ42" s="144"/>
      <c r="DR42" s="144"/>
      <c r="DS42" s="144"/>
      <c r="DT42" s="144"/>
      <c r="DU42" s="144"/>
      <c r="DV42" s="144"/>
      <c r="DW42" s="144"/>
      <c r="DX42" s="144"/>
      <c r="DY42" s="144"/>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c r="GT42" s="144"/>
      <c r="GU42" s="144"/>
      <c r="GV42" s="144"/>
      <c r="GW42" s="144"/>
      <c r="GX42" s="144"/>
      <c r="GY42" s="144"/>
      <c r="GZ42" s="144"/>
      <c r="HA42" s="144"/>
      <c r="HB42" s="144"/>
      <c r="HC42" s="144"/>
      <c r="HD42" s="144"/>
      <c r="HE42" s="144"/>
      <c r="HF42" s="144"/>
      <c r="HG42" s="144"/>
      <c r="HH42" s="144"/>
      <c r="HI42" s="144"/>
      <c r="HJ42" s="144"/>
      <c r="HK42" s="144"/>
      <c r="HL42" s="144"/>
      <c r="HM42" s="144"/>
      <c r="HN42" s="144"/>
      <c r="HO42" s="144"/>
      <c r="HP42" s="144"/>
      <c r="HQ42" s="144"/>
      <c r="HR42" s="144"/>
      <c r="HS42" s="144"/>
      <c r="HT42" s="144"/>
      <c r="HU42" s="144"/>
      <c r="HV42" s="144"/>
      <c r="HW42" s="144"/>
      <c r="HX42" s="144"/>
      <c r="HY42" s="144"/>
      <c r="HZ42" s="144"/>
      <c r="IA42" s="144"/>
      <c r="IB42" s="144"/>
      <c r="IC42" s="144"/>
      <c r="ID42" s="144"/>
      <c r="IE42" s="144"/>
      <c r="IF42" s="144"/>
      <c r="IG42" s="144"/>
    </row>
    <row r="43" spans="1:241" ht="6" customHeight="1">
      <c r="A43" s="144"/>
      <c r="I43" s="221"/>
      <c r="J43" s="221"/>
      <c r="K43" s="221"/>
      <c r="M43" s="590"/>
      <c r="N43" s="1408"/>
      <c r="O43" s="582"/>
      <c r="P43" s="582"/>
      <c r="Q43" s="582"/>
      <c r="R43" s="582"/>
      <c r="T43" s="583"/>
      <c r="U43" s="582"/>
      <c r="V43" s="582"/>
      <c r="W43" s="582"/>
      <c r="X43" s="582"/>
      <c r="Y43" s="582"/>
      <c r="Z43" s="582"/>
      <c r="AA43" s="582"/>
      <c r="AB43" s="582"/>
      <c r="AC43" s="582"/>
      <c r="AD43" s="582"/>
      <c r="AE43" s="582"/>
      <c r="AF43" s="582"/>
      <c r="AG43" s="582"/>
      <c r="AH43" s="582"/>
      <c r="AI43" s="582"/>
      <c r="AJ43" s="582"/>
      <c r="AK43" s="582"/>
      <c r="AL43" s="582"/>
      <c r="AM43" s="582"/>
      <c r="AN43" s="582"/>
      <c r="AO43" s="582"/>
      <c r="AP43" s="582"/>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4"/>
      <c r="BR43" s="144"/>
      <c r="BS43" s="144"/>
      <c r="BT43" s="144"/>
      <c r="BU43" s="144"/>
      <c r="BV43" s="144"/>
      <c r="BW43" s="144"/>
      <c r="BX43" s="144"/>
      <c r="BY43" s="144"/>
      <c r="BZ43" s="144"/>
      <c r="CA43" s="144"/>
      <c r="CB43" s="144"/>
      <c r="CC43" s="144"/>
      <c r="CD43" s="144"/>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c r="DC43" s="144"/>
      <c r="DD43" s="144"/>
      <c r="DE43" s="144"/>
      <c r="DF43" s="144"/>
      <c r="DG43" s="144"/>
      <c r="DH43" s="144"/>
      <c r="DI43" s="144"/>
      <c r="DJ43" s="144"/>
      <c r="DK43" s="144"/>
      <c r="DL43" s="144"/>
      <c r="DM43" s="144"/>
      <c r="DN43" s="144"/>
      <c r="DO43" s="144"/>
      <c r="DP43" s="144"/>
      <c r="DQ43" s="144"/>
      <c r="DR43" s="144"/>
      <c r="DS43" s="144"/>
      <c r="DT43" s="144"/>
      <c r="DU43" s="144"/>
      <c r="DV43" s="144"/>
      <c r="DW43" s="144"/>
      <c r="DX43" s="144"/>
      <c r="DY43" s="144"/>
      <c r="DZ43" s="144"/>
      <c r="EA43" s="144"/>
      <c r="EB43" s="144"/>
      <c r="EC43" s="144"/>
      <c r="ED43" s="144"/>
      <c r="EE43" s="144"/>
      <c r="EF43" s="144"/>
      <c r="EG43" s="144"/>
      <c r="EH43" s="144"/>
      <c r="EI43" s="144"/>
      <c r="EJ43" s="144"/>
      <c r="EK43" s="144"/>
      <c r="EL43" s="144"/>
      <c r="EM43" s="144"/>
      <c r="EN43" s="144"/>
      <c r="EO43" s="144"/>
      <c r="EP43" s="144"/>
      <c r="EQ43" s="144"/>
      <c r="ER43" s="144"/>
      <c r="ES43" s="144"/>
      <c r="ET43" s="144"/>
      <c r="EU43" s="144"/>
      <c r="EV43" s="144"/>
      <c r="EW43" s="144"/>
      <c r="EX43" s="144"/>
      <c r="EY43" s="144"/>
      <c r="EZ43" s="144"/>
      <c r="FA43" s="144"/>
      <c r="FB43" s="144"/>
      <c r="FC43" s="144"/>
      <c r="FD43" s="144"/>
      <c r="FE43" s="144"/>
      <c r="FF43" s="144"/>
      <c r="FG43" s="144"/>
      <c r="FH43" s="144"/>
      <c r="FI43" s="144"/>
      <c r="FJ43" s="144"/>
      <c r="FK43" s="144"/>
      <c r="FL43" s="144"/>
      <c r="FM43" s="144"/>
      <c r="FN43" s="144"/>
      <c r="FO43" s="144"/>
      <c r="FP43" s="144"/>
      <c r="FQ43" s="144"/>
      <c r="FR43" s="144"/>
      <c r="FS43" s="144"/>
      <c r="FT43" s="144"/>
      <c r="FU43" s="144"/>
      <c r="FV43" s="144"/>
      <c r="FW43" s="144"/>
      <c r="FX43" s="144"/>
      <c r="FY43" s="144"/>
      <c r="FZ43" s="144"/>
      <c r="GA43" s="144"/>
      <c r="GB43" s="144"/>
      <c r="GC43" s="144"/>
      <c r="GD43" s="144"/>
      <c r="GE43" s="144"/>
      <c r="GF43" s="144"/>
      <c r="GG43" s="144"/>
      <c r="GH43" s="144"/>
      <c r="GI43" s="144"/>
      <c r="GJ43" s="144"/>
      <c r="GK43" s="144"/>
      <c r="GL43" s="144"/>
      <c r="GM43" s="144"/>
      <c r="GN43" s="144"/>
      <c r="GO43" s="144"/>
      <c r="GP43" s="144"/>
      <c r="GQ43" s="144"/>
      <c r="GR43" s="144"/>
      <c r="GS43" s="144"/>
      <c r="GT43" s="144"/>
      <c r="GU43" s="144"/>
      <c r="GV43" s="144"/>
      <c r="GW43" s="144"/>
      <c r="GX43" s="144"/>
      <c r="GY43" s="144"/>
      <c r="GZ43" s="144"/>
      <c r="HA43" s="144"/>
      <c r="HB43" s="144"/>
      <c r="HC43" s="144"/>
      <c r="HD43" s="144"/>
      <c r="HE43" s="144"/>
      <c r="HF43" s="144"/>
      <c r="HG43" s="144"/>
      <c r="HH43" s="144"/>
      <c r="HI43" s="144"/>
      <c r="HJ43" s="144"/>
      <c r="HK43" s="144"/>
      <c r="HL43" s="144"/>
      <c r="HM43" s="144"/>
      <c r="HN43" s="144"/>
      <c r="HO43" s="144"/>
      <c r="HP43" s="144"/>
      <c r="HQ43" s="144"/>
      <c r="HR43" s="144"/>
      <c r="HS43" s="144"/>
      <c r="HT43" s="144"/>
      <c r="HU43" s="144"/>
      <c r="HV43" s="144"/>
      <c r="HW43" s="144"/>
      <c r="HX43" s="144"/>
      <c r="HY43" s="144"/>
      <c r="HZ43" s="144"/>
      <c r="IA43" s="144"/>
      <c r="IB43" s="144"/>
      <c r="IC43" s="144"/>
      <c r="ID43" s="144"/>
      <c r="IE43" s="144"/>
      <c r="IF43" s="144"/>
      <c r="IG43" s="144"/>
    </row>
    <row r="44" spans="1:241" s="1531" customFormat="1" ht="13">
      <c r="A44" s="1530" t="s">
        <v>1</v>
      </c>
      <c r="H44" s="1532"/>
      <c r="I44" s="1532"/>
      <c r="J44" s="1532"/>
      <c r="M44" s="1533"/>
      <c r="N44" s="1534"/>
      <c r="O44" s="1535"/>
      <c r="P44" s="1535"/>
      <c r="Q44" s="1535"/>
      <c r="R44" s="1535"/>
      <c r="S44" s="1535"/>
      <c r="T44" s="1536"/>
      <c r="U44" s="1535"/>
      <c r="V44" s="1535"/>
      <c r="W44" s="1537"/>
      <c r="X44" s="1537"/>
      <c r="Y44" s="1538"/>
      <c r="Z44" s="1538"/>
      <c r="AA44" s="1538"/>
      <c r="AB44" s="1538"/>
      <c r="AC44" s="1538"/>
      <c r="AD44" s="1538"/>
      <c r="AE44" s="1535"/>
      <c r="AF44" s="1535"/>
      <c r="AG44" s="1535"/>
      <c r="AH44" s="1535"/>
      <c r="AI44" s="1535"/>
      <c r="AJ44" s="1535"/>
      <c r="AK44" s="1535"/>
      <c r="AL44" s="1535"/>
      <c r="AM44" s="1535"/>
      <c r="AN44" s="1535"/>
      <c r="AO44" s="1535"/>
      <c r="AP44" s="1535"/>
    </row>
    <row r="45" spans="1:241" s="1531" customFormat="1" ht="13">
      <c r="A45" s="1539" t="s">
        <v>1330</v>
      </c>
      <c r="B45" s="704"/>
      <c r="C45" s="704"/>
      <c r="D45" s="704"/>
      <c r="E45" s="704"/>
      <c r="F45" s="704"/>
      <c r="G45" s="704"/>
      <c r="H45" s="704"/>
      <c r="I45" s="704"/>
      <c r="J45" s="704"/>
      <c r="K45" s="704"/>
      <c r="L45" s="704"/>
      <c r="M45" s="1550"/>
      <c r="N45" s="1550"/>
      <c r="O45" s="1550"/>
      <c r="P45" s="1550"/>
      <c r="Q45" s="1550"/>
      <c r="R45" s="1550"/>
      <c r="S45" s="1535"/>
      <c r="T45" s="1543"/>
      <c r="U45" s="1535"/>
      <c r="V45" s="1535"/>
      <c r="W45" s="1549"/>
      <c r="X45" s="1549"/>
      <c r="Y45" s="1535"/>
      <c r="Z45" s="1535"/>
      <c r="AA45" s="1535"/>
      <c r="AB45" s="1535"/>
      <c r="AC45" s="1535"/>
      <c r="AD45" s="1535"/>
      <c r="AE45" s="1535"/>
      <c r="AF45" s="1535"/>
      <c r="AG45" s="1535"/>
      <c r="AH45" s="1535"/>
      <c r="AI45" s="1535"/>
      <c r="AJ45" s="1535"/>
      <c r="AK45" s="1535"/>
      <c r="AL45" s="1535"/>
      <c r="AM45" s="1535"/>
      <c r="AN45" s="1535"/>
      <c r="AO45" s="1535"/>
      <c r="AP45" s="1535"/>
    </row>
    <row r="46" spans="1:241" s="1531" customFormat="1" ht="13">
      <c r="A46" s="1539" t="s">
        <v>1342</v>
      </c>
      <c r="B46" s="1540"/>
      <c r="C46" s="1540"/>
      <c r="D46" s="1540"/>
      <c r="E46" s="1540"/>
      <c r="F46" s="1540"/>
      <c r="G46" s="1540"/>
      <c r="H46" s="1540"/>
      <c r="I46" s="1540"/>
      <c r="J46" s="1540"/>
      <c r="K46" s="1540"/>
      <c r="M46" s="1541"/>
      <c r="N46" s="1542"/>
      <c r="O46" s="1535"/>
      <c r="P46" s="1535"/>
      <c r="Q46" s="1535"/>
      <c r="R46" s="1535"/>
      <c r="S46" s="1535"/>
      <c r="T46" s="1543"/>
      <c r="U46" s="1535"/>
      <c r="V46" s="1535"/>
      <c r="W46" s="1535"/>
      <c r="X46" s="1537"/>
      <c r="Y46" s="1538"/>
      <c r="Z46" s="1538"/>
      <c r="AA46" s="1538"/>
      <c r="AB46" s="1538"/>
      <c r="AC46" s="1538"/>
      <c r="AD46" s="1538"/>
      <c r="AE46" s="1535"/>
      <c r="AF46" s="1535"/>
      <c r="AG46" s="1535"/>
      <c r="AH46" s="1535"/>
      <c r="AI46" s="1535"/>
      <c r="AJ46" s="1535"/>
      <c r="AK46" s="1535"/>
      <c r="AL46" s="1535"/>
      <c r="AM46" s="1535"/>
      <c r="AN46" s="1535"/>
      <c r="AO46" s="1535"/>
      <c r="AP46" s="1535"/>
    </row>
    <row r="47" spans="1:241" s="1531" customFormat="1" ht="13">
      <c r="A47" s="1567" t="s">
        <v>1333</v>
      </c>
      <c r="B47" s="1540"/>
      <c r="C47" s="1540"/>
      <c r="D47" s="1540"/>
      <c r="E47" s="1540"/>
      <c r="F47" s="1540"/>
      <c r="G47" s="1540"/>
      <c r="H47" s="1540"/>
      <c r="I47" s="1540"/>
      <c r="J47" s="1540"/>
      <c r="K47" s="1540"/>
      <c r="M47" s="1541"/>
      <c r="N47" s="1542"/>
      <c r="O47" s="1535"/>
      <c r="P47" s="1535"/>
      <c r="Q47" s="1535"/>
      <c r="R47" s="1535"/>
      <c r="S47" s="1535"/>
      <c r="T47" s="1543"/>
      <c r="U47" s="1535"/>
      <c r="V47" s="1535"/>
      <c r="W47" s="1535"/>
      <c r="X47" s="1537"/>
      <c r="Y47" s="1538"/>
      <c r="Z47" s="1538"/>
      <c r="AA47" s="1538"/>
      <c r="AB47" s="1538"/>
      <c r="AC47" s="1538"/>
      <c r="AD47" s="1538"/>
      <c r="AE47" s="1535"/>
      <c r="AF47" s="1535"/>
      <c r="AG47" s="1535"/>
      <c r="AH47" s="1535"/>
      <c r="AI47" s="1535"/>
      <c r="AJ47" s="1535"/>
      <c r="AK47" s="1535"/>
      <c r="AL47" s="1535"/>
      <c r="AM47" s="1535"/>
      <c r="AN47" s="1535"/>
      <c r="AO47" s="1535"/>
      <c r="AP47" s="1535"/>
    </row>
    <row r="48" spans="1:241" s="1531" customFormat="1" ht="13">
      <c r="A48" s="1545" t="s">
        <v>1334</v>
      </c>
      <c r="B48" s="1546"/>
      <c r="C48" s="1546"/>
      <c r="D48" s="1546"/>
      <c r="E48" s="1546"/>
      <c r="F48" s="1546"/>
      <c r="G48" s="1546"/>
      <c r="H48" s="1546"/>
      <c r="I48" s="1546"/>
      <c r="J48" s="1546"/>
      <c r="K48" s="1546"/>
      <c r="L48" s="1546"/>
      <c r="M48" s="1547"/>
      <c r="N48" s="1548"/>
      <c r="O48" s="1547"/>
      <c r="P48" s="1547"/>
      <c r="Q48" s="1535"/>
      <c r="R48" s="1535"/>
      <c r="S48" s="1535"/>
      <c r="T48" s="1543"/>
      <c r="U48" s="1535"/>
      <c r="V48" s="1535"/>
      <c r="W48" s="1549"/>
      <c r="X48" s="1549"/>
      <c r="Y48" s="1535"/>
      <c r="Z48" s="1535"/>
      <c r="AA48" s="1535"/>
      <c r="AB48" s="1535"/>
      <c r="AC48" s="1535"/>
      <c r="AD48" s="1535"/>
      <c r="AE48" s="1535"/>
      <c r="AF48" s="1535"/>
      <c r="AG48" s="1535"/>
      <c r="AH48" s="1535"/>
      <c r="AI48" s="1535"/>
      <c r="AJ48" s="1535"/>
      <c r="AK48" s="1535"/>
      <c r="AL48" s="1535"/>
      <c r="AM48" s="1535"/>
      <c r="AN48" s="1535"/>
      <c r="AO48" s="1535"/>
      <c r="AP48" s="1535"/>
    </row>
    <row r="49" spans="1:241" s="1531" customFormat="1" ht="13">
      <c r="A49" s="1539" t="s">
        <v>1336</v>
      </c>
      <c r="B49" s="1540"/>
      <c r="C49" s="1540"/>
      <c r="D49" s="1540"/>
      <c r="E49" s="1540"/>
      <c r="F49" s="1540"/>
      <c r="G49" s="1540"/>
      <c r="H49" s="1540"/>
      <c r="I49" s="1540"/>
      <c r="J49" s="1540"/>
      <c r="K49" s="1540"/>
      <c r="M49" s="1541"/>
      <c r="N49" s="1542"/>
      <c r="O49" s="1535"/>
      <c r="P49" s="1535"/>
      <c r="Q49" s="1535"/>
      <c r="R49" s="1535"/>
      <c r="S49" s="1535"/>
      <c r="T49" s="1543"/>
      <c r="U49" s="1535"/>
      <c r="V49" s="1535"/>
      <c r="W49" s="1535"/>
      <c r="X49" s="1533"/>
      <c r="Y49" s="1533"/>
      <c r="Z49" s="1533"/>
      <c r="AA49" s="1533"/>
      <c r="AB49" s="1533"/>
      <c r="AC49" s="1533"/>
      <c r="AD49" s="1533"/>
      <c r="AE49" s="1535"/>
      <c r="AF49" s="1535"/>
      <c r="AG49" s="1535"/>
      <c r="AH49" s="1535"/>
      <c r="AI49" s="1535"/>
      <c r="AJ49" s="1535"/>
      <c r="AK49" s="1535"/>
      <c r="AL49" s="1535"/>
      <c r="AM49" s="1535"/>
      <c r="AN49" s="1535"/>
      <c r="AO49" s="1535"/>
      <c r="AP49" s="1535"/>
    </row>
    <row r="50" spans="1:241" s="1531" customFormat="1" ht="13">
      <c r="A50" s="1539" t="s">
        <v>1337</v>
      </c>
      <c r="B50" s="1551"/>
      <c r="C50" s="1551"/>
      <c r="D50" s="1551"/>
      <c r="E50" s="1551"/>
      <c r="F50" s="1551"/>
      <c r="G50" s="1551"/>
      <c r="H50" s="1551"/>
      <c r="I50" s="1551"/>
      <c r="J50" s="1551"/>
      <c r="K50" s="1551"/>
      <c r="L50" s="1551"/>
      <c r="M50" s="1552"/>
      <c r="N50" s="1553"/>
      <c r="O50" s="1552"/>
      <c r="P50" s="1552"/>
      <c r="Q50" s="1535"/>
      <c r="R50" s="1535"/>
      <c r="S50" s="1535"/>
      <c r="T50" s="1543"/>
      <c r="U50" s="1535"/>
      <c r="V50" s="1535"/>
      <c r="W50" s="1535"/>
      <c r="X50" s="1535"/>
      <c r="Y50" s="1535"/>
      <c r="Z50" s="1535"/>
      <c r="AA50" s="1535"/>
      <c r="AB50" s="1535"/>
      <c r="AC50" s="1535"/>
      <c r="AD50" s="1535"/>
      <c r="AE50" s="1535"/>
      <c r="AF50" s="1535"/>
      <c r="AG50" s="1535"/>
      <c r="AH50" s="1535"/>
      <c r="AI50" s="1535"/>
      <c r="AJ50" s="1535"/>
      <c r="AK50" s="1535"/>
      <c r="AL50" s="1535"/>
      <c r="AM50" s="1535"/>
      <c r="AN50" s="1535"/>
      <c r="AO50" s="1535"/>
      <c r="AP50" s="1535"/>
    </row>
    <row r="51" spans="1:241" s="1531" customFormat="1" ht="13">
      <c r="A51" s="1554" t="s">
        <v>1211</v>
      </c>
      <c r="B51" s="1551"/>
      <c r="C51" s="1551"/>
      <c r="D51" s="1551"/>
      <c r="E51" s="1551"/>
      <c r="F51" s="1551"/>
      <c r="G51" s="1551"/>
      <c r="H51" s="1551"/>
      <c r="I51" s="1551"/>
      <c r="J51" s="1551"/>
      <c r="K51" s="1551"/>
      <c r="L51" s="1551"/>
      <c r="M51" s="1552"/>
      <c r="N51" s="1553"/>
      <c r="O51" s="1552"/>
      <c r="P51" s="1552"/>
      <c r="Q51" s="1535"/>
      <c r="R51" s="1535"/>
      <c r="S51" s="1535"/>
      <c r="T51" s="1543"/>
      <c r="U51" s="1535"/>
      <c r="V51" s="1535"/>
      <c r="W51" s="1535"/>
      <c r="X51" s="1535"/>
      <c r="Y51" s="1535"/>
      <c r="Z51" s="1535"/>
      <c r="AA51" s="1535"/>
      <c r="AB51" s="1535"/>
      <c r="AC51" s="1535"/>
      <c r="AD51" s="1535"/>
      <c r="AE51" s="1535"/>
      <c r="AF51" s="1535"/>
      <c r="AG51" s="1535"/>
      <c r="AH51" s="1535"/>
      <c r="AI51" s="1535"/>
      <c r="AJ51" s="1535"/>
      <c r="AK51" s="1535"/>
      <c r="AL51" s="1535"/>
      <c r="AM51" s="1535"/>
      <c r="AN51" s="1535"/>
      <c r="AO51" s="1535"/>
      <c r="AP51" s="1535"/>
    </row>
    <row r="52" spans="1:241" s="1560" customFormat="1" ht="13">
      <c r="A52" s="1555" t="s">
        <v>1339</v>
      </c>
      <c r="B52" s="1556"/>
      <c r="C52" s="1556"/>
      <c r="D52" s="1556"/>
      <c r="E52" s="1556"/>
      <c r="F52" s="1556"/>
      <c r="G52" s="1556"/>
      <c r="H52" s="1556"/>
      <c r="I52" s="1556"/>
      <c r="J52" s="1556"/>
      <c r="K52" s="1557"/>
      <c r="L52" s="1557"/>
      <c r="M52" s="1553"/>
      <c r="N52" s="1553"/>
      <c r="O52" s="1553"/>
      <c r="P52" s="1553"/>
      <c r="Q52" s="1553"/>
      <c r="R52" s="1558"/>
      <c r="S52" s="1558"/>
      <c r="T52" s="1558"/>
      <c r="U52" s="1559"/>
      <c r="V52" s="1558"/>
      <c r="W52" s="1558"/>
      <c r="X52" s="1558"/>
      <c r="Y52" s="1558"/>
      <c r="Z52" s="1558"/>
      <c r="AA52" s="1558"/>
      <c r="AB52" s="1558"/>
      <c r="AC52" s="1558"/>
      <c r="AD52" s="1558"/>
      <c r="AE52" s="1558"/>
      <c r="AF52" s="1558"/>
      <c r="AG52" s="1558"/>
      <c r="AH52" s="1558"/>
      <c r="AI52" s="1558"/>
      <c r="AJ52" s="1558"/>
      <c r="AK52" s="1558"/>
      <c r="AL52" s="1558"/>
      <c r="AM52" s="1558"/>
      <c r="AN52" s="1558"/>
      <c r="AO52" s="1558"/>
      <c r="AP52" s="1558"/>
      <c r="AQ52" s="1558"/>
    </row>
    <row r="53" spans="1:241" s="1531" customFormat="1" ht="13">
      <c r="A53" s="1539" t="s">
        <v>1340</v>
      </c>
      <c r="B53" s="1540"/>
      <c r="C53" s="1540"/>
      <c r="D53" s="1540"/>
      <c r="E53" s="1540"/>
      <c r="F53" s="1540"/>
      <c r="G53" s="1540"/>
      <c r="H53" s="1540"/>
      <c r="I53" s="1540"/>
      <c r="J53" s="1540"/>
      <c r="K53" s="1540"/>
      <c r="M53" s="1541"/>
      <c r="N53" s="1542"/>
      <c r="O53" s="1535"/>
      <c r="P53" s="1535"/>
      <c r="Q53" s="1535"/>
      <c r="R53" s="1535"/>
      <c r="S53" s="1535"/>
      <c r="T53" s="1543"/>
      <c r="U53" s="1535"/>
      <c r="V53" s="1535"/>
      <c r="W53" s="1535"/>
      <c r="X53" s="1535"/>
      <c r="Y53" s="1535"/>
      <c r="Z53" s="1535"/>
      <c r="AA53" s="1544"/>
      <c r="AB53" s="1535"/>
      <c r="AC53" s="1535"/>
      <c r="AD53" s="1535"/>
      <c r="AE53" s="1535"/>
      <c r="AF53" s="1535"/>
      <c r="AG53" s="1535"/>
      <c r="AH53" s="1535"/>
      <c r="AI53" s="1535"/>
      <c r="AJ53" s="1535"/>
      <c r="AK53" s="1535"/>
      <c r="AL53" s="1535"/>
      <c r="AM53" s="1535"/>
      <c r="AN53" s="1535"/>
      <c r="AO53" s="1535"/>
      <c r="AP53" s="1535"/>
    </row>
    <row r="54" spans="1:241" s="705" customFormat="1" ht="12.75" customHeight="1">
      <c r="A54" s="788" t="s">
        <v>956</v>
      </c>
      <c r="B54" s="706"/>
      <c r="C54" s="706"/>
      <c r="D54" s="706"/>
      <c r="E54" s="707"/>
      <c r="M54" s="1125"/>
      <c r="N54" s="1125"/>
    </row>
    <row r="55" spans="1:241" s="1389" customFormat="1" ht="14.15" customHeight="1">
      <c r="B55" s="1390"/>
      <c r="C55" s="1390"/>
      <c r="D55" s="1390"/>
      <c r="E55" s="1390"/>
      <c r="F55" s="1390"/>
      <c r="G55" s="1390"/>
      <c r="H55" s="1391">
        <f>H13+H28</f>
        <v>4830257000</v>
      </c>
      <c r="I55" s="1391">
        <f>I13+I28</f>
        <v>5430232000</v>
      </c>
      <c r="L55" s="1392"/>
      <c r="M55" s="1393"/>
      <c r="N55" s="1409"/>
      <c r="O55" s="1394"/>
      <c r="P55" s="1394"/>
      <c r="Q55" s="1394"/>
      <c r="R55" s="1394"/>
      <c r="S55" s="1394"/>
      <c r="T55" s="1395"/>
      <c r="Y55" s="1392"/>
      <c r="Z55" s="1392"/>
      <c r="AA55" s="1392"/>
      <c r="AB55" s="1392"/>
      <c r="AC55" s="1392"/>
      <c r="AD55" s="1392"/>
      <c r="AE55" s="1392"/>
      <c r="AF55" s="1392"/>
      <c r="AG55" s="1392"/>
      <c r="AH55" s="1392"/>
      <c r="AI55" s="1392"/>
      <c r="AJ55" s="1392"/>
      <c r="AK55" s="1392"/>
      <c r="AL55" s="1392"/>
      <c r="AM55" s="1392"/>
      <c r="AN55" s="1392"/>
      <c r="AO55" s="1392"/>
      <c r="AP55" s="1392"/>
      <c r="AQ55" s="1392"/>
      <c r="AR55" s="1392"/>
      <c r="AS55" s="1392"/>
      <c r="AT55" s="1392"/>
      <c r="AU55" s="1392"/>
      <c r="AV55" s="1392"/>
      <c r="AW55" s="1392"/>
      <c r="AX55" s="1392"/>
      <c r="AY55" s="1392"/>
      <c r="AZ55" s="1392"/>
      <c r="BA55" s="1392"/>
      <c r="BB55" s="1392"/>
      <c r="BC55" s="1392"/>
      <c r="BD55" s="1392"/>
      <c r="BE55" s="1392"/>
      <c r="BF55" s="1392"/>
      <c r="BG55" s="1392"/>
      <c r="BH55" s="1392"/>
      <c r="BI55" s="1392"/>
      <c r="BJ55" s="1392"/>
      <c r="BK55" s="1392"/>
      <c r="BL55" s="1392"/>
      <c r="BM55" s="1392"/>
      <c r="BN55" s="1392"/>
      <c r="BO55" s="1392"/>
      <c r="BP55" s="1392"/>
      <c r="BQ55" s="1392"/>
      <c r="BR55" s="1392"/>
      <c r="BS55" s="1392"/>
      <c r="BT55" s="1392"/>
      <c r="BU55" s="1392"/>
      <c r="BV55" s="1392"/>
      <c r="BW55" s="1392"/>
      <c r="BX55" s="1392"/>
      <c r="BY55" s="1392"/>
      <c r="BZ55" s="1392"/>
      <c r="CA55" s="1392"/>
      <c r="CB55" s="1392"/>
      <c r="CC55" s="1392"/>
      <c r="CD55" s="1392"/>
      <c r="CE55" s="1392"/>
      <c r="CF55" s="1392"/>
      <c r="CG55" s="1392"/>
      <c r="CH55" s="1392"/>
      <c r="CI55" s="1392"/>
      <c r="CJ55" s="1392"/>
      <c r="CK55" s="1392"/>
      <c r="CL55" s="1392"/>
      <c r="CM55" s="1392"/>
      <c r="CN55" s="1392"/>
      <c r="CO55" s="1392"/>
      <c r="CP55" s="1392"/>
      <c r="CQ55" s="1392"/>
      <c r="CR55" s="1392"/>
      <c r="CS55" s="1392"/>
      <c r="CT55" s="1392"/>
      <c r="CU55" s="1392"/>
      <c r="CV55" s="1392"/>
      <c r="CW55" s="1392"/>
      <c r="CX55" s="1392"/>
      <c r="CY55" s="1392"/>
      <c r="CZ55" s="1392"/>
      <c r="DA55" s="1392"/>
      <c r="DB55" s="1392"/>
      <c r="DC55" s="1392"/>
      <c r="DD55" s="1392"/>
      <c r="DE55" s="1392"/>
      <c r="DF55" s="1392"/>
      <c r="DG55" s="1392"/>
      <c r="DH55" s="1392"/>
      <c r="DI55" s="1392"/>
      <c r="DJ55" s="1392"/>
      <c r="DK55" s="1392"/>
      <c r="DL55" s="1392"/>
      <c r="DM55" s="1392"/>
      <c r="DN55" s="1392"/>
      <c r="DO55" s="1392"/>
      <c r="DP55" s="1392"/>
      <c r="DQ55" s="1392"/>
      <c r="DR55" s="1392"/>
      <c r="DS55" s="1392"/>
      <c r="DT55" s="1392"/>
      <c r="DU55" s="1392"/>
      <c r="DV55" s="1392"/>
      <c r="DW55" s="1392"/>
      <c r="DX55" s="1392"/>
      <c r="DY55" s="1392"/>
      <c r="DZ55" s="1392"/>
      <c r="EA55" s="1392"/>
      <c r="EB55" s="1392"/>
      <c r="EC55" s="1392"/>
      <c r="ED55" s="1392"/>
      <c r="EE55" s="1392"/>
      <c r="EF55" s="1392"/>
      <c r="EG55" s="1392"/>
      <c r="EH55" s="1392"/>
      <c r="EI55" s="1392"/>
      <c r="EJ55" s="1392"/>
      <c r="EK55" s="1392"/>
      <c r="EL55" s="1392"/>
      <c r="EM55" s="1392"/>
      <c r="EN55" s="1392"/>
      <c r="EO55" s="1392"/>
      <c r="EP55" s="1392"/>
      <c r="EQ55" s="1392"/>
      <c r="ER55" s="1392"/>
      <c r="ES55" s="1392"/>
      <c r="ET55" s="1392"/>
      <c r="EU55" s="1392"/>
      <c r="EV55" s="1392"/>
      <c r="EW55" s="1392"/>
      <c r="EX55" s="1392"/>
      <c r="EY55" s="1392"/>
      <c r="EZ55" s="1392"/>
      <c r="FA55" s="1392"/>
      <c r="FB55" s="1392"/>
      <c r="FC55" s="1392"/>
      <c r="FD55" s="1392"/>
      <c r="FE55" s="1392"/>
      <c r="FF55" s="1392"/>
      <c r="FG55" s="1392"/>
      <c r="FH55" s="1392"/>
      <c r="FI55" s="1392"/>
      <c r="FJ55" s="1392"/>
      <c r="FK55" s="1392"/>
      <c r="FL55" s="1392"/>
      <c r="FM55" s="1392"/>
      <c r="FN55" s="1392"/>
      <c r="FO55" s="1392"/>
      <c r="FP55" s="1392"/>
      <c r="FQ55" s="1392"/>
      <c r="FR55" s="1392"/>
      <c r="FS55" s="1392"/>
      <c r="FT55" s="1392"/>
      <c r="FU55" s="1392"/>
      <c r="FV55" s="1392"/>
      <c r="FW55" s="1392"/>
      <c r="FX55" s="1392"/>
      <c r="FY55" s="1392"/>
      <c r="FZ55" s="1392"/>
      <c r="GA55" s="1392"/>
      <c r="GB55" s="1392"/>
      <c r="GC55" s="1392"/>
      <c r="GD55" s="1392"/>
      <c r="GE55" s="1392"/>
      <c r="GF55" s="1392"/>
      <c r="GG55" s="1392"/>
      <c r="GH55" s="1392"/>
      <c r="GI55" s="1392"/>
      <c r="GJ55" s="1392"/>
      <c r="GK55" s="1392"/>
      <c r="GL55" s="1392"/>
      <c r="GM55" s="1392"/>
      <c r="GN55" s="1392"/>
      <c r="GO55" s="1392"/>
      <c r="GP55" s="1392"/>
      <c r="GQ55" s="1392"/>
      <c r="GR55" s="1392"/>
      <c r="GS55" s="1392"/>
      <c r="GT55" s="1392"/>
      <c r="GU55" s="1392"/>
      <c r="GV55" s="1392"/>
      <c r="GW55" s="1392"/>
      <c r="GX55" s="1392"/>
      <c r="GY55" s="1392"/>
      <c r="GZ55" s="1392"/>
      <c r="HA55" s="1392"/>
      <c r="HB55" s="1392"/>
      <c r="HC55" s="1392"/>
      <c r="HD55" s="1392"/>
      <c r="HE55" s="1392"/>
      <c r="HF55" s="1392"/>
      <c r="HG55" s="1392"/>
      <c r="HH55" s="1392"/>
      <c r="HI55" s="1392"/>
      <c r="HJ55" s="1392"/>
      <c r="HK55" s="1392"/>
      <c r="HL55" s="1392"/>
      <c r="HM55" s="1392"/>
      <c r="HN55" s="1392"/>
      <c r="HO55" s="1392"/>
      <c r="HP55" s="1392"/>
      <c r="HQ55" s="1392"/>
      <c r="HR55" s="1392"/>
      <c r="HS55" s="1392"/>
      <c r="HT55" s="1392"/>
      <c r="HU55" s="1392"/>
      <c r="HV55" s="1392"/>
      <c r="HW55" s="1392"/>
      <c r="HX55" s="1392"/>
      <c r="HY55" s="1392"/>
      <c r="HZ55" s="1392"/>
      <c r="IA55" s="1392"/>
      <c r="IB55" s="1392"/>
      <c r="IC55" s="1392"/>
      <c r="ID55" s="1392"/>
      <c r="IE55" s="1392"/>
      <c r="IF55" s="1392"/>
      <c r="IG55" s="1392"/>
    </row>
    <row r="56" spans="1:241" s="1389" customFormat="1" ht="14.15" customHeight="1">
      <c r="A56" s="1392"/>
      <c r="B56" s="1390"/>
      <c r="C56" s="1390"/>
      <c r="D56" s="1390"/>
      <c r="E56" s="1390"/>
      <c r="F56" s="1390"/>
      <c r="G56" s="1390"/>
      <c r="H56" s="1390"/>
      <c r="I56" s="1390"/>
      <c r="J56" s="1390"/>
      <c r="K56" s="1390"/>
      <c r="L56" s="1392"/>
      <c r="M56" s="1393"/>
      <c r="N56" s="1409"/>
      <c r="O56" s="1392"/>
      <c r="P56" s="1392"/>
      <c r="Q56" s="1392"/>
      <c r="R56" s="1392"/>
      <c r="S56" s="1392"/>
      <c r="T56" s="1395"/>
      <c r="Y56" s="1392"/>
      <c r="Z56" s="1392"/>
      <c r="AA56" s="1392"/>
      <c r="AB56" s="1392"/>
      <c r="AC56" s="1392"/>
      <c r="AD56" s="1392"/>
      <c r="AE56" s="1392"/>
      <c r="AF56" s="1392"/>
      <c r="AG56" s="1392"/>
      <c r="AH56" s="1392"/>
      <c r="AI56" s="1392"/>
      <c r="AJ56" s="1392"/>
      <c r="AK56" s="1392"/>
      <c r="AL56" s="1392"/>
      <c r="AM56" s="1392"/>
      <c r="AN56" s="1392"/>
      <c r="AO56" s="1392"/>
      <c r="AP56" s="1392"/>
      <c r="AQ56" s="1392"/>
      <c r="AR56" s="1392"/>
      <c r="AS56" s="1392"/>
      <c r="AT56" s="1392"/>
      <c r="AU56" s="1392"/>
      <c r="AV56" s="1392"/>
      <c r="AW56" s="1392"/>
      <c r="AX56" s="1392"/>
      <c r="AY56" s="1392"/>
      <c r="AZ56" s="1392"/>
      <c r="BA56" s="1392"/>
      <c r="BB56" s="1392"/>
      <c r="BC56" s="1392"/>
      <c r="BD56" s="1392"/>
      <c r="BE56" s="1392"/>
      <c r="BF56" s="1392"/>
      <c r="BG56" s="1392"/>
      <c r="BH56" s="1392"/>
      <c r="BI56" s="1392"/>
      <c r="BJ56" s="1392"/>
      <c r="BK56" s="1392"/>
      <c r="BL56" s="1392"/>
      <c r="BM56" s="1392"/>
      <c r="BN56" s="1392"/>
      <c r="BO56" s="1392"/>
      <c r="BP56" s="1392"/>
      <c r="BQ56" s="1392"/>
      <c r="BR56" s="1392"/>
      <c r="BS56" s="1392"/>
      <c r="BT56" s="1392"/>
      <c r="BU56" s="1392"/>
      <c r="BV56" s="1392"/>
      <c r="BW56" s="1392"/>
      <c r="BX56" s="1392"/>
      <c r="BY56" s="1392"/>
      <c r="BZ56" s="1392"/>
      <c r="CA56" s="1392"/>
      <c r="CB56" s="1392"/>
      <c r="CC56" s="1392"/>
      <c r="CD56" s="1392"/>
      <c r="CE56" s="1392"/>
      <c r="CF56" s="1392"/>
      <c r="CG56" s="1392"/>
      <c r="CH56" s="1392"/>
      <c r="CI56" s="1392"/>
      <c r="CJ56" s="1392"/>
      <c r="CK56" s="1392"/>
      <c r="CL56" s="1392"/>
      <c r="CM56" s="1392"/>
      <c r="CN56" s="1392"/>
      <c r="CO56" s="1392"/>
      <c r="CP56" s="1392"/>
      <c r="CQ56" s="1392"/>
      <c r="CR56" s="1392"/>
      <c r="CS56" s="1392"/>
      <c r="CT56" s="1392"/>
      <c r="CU56" s="1392"/>
      <c r="CV56" s="1392"/>
      <c r="CW56" s="1392"/>
      <c r="CX56" s="1392"/>
      <c r="CY56" s="1392"/>
      <c r="CZ56" s="1392"/>
      <c r="DA56" s="1392"/>
      <c r="DB56" s="1392"/>
      <c r="DC56" s="1392"/>
      <c r="DD56" s="1392"/>
      <c r="DE56" s="1392"/>
      <c r="DF56" s="1392"/>
      <c r="DG56" s="1392"/>
      <c r="DH56" s="1392"/>
      <c r="DI56" s="1392"/>
      <c r="DJ56" s="1392"/>
      <c r="DK56" s="1392"/>
      <c r="DL56" s="1392"/>
      <c r="DM56" s="1392"/>
      <c r="DN56" s="1392"/>
      <c r="DO56" s="1392"/>
      <c r="DP56" s="1392"/>
      <c r="DQ56" s="1392"/>
      <c r="DR56" s="1392"/>
      <c r="DS56" s="1392"/>
      <c r="DT56" s="1392"/>
      <c r="DU56" s="1392"/>
      <c r="DV56" s="1392"/>
      <c r="DW56" s="1392"/>
      <c r="DX56" s="1392"/>
      <c r="DY56" s="1392"/>
      <c r="DZ56" s="1392"/>
      <c r="EA56" s="1392"/>
      <c r="EB56" s="1392"/>
      <c r="EC56" s="1392"/>
      <c r="ED56" s="1392"/>
      <c r="EE56" s="1392"/>
      <c r="EF56" s="1392"/>
      <c r="EG56" s="1392"/>
      <c r="EH56" s="1392"/>
      <c r="EI56" s="1392"/>
      <c r="EJ56" s="1392"/>
      <c r="EK56" s="1392"/>
      <c r="EL56" s="1392"/>
      <c r="EM56" s="1392"/>
      <c r="EN56" s="1392"/>
      <c r="EO56" s="1392"/>
      <c r="EP56" s="1392"/>
      <c r="EQ56" s="1392"/>
      <c r="ER56" s="1392"/>
      <c r="ES56" s="1392"/>
      <c r="ET56" s="1392"/>
      <c r="EU56" s="1392"/>
      <c r="EV56" s="1392"/>
      <c r="EW56" s="1392"/>
      <c r="EX56" s="1392"/>
      <c r="EY56" s="1392"/>
      <c r="EZ56" s="1392"/>
      <c r="FA56" s="1392"/>
      <c r="FB56" s="1392"/>
      <c r="FC56" s="1392"/>
      <c r="FD56" s="1392"/>
      <c r="FE56" s="1392"/>
      <c r="FF56" s="1392"/>
      <c r="FG56" s="1392"/>
      <c r="FH56" s="1392"/>
      <c r="FI56" s="1392"/>
      <c r="FJ56" s="1392"/>
      <c r="FK56" s="1392"/>
      <c r="FL56" s="1392"/>
      <c r="FM56" s="1392"/>
      <c r="FN56" s="1392"/>
      <c r="FO56" s="1392"/>
      <c r="FP56" s="1392"/>
      <c r="FQ56" s="1392"/>
      <c r="FR56" s="1392"/>
      <c r="FS56" s="1392"/>
      <c r="FT56" s="1392"/>
      <c r="FU56" s="1392"/>
      <c r="FV56" s="1392"/>
      <c r="FW56" s="1392"/>
      <c r="FX56" s="1392"/>
      <c r="FY56" s="1392"/>
      <c r="FZ56" s="1392"/>
      <c r="GA56" s="1392"/>
      <c r="GB56" s="1392"/>
      <c r="GC56" s="1392"/>
      <c r="GD56" s="1392"/>
      <c r="GE56" s="1392"/>
      <c r="GF56" s="1392"/>
      <c r="GG56" s="1392"/>
      <c r="GH56" s="1392"/>
      <c r="GI56" s="1392"/>
      <c r="GJ56" s="1392"/>
      <c r="GK56" s="1392"/>
      <c r="GL56" s="1392"/>
      <c r="GM56" s="1392"/>
      <c r="GN56" s="1392"/>
      <c r="GO56" s="1392"/>
      <c r="GP56" s="1392"/>
      <c r="GQ56" s="1392"/>
      <c r="GR56" s="1392"/>
      <c r="GS56" s="1392"/>
      <c r="GT56" s="1392"/>
      <c r="GU56" s="1392"/>
      <c r="GV56" s="1392"/>
      <c r="GW56" s="1392"/>
      <c r="GX56" s="1392"/>
      <c r="GY56" s="1392"/>
      <c r="GZ56" s="1392"/>
      <c r="HA56" s="1392"/>
      <c r="HB56" s="1392"/>
      <c r="HC56" s="1392"/>
      <c r="HD56" s="1392"/>
      <c r="HE56" s="1392"/>
      <c r="HF56" s="1392"/>
      <c r="HG56" s="1392"/>
      <c r="HH56" s="1392"/>
      <c r="HI56" s="1392"/>
      <c r="HJ56" s="1392"/>
      <c r="HK56" s="1392"/>
      <c r="HL56" s="1392"/>
      <c r="HM56" s="1392"/>
      <c r="HN56" s="1392"/>
      <c r="HO56" s="1392"/>
      <c r="HP56" s="1392"/>
      <c r="HQ56" s="1392"/>
      <c r="HR56" s="1392"/>
      <c r="HS56" s="1392"/>
      <c r="HT56" s="1392"/>
      <c r="HU56" s="1392"/>
      <c r="HV56" s="1392"/>
      <c r="HW56" s="1392"/>
      <c r="HX56" s="1392"/>
      <c r="HY56" s="1392"/>
      <c r="HZ56" s="1392"/>
      <c r="IA56" s="1392"/>
      <c r="IB56" s="1392"/>
      <c r="IC56" s="1392"/>
      <c r="ID56" s="1392"/>
      <c r="IE56" s="1392"/>
      <c r="IF56" s="1392"/>
      <c r="IG56" s="1392"/>
    </row>
    <row r="57" spans="1:241" s="1389" customFormat="1" ht="14.15" customHeight="1">
      <c r="A57" s="1335" t="s">
        <v>265</v>
      </c>
      <c r="B57" s="1396">
        <f t="shared" ref="B57:K57" si="4">B41-B8-B9-B13</f>
        <v>656495257.90999985</v>
      </c>
      <c r="C57" s="1396">
        <f t="shared" si="4"/>
        <v>672992112.84000015</v>
      </c>
      <c r="D57" s="1396">
        <f t="shared" si="4"/>
        <v>732138986.22999954</v>
      </c>
      <c r="E57" s="1396">
        <f t="shared" si="4"/>
        <v>767401177.69000053</v>
      </c>
      <c r="F57" s="1396">
        <f t="shared" si="4"/>
        <v>763035861.81999969</v>
      </c>
      <c r="G57" s="1396">
        <f t="shared" si="4"/>
        <v>1625197140.2000008</v>
      </c>
      <c r="H57" s="1396">
        <f t="shared" si="4"/>
        <v>2167788628.1300011</v>
      </c>
      <c r="I57" s="1396">
        <f t="shared" si="4"/>
        <v>2641396000</v>
      </c>
      <c r="J57" s="1396">
        <f t="shared" si="4"/>
        <v>2782131000</v>
      </c>
      <c r="K57" s="1396">
        <f t="shared" si="4"/>
        <v>2609863000</v>
      </c>
      <c r="L57" s="1392"/>
      <c r="M57" s="1393"/>
      <c r="N57" s="1409"/>
      <c r="O57" s="1392"/>
      <c r="P57" s="1392"/>
      <c r="Q57" s="1392"/>
      <c r="R57" s="1392"/>
      <c r="S57" s="1392"/>
      <c r="T57" s="1395"/>
      <c r="Y57" s="1392"/>
      <c r="Z57" s="1392"/>
      <c r="AA57" s="1392"/>
      <c r="AB57" s="1392"/>
      <c r="AC57" s="1392"/>
      <c r="AD57" s="1392"/>
      <c r="AE57" s="1392"/>
      <c r="AF57" s="1392"/>
      <c r="AG57" s="1392"/>
      <c r="AH57" s="1392"/>
      <c r="AI57" s="1392"/>
      <c r="AJ57" s="1392"/>
      <c r="AK57" s="1392"/>
      <c r="AL57" s="1392"/>
      <c r="AM57" s="1392"/>
      <c r="AN57" s="1392"/>
      <c r="AO57" s="1392"/>
      <c r="AP57" s="1392"/>
      <c r="AQ57" s="1392"/>
      <c r="AR57" s="1392"/>
      <c r="AS57" s="1392"/>
      <c r="AT57" s="1392"/>
      <c r="AU57" s="1392"/>
      <c r="AV57" s="1392"/>
      <c r="AW57" s="1392"/>
      <c r="AX57" s="1392"/>
      <c r="AY57" s="1392"/>
      <c r="AZ57" s="1392"/>
      <c r="BA57" s="1392"/>
      <c r="BB57" s="1392"/>
      <c r="BC57" s="1392"/>
      <c r="BD57" s="1392"/>
      <c r="BE57" s="1392"/>
      <c r="BF57" s="1392"/>
      <c r="BG57" s="1392"/>
      <c r="BH57" s="1392"/>
      <c r="BI57" s="1392"/>
      <c r="BJ57" s="1392"/>
      <c r="BK57" s="1392"/>
      <c r="BL57" s="1392"/>
      <c r="BM57" s="1392"/>
      <c r="BN57" s="1392"/>
      <c r="BO57" s="1392"/>
      <c r="BP57" s="1392"/>
      <c r="BQ57" s="1392"/>
      <c r="BR57" s="1392"/>
      <c r="BS57" s="1392"/>
      <c r="BT57" s="1392"/>
      <c r="BU57" s="1392"/>
      <c r="BV57" s="1392"/>
      <c r="BW57" s="1392"/>
      <c r="BX57" s="1392"/>
      <c r="BY57" s="1392"/>
      <c r="BZ57" s="1392"/>
      <c r="CA57" s="1392"/>
      <c r="CB57" s="1392"/>
      <c r="CC57" s="1392"/>
      <c r="CD57" s="1392"/>
      <c r="CE57" s="1392"/>
      <c r="CF57" s="1392"/>
      <c r="CG57" s="1392"/>
      <c r="CH57" s="1392"/>
      <c r="CI57" s="1392"/>
      <c r="CJ57" s="1392"/>
      <c r="CK57" s="1392"/>
      <c r="CL57" s="1392"/>
      <c r="CM57" s="1392"/>
      <c r="CN57" s="1392"/>
      <c r="CO57" s="1392"/>
      <c r="CP57" s="1392"/>
      <c r="CQ57" s="1392"/>
      <c r="CR57" s="1392"/>
      <c r="CS57" s="1392"/>
      <c r="CT57" s="1392"/>
      <c r="CU57" s="1392"/>
      <c r="CV57" s="1392"/>
      <c r="CW57" s="1392"/>
      <c r="CX57" s="1392"/>
      <c r="CY57" s="1392"/>
      <c r="CZ57" s="1392"/>
      <c r="DA57" s="1392"/>
      <c r="DB57" s="1392"/>
      <c r="DC57" s="1392"/>
      <c r="DD57" s="1392"/>
      <c r="DE57" s="1392"/>
      <c r="DF57" s="1392"/>
      <c r="DG57" s="1392"/>
      <c r="DH57" s="1392"/>
      <c r="DI57" s="1392"/>
      <c r="DJ57" s="1392"/>
      <c r="DK57" s="1392"/>
      <c r="DL57" s="1392"/>
      <c r="DM57" s="1392"/>
      <c r="DN57" s="1392"/>
      <c r="DO57" s="1392"/>
      <c r="DP57" s="1392"/>
      <c r="DQ57" s="1392"/>
      <c r="DR57" s="1392"/>
      <c r="DS57" s="1392"/>
      <c r="DT57" s="1392"/>
      <c r="DU57" s="1392"/>
      <c r="DV57" s="1392"/>
      <c r="DW57" s="1392"/>
      <c r="DX57" s="1392"/>
      <c r="DY57" s="1392"/>
      <c r="DZ57" s="1392"/>
      <c r="EA57" s="1392"/>
      <c r="EB57" s="1392"/>
      <c r="EC57" s="1392"/>
      <c r="ED57" s="1392"/>
      <c r="EE57" s="1392"/>
      <c r="EF57" s="1392"/>
      <c r="EG57" s="1392"/>
      <c r="EH57" s="1392"/>
      <c r="EI57" s="1392"/>
      <c r="EJ57" s="1392"/>
      <c r="EK57" s="1392"/>
      <c r="EL57" s="1392"/>
      <c r="EM57" s="1392"/>
      <c r="EN57" s="1392"/>
      <c r="EO57" s="1392"/>
      <c r="EP57" s="1392"/>
      <c r="EQ57" s="1392"/>
      <c r="ER57" s="1392"/>
      <c r="ES57" s="1392"/>
      <c r="ET57" s="1392"/>
      <c r="EU57" s="1392"/>
      <c r="EV57" s="1392"/>
      <c r="EW57" s="1392"/>
      <c r="EX57" s="1392"/>
      <c r="EY57" s="1392"/>
      <c r="EZ57" s="1392"/>
      <c r="FA57" s="1392"/>
      <c r="FB57" s="1392"/>
      <c r="FC57" s="1392"/>
      <c r="FD57" s="1392"/>
      <c r="FE57" s="1392"/>
      <c r="FF57" s="1392"/>
      <c r="FG57" s="1392"/>
      <c r="FH57" s="1392"/>
      <c r="FI57" s="1392"/>
      <c r="FJ57" s="1392"/>
      <c r="FK57" s="1392"/>
      <c r="FL57" s="1392"/>
      <c r="FM57" s="1392"/>
      <c r="FN57" s="1392"/>
      <c r="FO57" s="1392"/>
      <c r="FP57" s="1392"/>
      <c r="FQ57" s="1392"/>
      <c r="FR57" s="1392"/>
      <c r="FS57" s="1392"/>
      <c r="FT57" s="1392"/>
      <c r="FU57" s="1392"/>
      <c r="FV57" s="1392"/>
      <c r="FW57" s="1392"/>
      <c r="FX57" s="1392"/>
      <c r="FY57" s="1392"/>
      <c r="FZ57" s="1392"/>
      <c r="GA57" s="1392"/>
      <c r="GB57" s="1392"/>
      <c r="GC57" s="1392"/>
      <c r="GD57" s="1392"/>
      <c r="GE57" s="1392"/>
      <c r="GF57" s="1392"/>
      <c r="GG57" s="1392"/>
      <c r="GH57" s="1392"/>
      <c r="GI57" s="1392"/>
      <c r="GJ57" s="1392"/>
      <c r="GK57" s="1392"/>
      <c r="GL57" s="1392"/>
      <c r="GM57" s="1392"/>
      <c r="GN57" s="1392"/>
      <c r="GO57" s="1392"/>
      <c r="GP57" s="1392"/>
      <c r="GQ57" s="1392"/>
      <c r="GR57" s="1392"/>
      <c r="GS57" s="1392"/>
      <c r="GT57" s="1392"/>
      <c r="GU57" s="1392"/>
      <c r="GV57" s="1392"/>
      <c r="GW57" s="1392"/>
      <c r="GX57" s="1392"/>
      <c r="GY57" s="1392"/>
      <c r="GZ57" s="1392"/>
      <c r="HA57" s="1392"/>
      <c r="HB57" s="1392"/>
      <c r="HC57" s="1392"/>
      <c r="HD57" s="1392"/>
      <c r="HE57" s="1392"/>
      <c r="HF57" s="1392"/>
      <c r="HG57" s="1392"/>
      <c r="HH57" s="1392"/>
      <c r="HI57" s="1392"/>
      <c r="HJ57" s="1392"/>
      <c r="HK57" s="1392"/>
      <c r="HL57" s="1392"/>
      <c r="HM57" s="1392"/>
      <c r="HN57" s="1392"/>
      <c r="HO57" s="1392"/>
      <c r="HP57" s="1392"/>
      <c r="HQ57" s="1392"/>
      <c r="HR57" s="1392"/>
      <c r="HS57" s="1392"/>
      <c r="HT57" s="1392"/>
      <c r="HU57" s="1392"/>
      <c r="HV57" s="1392"/>
      <c r="HW57" s="1392"/>
      <c r="HX57" s="1392"/>
      <c r="HY57" s="1392"/>
      <c r="HZ57" s="1392"/>
      <c r="IA57" s="1392"/>
      <c r="IB57" s="1392"/>
      <c r="IC57" s="1392"/>
      <c r="ID57" s="1392"/>
      <c r="IE57" s="1392"/>
      <c r="IF57" s="1392"/>
      <c r="IG57" s="1392"/>
    </row>
    <row r="58" spans="1:241" s="1389" customFormat="1" ht="14.15" customHeight="1">
      <c r="A58" s="1335" t="s">
        <v>1343</v>
      </c>
      <c r="B58" s="1390"/>
      <c r="C58" s="1390"/>
      <c r="D58" s="1390"/>
      <c r="E58" s="1390"/>
      <c r="F58" s="1390"/>
      <c r="G58" s="1390"/>
      <c r="H58" s="1390"/>
      <c r="I58" s="1390"/>
      <c r="J58" s="1396">
        <f>J13+J28</f>
        <v>5926357000</v>
      </c>
      <c r="K58" s="1396">
        <f>K13+K28</f>
        <v>6151171000</v>
      </c>
      <c r="L58" s="1392"/>
      <c r="M58" s="1393"/>
      <c r="N58" s="1410">
        <f>K57/$K$41</f>
        <v>9.2029161587606823E-2</v>
      </c>
      <c r="O58" s="1392"/>
      <c r="P58" s="1392"/>
      <c r="Q58" s="1392"/>
      <c r="R58" s="1392"/>
      <c r="S58" s="1392"/>
      <c r="T58" s="1395"/>
      <c r="U58" s="1392"/>
      <c r="V58" s="1392"/>
      <c r="W58" s="1392"/>
      <c r="X58" s="1392"/>
      <c r="Y58" s="1392"/>
      <c r="Z58" s="1392"/>
      <c r="AA58" s="1392"/>
      <c r="AB58" s="1392"/>
      <c r="AC58" s="1392"/>
      <c r="AD58" s="1392"/>
      <c r="AE58" s="1392"/>
      <c r="AF58" s="1392"/>
      <c r="AG58" s="1392"/>
      <c r="AH58" s="1392"/>
      <c r="AI58" s="1392"/>
      <c r="AJ58" s="1392"/>
      <c r="AK58" s="1392"/>
      <c r="AL58" s="1392"/>
      <c r="AM58" s="1392"/>
      <c r="AN58" s="1392"/>
      <c r="AO58" s="1392"/>
      <c r="AP58" s="1392"/>
      <c r="AQ58" s="1392"/>
      <c r="AR58" s="1392"/>
      <c r="AS58" s="1392"/>
      <c r="AT58" s="1392"/>
      <c r="AU58" s="1392"/>
      <c r="AV58" s="1392"/>
      <c r="AW58" s="1392"/>
      <c r="AX58" s="1392"/>
      <c r="AY58" s="1392"/>
      <c r="AZ58" s="1392"/>
      <c r="BA58" s="1392"/>
      <c r="BB58" s="1392"/>
      <c r="BC58" s="1392"/>
      <c r="BD58" s="1392"/>
      <c r="BE58" s="1392"/>
      <c r="BF58" s="1392"/>
      <c r="BG58" s="1392"/>
      <c r="BH58" s="1392"/>
      <c r="BI58" s="1392"/>
      <c r="BJ58" s="1392"/>
      <c r="BK58" s="1392"/>
      <c r="BL58" s="1392"/>
      <c r="BM58" s="1392"/>
      <c r="BN58" s="1392"/>
      <c r="BO58" s="1392"/>
      <c r="BP58" s="1392"/>
      <c r="BQ58" s="1392"/>
      <c r="BR58" s="1392"/>
      <c r="BS58" s="1392"/>
      <c r="BT58" s="1392"/>
      <c r="BU58" s="1392"/>
      <c r="BV58" s="1392"/>
      <c r="BW58" s="1392"/>
      <c r="BX58" s="1392"/>
      <c r="BY58" s="1392"/>
      <c r="BZ58" s="1392"/>
      <c r="CA58" s="1392"/>
      <c r="CB58" s="1392"/>
      <c r="CC58" s="1392"/>
      <c r="CD58" s="1392"/>
      <c r="CE58" s="1392"/>
      <c r="CF58" s="1392"/>
      <c r="CG58" s="1392"/>
      <c r="CH58" s="1392"/>
      <c r="CI58" s="1392"/>
      <c r="CJ58" s="1392"/>
      <c r="CK58" s="1392"/>
      <c r="CL58" s="1392"/>
      <c r="CM58" s="1392"/>
      <c r="CN58" s="1392"/>
      <c r="CO58" s="1392"/>
      <c r="CP58" s="1392"/>
      <c r="CQ58" s="1392"/>
      <c r="CR58" s="1392"/>
      <c r="CS58" s="1392"/>
      <c r="CT58" s="1392"/>
      <c r="CU58" s="1392"/>
      <c r="CV58" s="1392"/>
      <c r="CW58" s="1392"/>
      <c r="CX58" s="1392"/>
      <c r="CY58" s="1392"/>
      <c r="CZ58" s="1392"/>
      <c r="DA58" s="1392"/>
      <c r="DB58" s="1392"/>
      <c r="DC58" s="1392"/>
      <c r="DD58" s="1392"/>
      <c r="DE58" s="1392"/>
      <c r="DF58" s="1392"/>
      <c r="DG58" s="1392"/>
      <c r="DH58" s="1392"/>
      <c r="DI58" s="1392"/>
      <c r="DJ58" s="1392"/>
      <c r="DK58" s="1392"/>
      <c r="DL58" s="1392"/>
      <c r="DM58" s="1392"/>
      <c r="DN58" s="1392"/>
      <c r="DO58" s="1392"/>
      <c r="DP58" s="1392"/>
      <c r="DQ58" s="1392"/>
      <c r="DR58" s="1392"/>
      <c r="DS58" s="1392"/>
      <c r="DT58" s="1392"/>
      <c r="DU58" s="1392"/>
      <c r="DV58" s="1392"/>
      <c r="DW58" s="1392"/>
      <c r="DX58" s="1392"/>
      <c r="DY58" s="1392"/>
      <c r="DZ58" s="1392"/>
      <c r="EA58" s="1392"/>
      <c r="EB58" s="1392"/>
      <c r="EC58" s="1392"/>
      <c r="ED58" s="1392"/>
      <c r="EE58" s="1392"/>
      <c r="EF58" s="1392"/>
      <c r="EG58" s="1392"/>
      <c r="EH58" s="1392"/>
      <c r="EI58" s="1392"/>
      <c r="EJ58" s="1392"/>
      <c r="EK58" s="1392"/>
      <c r="EL58" s="1392"/>
      <c r="EM58" s="1392"/>
      <c r="EN58" s="1392"/>
      <c r="EO58" s="1392"/>
      <c r="EP58" s="1392"/>
      <c r="EQ58" s="1392"/>
      <c r="ER58" s="1392"/>
      <c r="ES58" s="1392"/>
      <c r="ET58" s="1392"/>
      <c r="EU58" s="1392"/>
      <c r="EV58" s="1392"/>
      <c r="EW58" s="1392"/>
      <c r="EX58" s="1392"/>
      <c r="EY58" s="1392"/>
      <c r="EZ58" s="1392"/>
      <c r="FA58" s="1392"/>
      <c r="FB58" s="1392"/>
      <c r="FC58" s="1392"/>
      <c r="FD58" s="1392"/>
      <c r="FE58" s="1392"/>
      <c r="FF58" s="1392"/>
      <c r="FG58" s="1392"/>
      <c r="FH58" s="1392"/>
      <c r="FI58" s="1392"/>
      <c r="FJ58" s="1392"/>
      <c r="FK58" s="1392"/>
      <c r="FL58" s="1392"/>
      <c r="FM58" s="1392"/>
      <c r="FN58" s="1392"/>
      <c r="FO58" s="1392"/>
      <c r="FP58" s="1392"/>
      <c r="FQ58" s="1392"/>
      <c r="FR58" s="1392"/>
      <c r="FS58" s="1392"/>
      <c r="FT58" s="1392"/>
      <c r="FU58" s="1392"/>
      <c r="FV58" s="1392"/>
      <c r="FW58" s="1392"/>
      <c r="FX58" s="1392"/>
      <c r="FY58" s="1392"/>
      <c r="FZ58" s="1392"/>
      <c r="GA58" s="1392"/>
      <c r="GB58" s="1392"/>
      <c r="GC58" s="1392"/>
      <c r="GD58" s="1392"/>
      <c r="GE58" s="1392"/>
      <c r="GF58" s="1392"/>
      <c r="GG58" s="1392"/>
      <c r="GH58" s="1392"/>
      <c r="GI58" s="1392"/>
      <c r="GJ58" s="1392"/>
      <c r="GK58" s="1392"/>
      <c r="GL58" s="1392"/>
      <c r="GM58" s="1392"/>
      <c r="GN58" s="1392"/>
      <c r="GO58" s="1392"/>
      <c r="GP58" s="1392"/>
      <c r="GQ58" s="1392"/>
      <c r="GR58" s="1392"/>
      <c r="GS58" s="1392"/>
      <c r="GT58" s="1392"/>
      <c r="GU58" s="1392"/>
      <c r="GV58" s="1392"/>
      <c r="GW58" s="1392"/>
      <c r="GX58" s="1392"/>
      <c r="GY58" s="1392"/>
      <c r="GZ58" s="1392"/>
      <c r="HA58" s="1392"/>
      <c r="HB58" s="1392"/>
      <c r="HC58" s="1392"/>
      <c r="HD58" s="1392"/>
      <c r="HE58" s="1392"/>
      <c r="HF58" s="1392"/>
      <c r="HG58" s="1392"/>
      <c r="HH58" s="1392"/>
      <c r="HI58" s="1392"/>
      <c r="HJ58" s="1392"/>
      <c r="HK58" s="1392"/>
      <c r="HL58" s="1392"/>
      <c r="HM58" s="1392"/>
      <c r="HN58" s="1392"/>
      <c r="HO58" s="1392"/>
      <c r="HP58" s="1392"/>
      <c r="HQ58" s="1392"/>
      <c r="HR58" s="1392"/>
      <c r="HS58" s="1392"/>
      <c r="HT58" s="1392"/>
      <c r="HU58" s="1392"/>
      <c r="HV58" s="1392"/>
      <c r="HW58" s="1392"/>
      <c r="HX58" s="1392"/>
      <c r="HY58" s="1392"/>
      <c r="HZ58" s="1392"/>
      <c r="IA58" s="1392"/>
      <c r="IB58" s="1392"/>
      <c r="IC58" s="1392"/>
      <c r="ID58" s="1392"/>
      <c r="IE58" s="1392"/>
      <c r="IF58" s="1392"/>
      <c r="IG58" s="1392"/>
    </row>
    <row r="59" spans="1:241" ht="14.15" customHeight="1">
      <c r="M59" s="1120"/>
      <c r="N59" s="1120"/>
      <c r="O59" s="582"/>
      <c r="P59" s="582"/>
      <c r="Q59" s="582"/>
      <c r="R59" s="582"/>
      <c r="T59" s="583"/>
      <c r="U59" s="582"/>
      <c r="V59" s="582"/>
      <c r="W59" s="582"/>
      <c r="X59" s="582"/>
      <c r="Y59" s="582"/>
      <c r="Z59" s="582"/>
      <c r="AA59" s="582"/>
      <c r="AB59" s="582"/>
      <c r="AC59" s="582"/>
      <c r="AD59" s="582"/>
      <c r="AE59" s="582"/>
      <c r="AF59" s="582"/>
      <c r="AG59" s="582"/>
      <c r="AH59" s="582"/>
      <c r="AI59" s="582"/>
      <c r="AJ59" s="582"/>
      <c r="AK59" s="582"/>
      <c r="AL59" s="582"/>
      <c r="AM59" s="582"/>
      <c r="AN59" s="582"/>
      <c r="AO59" s="582"/>
      <c r="AP59" s="582"/>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44"/>
      <c r="CA59" s="144"/>
      <c r="CB59" s="144"/>
      <c r="CC59" s="144"/>
      <c r="CD59" s="144"/>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c r="DC59" s="144"/>
      <c r="DD59" s="144"/>
      <c r="DE59" s="144"/>
      <c r="DF59" s="144"/>
      <c r="DG59" s="144"/>
      <c r="DH59" s="144"/>
      <c r="DI59" s="144"/>
      <c r="DJ59" s="144"/>
      <c r="DK59" s="144"/>
      <c r="DL59" s="144"/>
      <c r="DM59" s="144"/>
      <c r="DN59" s="144"/>
      <c r="DO59" s="144"/>
      <c r="DP59" s="144"/>
      <c r="DQ59" s="144"/>
      <c r="DR59" s="144"/>
      <c r="DS59" s="144"/>
      <c r="DT59" s="144"/>
      <c r="DU59" s="144"/>
      <c r="DV59" s="144"/>
      <c r="DW59" s="144"/>
      <c r="DX59" s="144"/>
      <c r="DY59" s="144"/>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44"/>
      <c r="FG59" s="144"/>
      <c r="FH59" s="144"/>
      <c r="FI59" s="144"/>
      <c r="FJ59" s="144"/>
      <c r="FK59" s="144"/>
      <c r="FL59" s="144"/>
      <c r="FM59" s="144"/>
      <c r="FN59" s="144"/>
      <c r="FO59" s="144"/>
      <c r="FP59" s="144"/>
      <c r="FQ59" s="144"/>
      <c r="FR59" s="144"/>
      <c r="FS59" s="144"/>
      <c r="FT59" s="144"/>
      <c r="FU59" s="144"/>
      <c r="FV59" s="144"/>
      <c r="FW59" s="144"/>
      <c r="FX59" s="144"/>
      <c r="FY59" s="144"/>
      <c r="FZ59" s="144"/>
      <c r="GA59" s="144"/>
      <c r="GB59" s="144"/>
      <c r="GC59" s="144"/>
      <c r="GD59" s="144"/>
      <c r="GE59" s="144"/>
      <c r="GF59" s="144"/>
      <c r="GG59" s="144"/>
      <c r="GH59" s="144"/>
      <c r="GI59" s="144"/>
      <c r="GJ59" s="144"/>
      <c r="GK59" s="144"/>
      <c r="GL59" s="144"/>
      <c r="GM59" s="144"/>
      <c r="GN59" s="144"/>
      <c r="GO59" s="144"/>
      <c r="GP59" s="144"/>
      <c r="GQ59" s="144"/>
      <c r="GR59" s="144"/>
      <c r="GS59" s="144"/>
      <c r="GT59" s="144"/>
      <c r="GU59" s="144"/>
      <c r="GV59" s="144"/>
      <c r="GW59" s="144"/>
      <c r="GX59" s="144"/>
      <c r="GY59" s="144"/>
      <c r="GZ59" s="144"/>
      <c r="HA59" s="144"/>
      <c r="HB59" s="144"/>
      <c r="HC59" s="144"/>
      <c r="HD59" s="144"/>
      <c r="HE59" s="144"/>
      <c r="HF59" s="144"/>
      <c r="HG59" s="144"/>
      <c r="HH59" s="144"/>
      <c r="HI59" s="144"/>
      <c r="HJ59" s="144"/>
      <c r="HK59" s="144"/>
      <c r="HL59" s="144"/>
      <c r="HM59" s="144"/>
      <c r="HN59" s="144"/>
      <c r="HO59" s="144"/>
      <c r="HP59" s="144"/>
      <c r="HQ59" s="144"/>
      <c r="HR59" s="144"/>
      <c r="HS59" s="144"/>
      <c r="HT59" s="144"/>
      <c r="HU59" s="144"/>
      <c r="HV59" s="144"/>
      <c r="HW59" s="144"/>
      <c r="HX59" s="144"/>
      <c r="HY59" s="144"/>
      <c r="HZ59" s="144"/>
      <c r="IA59" s="144"/>
      <c r="IB59" s="144"/>
      <c r="IC59" s="144"/>
      <c r="ID59" s="144"/>
      <c r="IE59" s="144"/>
      <c r="IF59" s="144"/>
      <c r="IG59" s="144"/>
    </row>
    <row r="60" spans="1:241" ht="14.15" customHeight="1">
      <c r="A60" s="144"/>
      <c r="B60" s="143"/>
      <c r="C60" s="143"/>
      <c r="D60" s="143"/>
      <c r="E60" s="143"/>
      <c r="F60" s="143"/>
      <c r="G60" s="143"/>
      <c r="H60" s="143"/>
      <c r="I60" s="143"/>
      <c r="J60" s="143"/>
      <c r="K60" s="143"/>
      <c r="M60" s="1120"/>
      <c r="N60" s="1120"/>
      <c r="O60" s="582"/>
      <c r="P60" s="582"/>
      <c r="Q60" s="582"/>
      <c r="R60" s="582"/>
      <c r="T60" s="583"/>
      <c r="U60" s="582"/>
      <c r="V60" s="582"/>
      <c r="W60" s="582"/>
      <c r="X60" s="582"/>
      <c r="Y60" s="582"/>
      <c r="Z60" s="582"/>
      <c r="AA60" s="582"/>
      <c r="AB60" s="582"/>
      <c r="AC60" s="582"/>
      <c r="AD60" s="582"/>
      <c r="AE60" s="582"/>
      <c r="AF60" s="582"/>
      <c r="AG60" s="582"/>
      <c r="AH60" s="582"/>
      <c r="AI60" s="582"/>
      <c r="AJ60" s="582"/>
      <c r="AK60" s="582"/>
      <c r="AL60" s="582"/>
      <c r="AM60" s="582"/>
      <c r="AN60" s="582"/>
      <c r="AO60" s="582"/>
      <c r="AP60" s="582"/>
      <c r="AQ60" s="144"/>
      <c r="AR60" s="144"/>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144"/>
      <c r="BP60" s="144"/>
      <c r="BQ60" s="144"/>
      <c r="BR60" s="144"/>
      <c r="BS60" s="144"/>
      <c r="BT60" s="144"/>
      <c r="BU60" s="144"/>
      <c r="BV60" s="144"/>
      <c r="BW60" s="144"/>
      <c r="BX60" s="144"/>
      <c r="BY60" s="144"/>
      <c r="BZ60" s="144"/>
      <c r="CA60" s="144"/>
      <c r="CB60" s="144"/>
      <c r="CC60" s="144"/>
      <c r="CD60" s="144"/>
      <c r="CE60" s="144"/>
      <c r="CF60" s="144"/>
      <c r="CG60" s="144"/>
      <c r="CH60" s="144"/>
      <c r="CI60" s="144"/>
      <c r="CJ60" s="144"/>
      <c r="CK60" s="144"/>
      <c r="CL60" s="144"/>
      <c r="CM60" s="144"/>
      <c r="CN60" s="144"/>
      <c r="CO60" s="144"/>
      <c r="CP60" s="144"/>
      <c r="CQ60" s="144"/>
      <c r="CR60" s="144"/>
      <c r="CS60" s="144"/>
      <c r="CT60" s="144"/>
      <c r="CU60" s="144"/>
      <c r="CV60" s="144"/>
      <c r="CW60" s="144"/>
      <c r="CX60" s="144"/>
      <c r="CY60" s="144"/>
      <c r="CZ60" s="144"/>
      <c r="DA60" s="144"/>
      <c r="DB60" s="144"/>
      <c r="DC60" s="144"/>
      <c r="DD60" s="144"/>
      <c r="DE60" s="144"/>
      <c r="DF60" s="144"/>
      <c r="DG60" s="144"/>
      <c r="DH60" s="144"/>
      <c r="DI60" s="144"/>
      <c r="DJ60" s="144"/>
      <c r="DK60" s="144"/>
      <c r="DL60" s="144"/>
      <c r="DM60" s="144"/>
      <c r="DN60" s="144"/>
      <c r="DO60" s="144"/>
      <c r="DP60" s="144"/>
      <c r="DQ60" s="144"/>
      <c r="DR60" s="144"/>
      <c r="DS60" s="144"/>
      <c r="DT60" s="144"/>
      <c r="DU60" s="144"/>
      <c r="DV60" s="144"/>
      <c r="DW60" s="144"/>
      <c r="DX60" s="144"/>
      <c r="DY60" s="144"/>
      <c r="DZ60" s="144"/>
      <c r="EA60" s="144"/>
      <c r="EB60" s="144"/>
      <c r="EC60" s="144"/>
      <c r="ED60" s="144"/>
      <c r="EE60" s="144"/>
      <c r="EF60" s="144"/>
      <c r="EG60" s="144"/>
      <c r="EH60" s="144"/>
      <c r="EI60" s="144"/>
      <c r="EJ60" s="144"/>
      <c r="EK60" s="144"/>
      <c r="EL60" s="144"/>
      <c r="EM60" s="144"/>
      <c r="EN60" s="144"/>
      <c r="EO60" s="144"/>
      <c r="EP60" s="144"/>
      <c r="EQ60" s="144"/>
      <c r="ER60" s="144"/>
      <c r="ES60" s="144"/>
      <c r="ET60" s="144"/>
      <c r="EU60" s="144"/>
      <c r="EV60" s="144"/>
      <c r="EW60" s="144"/>
      <c r="EX60" s="144"/>
      <c r="EY60" s="144"/>
      <c r="EZ60" s="144"/>
      <c r="FA60" s="144"/>
      <c r="FB60" s="144"/>
      <c r="FC60" s="144"/>
      <c r="FD60" s="144"/>
      <c r="FE60" s="144"/>
      <c r="FF60" s="144"/>
      <c r="FG60" s="144"/>
      <c r="FH60" s="144"/>
      <c r="FI60" s="144"/>
      <c r="FJ60" s="144"/>
      <c r="FK60" s="144"/>
      <c r="FL60" s="144"/>
      <c r="FM60" s="144"/>
      <c r="FN60" s="144"/>
      <c r="FO60" s="144"/>
      <c r="FP60" s="144"/>
      <c r="FQ60" s="144"/>
      <c r="FR60" s="144"/>
      <c r="FS60" s="144"/>
      <c r="FT60" s="144"/>
      <c r="FU60" s="144"/>
      <c r="FV60" s="144"/>
      <c r="FW60" s="144"/>
      <c r="FX60" s="144"/>
      <c r="FY60" s="144"/>
      <c r="FZ60" s="144"/>
      <c r="GA60" s="144"/>
      <c r="GB60" s="144"/>
      <c r="GC60" s="144"/>
      <c r="GD60" s="144"/>
      <c r="GE60" s="144"/>
      <c r="GF60" s="144"/>
      <c r="GG60" s="144"/>
      <c r="GH60" s="144"/>
      <c r="GI60" s="144"/>
      <c r="GJ60" s="144"/>
      <c r="GK60" s="144"/>
      <c r="GL60" s="144"/>
      <c r="GM60" s="144"/>
      <c r="GN60" s="144"/>
      <c r="GO60" s="144"/>
      <c r="GP60" s="144"/>
      <c r="GQ60" s="144"/>
      <c r="GR60" s="144"/>
      <c r="GS60" s="144"/>
      <c r="GT60" s="144"/>
      <c r="GU60" s="144"/>
      <c r="GV60" s="144"/>
      <c r="GW60" s="144"/>
      <c r="GX60" s="144"/>
      <c r="GY60" s="144"/>
      <c r="GZ60" s="144"/>
      <c r="HA60" s="144"/>
      <c r="HB60" s="144"/>
      <c r="HC60" s="144"/>
      <c r="HD60" s="144"/>
      <c r="HE60" s="144"/>
      <c r="HF60" s="144"/>
      <c r="HG60" s="144"/>
      <c r="HH60" s="144"/>
      <c r="HI60" s="144"/>
      <c r="HJ60" s="144"/>
      <c r="HK60" s="144"/>
      <c r="HL60" s="144"/>
      <c r="HM60" s="144"/>
      <c r="HN60" s="144"/>
      <c r="HO60" s="144"/>
      <c r="HP60" s="144"/>
      <c r="HQ60" s="144"/>
      <c r="HR60" s="144"/>
      <c r="HS60" s="144"/>
      <c r="HT60" s="144"/>
      <c r="HU60" s="144"/>
      <c r="HV60" s="144"/>
      <c r="HW60" s="144"/>
      <c r="HX60" s="144"/>
      <c r="HY60" s="144"/>
      <c r="HZ60" s="144"/>
      <c r="IA60" s="144"/>
      <c r="IB60" s="144"/>
      <c r="IC60" s="144"/>
      <c r="ID60" s="144"/>
      <c r="IE60" s="144"/>
      <c r="IF60" s="144"/>
      <c r="IG60" s="144"/>
    </row>
    <row r="61" spans="1:241" ht="14.15" customHeight="1">
      <c r="A61" s="144"/>
      <c r="B61" s="143"/>
      <c r="C61" s="143"/>
      <c r="D61" s="143"/>
      <c r="E61" s="143"/>
      <c r="F61" s="143"/>
      <c r="G61" s="143"/>
      <c r="H61" s="143"/>
      <c r="I61" s="143"/>
      <c r="J61" s="143"/>
      <c r="K61" s="143"/>
      <c r="M61" s="1120"/>
      <c r="N61" s="1120"/>
      <c r="O61" s="582"/>
      <c r="P61" s="582"/>
      <c r="Q61" s="582"/>
      <c r="R61" s="582"/>
      <c r="T61" s="583"/>
      <c r="U61" s="582"/>
      <c r="V61" s="582"/>
      <c r="W61" s="582"/>
      <c r="X61" s="582"/>
      <c r="Y61" s="582"/>
      <c r="Z61" s="582"/>
      <c r="AA61" s="582"/>
      <c r="AB61" s="582"/>
      <c r="AC61" s="582"/>
      <c r="AD61" s="582"/>
      <c r="AE61" s="582"/>
      <c r="AF61" s="582"/>
      <c r="AG61" s="582"/>
      <c r="AH61" s="582"/>
      <c r="AI61" s="582"/>
      <c r="AJ61" s="582"/>
      <c r="AK61" s="582"/>
      <c r="AL61" s="582"/>
      <c r="AM61" s="582"/>
      <c r="AN61" s="582"/>
      <c r="AO61" s="582"/>
      <c r="AP61" s="582"/>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144"/>
      <c r="BP61" s="144"/>
      <c r="BQ61" s="144"/>
      <c r="BR61" s="144"/>
      <c r="BS61" s="144"/>
      <c r="BT61" s="144"/>
      <c r="BU61" s="144"/>
      <c r="BV61" s="144"/>
      <c r="BW61" s="144"/>
      <c r="BX61" s="144"/>
      <c r="BY61" s="144"/>
      <c r="BZ61" s="144"/>
      <c r="CA61" s="144"/>
      <c r="CB61" s="144"/>
      <c r="CC61" s="144"/>
      <c r="CD61" s="144"/>
      <c r="CE61" s="144"/>
      <c r="CF61" s="144"/>
      <c r="CG61" s="144"/>
      <c r="CH61" s="144"/>
      <c r="CI61" s="144"/>
      <c r="CJ61" s="144"/>
      <c r="CK61" s="144"/>
      <c r="CL61" s="144"/>
      <c r="CM61" s="144"/>
      <c r="CN61" s="144"/>
      <c r="CO61" s="144"/>
      <c r="CP61" s="144"/>
      <c r="CQ61" s="144"/>
      <c r="CR61" s="144"/>
      <c r="CS61" s="144"/>
      <c r="CT61" s="144"/>
      <c r="CU61" s="144"/>
      <c r="CV61" s="144"/>
      <c r="CW61" s="144"/>
      <c r="CX61" s="144"/>
      <c r="CY61" s="144"/>
      <c r="CZ61" s="144"/>
      <c r="DA61" s="144"/>
      <c r="DB61" s="144"/>
      <c r="DC61" s="144"/>
      <c r="DD61" s="144"/>
      <c r="DE61" s="144"/>
      <c r="DF61" s="144"/>
      <c r="DG61" s="144"/>
      <c r="DH61" s="144"/>
      <c r="DI61" s="144"/>
      <c r="DJ61" s="144"/>
      <c r="DK61" s="144"/>
      <c r="DL61" s="144"/>
      <c r="DM61" s="144"/>
      <c r="DN61" s="144"/>
      <c r="DO61" s="144"/>
      <c r="DP61" s="144"/>
      <c r="DQ61" s="144"/>
      <c r="DR61" s="144"/>
      <c r="DS61" s="144"/>
      <c r="DT61" s="144"/>
      <c r="DU61" s="144"/>
      <c r="DV61" s="144"/>
      <c r="DW61" s="144"/>
      <c r="DX61" s="144"/>
      <c r="DY61" s="144"/>
      <c r="DZ61" s="144"/>
      <c r="EA61" s="144"/>
      <c r="EB61" s="144"/>
      <c r="EC61" s="144"/>
      <c r="ED61" s="144"/>
      <c r="EE61" s="144"/>
      <c r="EF61" s="144"/>
      <c r="EG61" s="144"/>
      <c r="EH61" s="144"/>
      <c r="EI61" s="144"/>
      <c r="EJ61" s="144"/>
      <c r="EK61" s="144"/>
      <c r="EL61" s="144"/>
      <c r="EM61" s="144"/>
      <c r="EN61" s="144"/>
      <c r="EO61" s="144"/>
      <c r="EP61" s="144"/>
      <c r="EQ61" s="144"/>
      <c r="ER61" s="144"/>
      <c r="ES61" s="144"/>
      <c r="ET61" s="144"/>
      <c r="EU61" s="144"/>
      <c r="EV61" s="144"/>
      <c r="EW61" s="144"/>
      <c r="EX61" s="144"/>
      <c r="EY61" s="144"/>
      <c r="EZ61" s="144"/>
      <c r="FA61" s="144"/>
      <c r="FB61" s="144"/>
      <c r="FC61" s="144"/>
      <c r="FD61" s="144"/>
      <c r="FE61" s="144"/>
      <c r="FF61" s="144"/>
      <c r="FG61" s="144"/>
      <c r="FH61" s="144"/>
      <c r="FI61" s="144"/>
      <c r="FJ61" s="144"/>
      <c r="FK61" s="144"/>
      <c r="FL61" s="144"/>
      <c r="FM61" s="144"/>
      <c r="FN61" s="144"/>
      <c r="FO61" s="144"/>
      <c r="FP61" s="144"/>
      <c r="FQ61" s="144"/>
      <c r="FR61" s="144"/>
      <c r="FS61" s="144"/>
      <c r="FT61" s="144"/>
      <c r="FU61" s="144"/>
      <c r="FV61" s="144"/>
      <c r="FW61" s="144"/>
      <c r="FX61" s="144"/>
      <c r="FY61" s="144"/>
      <c r="FZ61" s="144"/>
      <c r="GA61" s="144"/>
      <c r="GB61" s="144"/>
      <c r="GC61" s="144"/>
      <c r="GD61" s="144"/>
      <c r="GE61" s="144"/>
      <c r="GF61" s="144"/>
      <c r="GG61" s="144"/>
      <c r="GH61" s="144"/>
      <c r="GI61" s="144"/>
      <c r="GJ61" s="144"/>
      <c r="GK61" s="144"/>
      <c r="GL61" s="144"/>
      <c r="GM61" s="144"/>
      <c r="GN61" s="144"/>
      <c r="GO61" s="144"/>
      <c r="GP61" s="144"/>
      <c r="GQ61" s="144"/>
      <c r="GR61" s="144"/>
      <c r="GS61" s="144"/>
      <c r="GT61" s="144"/>
      <c r="GU61" s="144"/>
      <c r="GV61" s="144"/>
      <c r="GW61" s="144"/>
      <c r="GX61" s="144"/>
      <c r="GY61" s="144"/>
      <c r="GZ61" s="144"/>
      <c r="HA61" s="144"/>
      <c r="HB61" s="144"/>
      <c r="HC61" s="144"/>
      <c r="HD61" s="144"/>
      <c r="HE61" s="144"/>
      <c r="HF61" s="144"/>
      <c r="HG61" s="144"/>
      <c r="HH61" s="144"/>
      <c r="HI61" s="144"/>
      <c r="HJ61" s="144"/>
      <c r="HK61" s="144"/>
      <c r="HL61" s="144"/>
      <c r="HM61" s="144"/>
      <c r="HN61" s="144"/>
      <c r="HO61" s="144"/>
      <c r="HP61" s="144"/>
      <c r="HQ61" s="144"/>
      <c r="HR61" s="144"/>
      <c r="HS61" s="144"/>
      <c r="HT61" s="144"/>
      <c r="HU61" s="144"/>
      <c r="HV61" s="144"/>
      <c r="HW61" s="144"/>
      <c r="HX61" s="144"/>
      <c r="HY61" s="144"/>
      <c r="HZ61" s="144"/>
      <c r="IA61" s="144"/>
      <c r="IB61" s="144"/>
      <c r="IC61" s="144"/>
      <c r="ID61" s="144"/>
      <c r="IE61" s="144"/>
      <c r="IF61" s="144"/>
      <c r="IG61" s="144"/>
    </row>
    <row r="62" spans="1:241" ht="14.15" customHeight="1">
      <c r="A62" s="144"/>
      <c r="B62" s="143"/>
      <c r="C62" s="143"/>
      <c r="D62" s="143"/>
      <c r="E62" s="143"/>
      <c r="F62" s="143"/>
      <c r="G62" s="143"/>
      <c r="H62" s="143"/>
      <c r="I62" s="143"/>
      <c r="J62" s="143"/>
      <c r="K62" s="143"/>
      <c r="M62" s="1120"/>
      <c r="N62" s="1120"/>
      <c r="V62" s="582"/>
      <c r="W62" s="1575"/>
      <c r="X62" s="1575"/>
      <c r="Y62" s="1575"/>
      <c r="Z62" s="1575"/>
      <c r="AA62" s="1575"/>
      <c r="AB62" s="1575"/>
      <c r="AC62" s="1575"/>
      <c r="AD62" s="582"/>
      <c r="AE62" s="582"/>
      <c r="AF62" s="582"/>
      <c r="AG62" s="582"/>
      <c r="AH62" s="582"/>
      <c r="AI62" s="582"/>
      <c r="AJ62" s="582"/>
      <c r="AK62" s="582"/>
      <c r="AL62" s="582"/>
      <c r="AM62" s="582"/>
      <c r="AN62" s="582"/>
      <c r="AO62" s="582"/>
      <c r="AP62" s="582"/>
      <c r="AQ62" s="144"/>
      <c r="AR62" s="144"/>
      <c r="AS62" s="144"/>
      <c r="AT62" s="144"/>
      <c r="AU62" s="144"/>
      <c r="AV62" s="144"/>
      <c r="AW62" s="144"/>
      <c r="AX62" s="144"/>
      <c r="AY62" s="144"/>
      <c r="AZ62" s="144"/>
      <c r="BA62" s="144"/>
      <c r="BB62" s="144"/>
      <c r="BC62" s="144"/>
      <c r="BD62" s="144"/>
      <c r="BE62" s="144"/>
      <c r="BF62" s="144"/>
      <c r="BG62" s="144"/>
      <c r="BH62" s="144"/>
      <c r="BI62" s="144"/>
      <c r="BJ62" s="144"/>
      <c r="BK62" s="144"/>
      <c r="BL62" s="144"/>
      <c r="BM62" s="144"/>
      <c r="BN62" s="144"/>
      <c r="BO62" s="144"/>
      <c r="BP62" s="144"/>
      <c r="BQ62" s="144"/>
      <c r="BR62" s="144"/>
      <c r="BS62" s="144"/>
      <c r="BT62" s="144"/>
      <c r="BU62" s="144"/>
      <c r="BV62" s="144"/>
      <c r="BW62" s="144"/>
      <c r="BX62" s="144"/>
      <c r="BY62" s="144"/>
      <c r="BZ62" s="144"/>
      <c r="CA62" s="144"/>
      <c r="CB62" s="144"/>
      <c r="CC62" s="144"/>
      <c r="CD62" s="144"/>
      <c r="CE62" s="144"/>
      <c r="CF62" s="144"/>
      <c r="CG62" s="144"/>
      <c r="CH62" s="144"/>
      <c r="CI62" s="144"/>
      <c r="CJ62" s="144"/>
      <c r="CK62" s="144"/>
      <c r="CL62" s="144"/>
      <c r="CM62" s="144"/>
      <c r="CN62" s="144"/>
      <c r="CO62" s="144"/>
      <c r="CP62" s="144"/>
      <c r="CQ62" s="144"/>
      <c r="CR62" s="144"/>
      <c r="CS62" s="144"/>
      <c r="CT62" s="144"/>
      <c r="CU62" s="144"/>
      <c r="CV62" s="144"/>
      <c r="CW62" s="144"/>
      <c r="CX62" s="144"/>
      <c r="CY62" s="144"/>
      <c r="CZ62" s="144"/>
      <c r="DA62" s="144"/>
      <c r="DB62" s="144"/>
      <c r="DC62" s="144"/>
      <c r="DD62" s="144"/>
      <c r="DE62" s="144"/>
      <c r="DF62" s="144"/>
      <c r="DG62" s="144"/>
      <c r="DH62" s="144"/>
      <c r="DI62" s="144"/>
      <c r="DJ62" s="144"/>
      <c r="DK62" s="144"/>
      <c r="DL62" s="144"/>
      <c r="DM62" s="144"/>
      <c r="DN62" s="144"/>
      <c r="DO62" s="144"/>
      <c r="DP62" s="144"/>
      <c r="DQ62" s="144"/>
      <c r="DR62" s="144"/>
      <c r="DS62" s="144"/>
      <c r="DT62" s="144"/>
      <c r="DU62" s="144"/>
      <c r="DV62" s="144"/>
      <c r="DW62" s="144"/>
      <c r="DX62" s="144"/>
      <c r="DY62" s="144"/>
      <c r="DZ62" s="144"/>
      <c r="EA62" s="144"/>
      <c r="EB62" s="144"/>
      <c r="EC62" s="144"/>
      <c r="ED62" s="144"/>
      <c r="EE62" s="144"/>
      <c r="EF62" s="144"/>
      <c r="EG62" s="144"/>
      <c r="EH62" s="144"/>
      <c r="EI62" s="144"/>
      <c r="EJ62" s="144"/>
      <c r="EK62" s="144"/>
      <c r="EL62" s="144"/>
      <c r="EM62" s="144"/>
      <c r="EN62" s="144"/>
      <c r="EO62" s="144"/>
      <c r="EP62" s="144"/>
      <c r="EQ62" s="144"/>
      <c r="ER62" s="144"/>
      <c r="ES62" s="144"/>
      <c r="ET62" s="144"/>
      <c r="EU62" s="144"/>
      <c r="EV62" s="144"/>
      <c r="EW62" s="144"/>
      <c r="EX62" s="144"/>
      <c r="EY62" s="144"/>
      <c r="EZ62" s="144"/>
      <c r="FA62" s="144"/>
      <c r="FB62" s="144"/>
      <c r="FC62" s="144"/>
      <c r="FD62" s="144"/>
      <c r="FE62" s="144"/>
      <c r="FF62" s="144"/>
      <c r="FG62" s="144"/>
      <c r="FH62" s="144"/>
      <c r="FI62" s="144"/>
      <c r="FJ62" s="144"/>
      <c r="FK62" s="144"/>
      <c r="FL62" s="144"/>
      <c r="FM62" s="144"/>
      <c r="FN62" s="144"/>
      <c r="FO62" s="144"/>
      <c r="FP62" s="144"/>
      <c r="FQ62" s="144"/>
      <c r="FR62" s="144"/>
      <c r="FS62" s="144"/>
      <c r="FT62" s="144"/>
      <c r="FU62" s="144"/>
      <c r="FV62" s="144"/>
      <c r="FW62" s="144"/>
      <c r="FX62" s="144"/>
      <c r="FY62" s="144"/>
      <c r="FZ62" s="144"/>
      <c r="GA62" s="144"/>
      <c r="GB62" s="144"/>
      <c r="GC62" s="144"/>
      <c r="GD62" s="144"/>
      <c r="GE62" s="144"/>
      <c r="GF62" s="144"/>
      <c r="GG62" s="144"/>
      <c r="GH62" s="144"/>
      <c r="GI62" s="144"/>
      <c r="GJ62" s="144"/>
      <c r="GK62" s="144"/>
      <c r="GL62" s="144"/>
      <c r="GM62" s="144"/>
      <c r="GN62" s="144"/>
      <c r="GO62" s="144"/>
      <c r="GP62" s="144"/>
      <c r="GQ62" s="144"/>
      <c r="GR62" s="144"/>
      <c r="GS62" s="144"/>
      <c r="GT62" s="144"/>
      <c r="GU62" s="144"/>
      <c r="GV62" s="144"/>
      <c r="GW62" s="144"/>
      <c r="GX62" s="144"/>
      <c r="GY62" s="144"/>
      <c r="GZ62" s="144"/>
      <c r="HA62" s="144"/>
      <c r="HB62" s="144"/>
      <c r="HC62" s="144"/>
      <c r="HD62" s="144"/>
      <c r="HE62" s="144"/>
      <c r="HF62" s="144"/>
      <c r="HG62" s="144"/>
      <c r="HH62" s="144"/>
      <c r="HI62" s="144"/>
      <c r="HJ62" s="144"/>
      <c r="HK62" s="144"/>
      <c r="HL62" s="144"/>
      <c r="HM62" s="144"/>
      <c r="HN62" s="144"/>
      <c r="HO62" s="144"/>
      <c r="HP62" s="144"/>
      <c r="HQ62" s="144"/>
      <c r="HR62" s="144"/>
      <c r="HS62" s="144"/>
      <c r="HT62" s="144"/>
      <c r="HU62" s="144"/>
      <c r="HV62" s="144"/>
      <c r="HW62" s="144"/>
      <c r="HX62" s="144"/>
      <c r="HY62" s="144"/>
      <c r="HZ62" s="144"/>
      <c r="IA62" s="144"/>
      <c r="IB62" s="144"/>
      <c r="IC62" s="144"/>
      <c r="ID62" s="144"/>
      <c r="IE62" s="144"/>
      <c r="IF62" s="144"/>
      <c r="IG62" s="144"/>
    </row>
    <row r="63" spans="1:241" ht="14.15" customHeight="1">
      <c r="A63" s="144"/>
      <c r="B63" s="143"/>
      <c r="C63" s="143"/>
      <c r="D63" s="143"/>
      <c r="E63" s="143"/>
      <c r="F63" s="143"/>
      <c r="G63" s="143"/>
      <c r="H63" s="143"/>
      <c r="I63" s="1568">
        <v>17303666344.539997</v>
      </c>
      <c r="J63" s="1568"/>
      <c r="K63" s="143"/>
      <c r="M63" s="1120"/>
      <c r="N63" s="1120"/>
      <c r="V63" s="582"/>
      <c r="W63" s="1575"/>
      <c r="X63" s="1575"/>
      <c r="Y63" s="1575"/>
      <c r="Z63" s="1575"/>
      <c r="AA63" s="1575"/>
      <c r="AB63" s="1575"/>
      <c r="AC63" s="1575"/>
      <c r="AD63" s="582"/>
      <c r="AE63" s="582"/>
      <c r="AF63" s="582"/>
      <c r="AG63" s="582"/>
      <c r="AH63" s="582"/>
      <c r="AI63" s="582"/>
      <c r="AJ63" s="582"/>
      <c r="AK63" s="582"/>
      <c r="AL63" s="582"/>
      <c r="AM63" s="582"/>
      <c r="AN63" s="582"/>
      <c r="AO63" s="582"/>
      <c r="AP63" s="582"/>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c r="CI63" s="144"/>
      <c r="CJ63" s="144"/>
      <c r="CK63" s="144"/>
      <c r="CL63" s="144"/>
      <c r="CM63" s="144"/>
      <c r="CN63" s="144"/>
      <c r="CO63" s="144"/>
      <c r="CP63" s="144"/>
      <c r="CQ63" s="144"/>
      <c r="CR63" s="144"/>
      <c r="CS63" s="144"/>
      <c r="CT63" s="144"/>
      <c r="CU63" s="144"/>
      <c r="CV63" s="144"/>
      <c r="CW63" s="144"/>
      <c r="CX63" s="144"/>
      <c r="CY63" s="144"/>
      <c r="CZ63" s="144"/>
      <c r="DA63" s="144"/>
      <c r="DB63" s="144"/>
      <c r="DC63" s="144"/>
      <c r="DD63" s="144"/>
      <c r="DE63" s="144"/>
      <c r="DF63" s="144"/>
      <c r="DG63" s="144"/>
      <c r="DH63" s="144"/>
      <c r="DI63" s="144"/>
      <c r="DJ63" s="144"/>
      <c r="DK63" s="144"/>
      <c r="DL63" s="144"/>
      <c r="DM63" s="144"/>
      <c r="DN63" s="144"/>
      <c r="DO63" s="144"/>
      <c r="DP63" s="144"/>
      <c r="DQ63" s="144"/>
      <c r="DR63" s="144"/>
      <c r="DS63" s="144"/>
      <c r="DT63" s="144"/>
      <c r="DU63" s="144"/>
      <c r="DV63" s="144"/>
      <c r="DW63" s="144"/>
      <c r="DX63" s="144"/>
      <c r="DY63" s="144"/>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144"/>
      <c r="GB63" s="144"/>
      <c r="GC63" s="144"/>
      <c r="GD63" s="144"/>
      <c r="GE63" s="144"/>
      <c r="GF63" s="144"/>
      <c r="GG63" s="144"/>
      <c r="GH63" s="144"/>
      <c r="GI63" s="144"/>
      <c r="GJ63" s="144"/>
      <c r="GK63" s="144"/>
      <c r="GL63" s="144"/>
      <c r="GM63" s="144"/>
      <c r="GN63" s="144"/>
      <c r="GO63" s="144"/>
      <c r="GP63" s="144"/>
      <c r="GQ63" s="144"/>
      <c r="GR63" s="144"/>
      <c r="GS63" s="144"/>
      <c r="GT63" s="144"/>
      <c r="GU63" s="144"/>
      <c r="GV63" s="144"/>
      <c r="GW63" s="144"/>
      <c r="GX63" s="144"/>
      <c r="GY63" s="144"/>
      <c r="GZ63" s="144"/>
      <c r="HA63" s="144"/>
      <c r="HB63" s="144"/>
      <c r="HC63" s="144"/>
      <c r="HD63" s="144"/>
      <c r="HE63" s="144"/>
      <c r="HF63" s="144"/>
      <c r="HG63" s="144"/>
      <c r="HH63" s="144"/>
      <c r="HI63" s="144"/>
      <c r="HJ63" s="144"/>
      <c r="HK63" s="144"/>
      <c r="HL63" s="144"/>
      <c r="HM63" s="144"/>
      <c r="HN63" s="144"/>
      <c r="HO63" s="144"/>
      <c r="HP63" s="144"/>
      <c r="HQ63" s="144"/>
      <c r="HR63" s="144"/>
      <c r="HS63" s="144"/>
      <c r="HT63" s="144"/>
      <c r="HU63" s="144"/>
      <c r="HV63" s="144"/>
      <c r="HW63" s="144"/>
      <c r="HX63" s="144"/>
      <c r="HY63" s="144"/>
      <c r="HZ63" s="144"/>
      <c r="IA63" s="144"/>
      <c r="IB63" s="144"/>
      <c r="IC63" s="144"/>
      <c r="ID63" s="144"/>
      <c r="IE63" s="144"/>
      <c r="IF63" s="144"/>
      <c r="IG63" s="144"/>
    </row>
    <row r="64" spans="1:241" ht="14.15" customHeight="1">
      <c r="A64" s="144"/>
      <c r="B64" s="143"/>
      <c r="C64" s="143"/>
      <c r="D64" s="143"/>
      <c r="E64" s="143"/>
      <c r="F64" s="143"/>
      <c r="G64" s="143"/>
      <c r="H64" s="143"/>
      <c r="I64" s="1568">
        <v>17237352000</v>
      </c>
      <c r="J64" s="1568"/>
      <c r="K64" s="143"/>
      <c r="M64" s="1120"/>
      <c r="N64" s="1120"/>
      <c r="V64" s="582"/>
      <c r="W64" s="1575"/>
      <c r="X64" s="1575"/>
      <c r="Y64" s="1575"/>
      <c r="Z64" s="1575"/>
      <c r="AA64" s="1576"/>
      <c r="AB64" s="1576"/>
      <c r="AC64" s="1576"/>
      <c r="AD64" s="582"/>
      <c r="AE64" s="582"/>
      <c r="AF64" s="582"/>
      <c r="AG64" s="582"/>
      <c r="AH64" s="582"/>
      <c r="AI64" s="582"/>
      <c r="AJ64" s="582"/>
      <c r="AK64" s="582"/>
      <c r="AL64" s="582"/>
      <c r="AM64" s="582"/>
      <c r="AN64" s="582"/>
      <c r="AO64" s="582"/>
      <c r="AP64" s="582"/>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c r="BW64" s="144"/>
      <c r="BX64" s="144"/>
      <c r="BY64" s="144"/>
      <c r="BZ64" s="144"/>
      <c r="CA64" s="144"/>
      <c r="CB64" s="144"/>
      <c r="CC64" s="144"/>
      <c r="CD64" s="144"/>
      <c r="CE64" s="144"/>
      <c r="CF64" s="144"/>
      <c r="CG64" s="144"/>
      <c r="CH64" s="144"/>
      <c r="CI64" s="144"/>
      <c r="CJ64" s="144"/>
      <c r="CK64" s="144"/>
      <c r="CL64" s="144"/>
      <c r="CM64" s="144"/>
      <c r="CN64" s="144"/>
      <c r="CO64" s="144"/>
      <c r="CP64" s="144"/>
      <c r="CQ64" s="144"/>
      <c r="CR64" s="144"/>
      <c r="CS64" s="144"/>
      <c r="CT64" s="144"/>
      <c r="CU64" s="144"/>
      <c r="CV64" s="144"/>
      <c r="CW64" s="144"/>
      <c r="CX64" s="144"/>
      <c r="CY64" s="144"/>
      <c r="CZ64" s="144"/>
      <c r="DA64" s="144"/>
      <c r="DB64" s="144"/>
      <c r="DC64" s="144"/>
      <c r="DD64" s="144"/>
      <c r="DE64" s="144"/>
      <c r="DF64" s="144"/>
      <c r="DG64" s="144"/>
      <c r="DH64" s="144"/>
      <c r="DI64" s="144"/>
      <c r="DJ64" s="144"/>
      <c r="DK64" s="144"/>
      <c r="DL64" s="144"/>
      <c r="DM64" s="144"/>
      <c r="DN64" s="144"/>
      <c r="DO64" s="144"/>
      <c r="DP64" s="144"/>
      <c r="DQ64" s="144"/>
      <c r="DR64" s="144"/>
      <c r="DS64" s="144"/>
      <c r="DT64" s="144"/>
      <c r="DU64" s="144"/>
      <c r="DV64" s="144"/>
      <c r="DW64" s="144"/>
      <c r="DX64" s="144"/>
      <c r="DY64" s="144"/>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c r="FX64" s="144"/>
      <c r="FY64" s="144"/>
      <c r="FZ64" s="144"/>
      <c r="GA64" s="144"/>
      <c r="GB64" s="144"/>
      <c r="GC64" s="144"/>
      <c r="GD64" s="144"/>
      <c r="GE64" s="144"/>
      <c r="GF64" s="144"/>
      <c r="GG64" s="144"/>
      <c r="GH64" s="144"/>
      <c r="GI64" s="144"/>
      <c r="GJ64" s="144"/>
      <c r="GK64" s="144"/>
      <c r="GL64" s="144"/>
      <c r="GM64" s="144"/>
      <c r="GN64" s="144"/>
      <c r="GO64" s="144"/>
      <c r="GP64" s="144"/>
      <c r="GQ64" s="144"/>
      <c r="GR64" s="144"/>
      <c r="GS64" s="144"/>
      <c r="GT64" s="144"/>
      <c r="GU64" s="144"/>
      <c r="GV64" s="144"/>
      <c r="GW64" s="144"/>
      <c r="GX64" s="144"/>
      <c r="GY64" s="144"/>
      <c r="GZ64" s="144"/>
      <c r="HA64" s="144"/>
      <c r="HB64" s="144"/>
      <c r="HC64" s="144"/>
      <c r="HD64" s="144"/>
      <c r="HE64" s="144"/>
      <c r="HF64" s="144"/>
      <c r="HG64" s="144"/>
      <c r="HH64" s="144"/>
      <c r="HI64" s="144"/>
      <c r="HJ64" s="144"/>
      <c r="HK64" s="144"/>
      <c r="HL64" s="144"/>
      <c r="HM64" s="144"/>
      <c r="HN64" s="144"/>
      <c r="HO64" s="144"/>
      <c r="HP64" s="144"/>
      <c r="HQ64" s="144"/>
      <c r="HR64" s="144"/>
      <c r="HS64" s="144"/>
      <c r="HT64" s="144"/>
      <c r="HU64" s="144"/>
      <c r="HV64" s="144"/>
      <c r="HW64" s="144"/>
      <c r="HX64" s="144"/>
      <c r="HY64" s="144"/>
      <c r="HZ64" s="144"/>
      <c r="IA64" s="144"/>
      <c r="IB64" s="144"/>
      <c r="IC64" s="144"/>
      <c r="ID64" s="144"/>
      <c r="IE64" s="144"/>
      <c r="IF64" s="144"/>
      <c r="IG64" s="144"/>
    </row>
    <row r="65" spans="1:241" ht="14.15" customHeight="1">
      <c r="A65" s="144"/>
      <c r="B65" s="143"/>
      <c r="C65" s="143"/>
      <c r="D65" s="143"/>
      <c r="E65" s="143"/>
      <c r="F65" s="143"/>
      <c r="G65" s="143"/>
      <c r="H65" s="143"/>
      <c r="I65" s="1568">
        <f>I63-I64</f>
        <v>66314344.539997101</v>
      </c>
      <c r="J65" s="1568"/>
      <c r="K65" s="143"/>
      <c r="M65" s="1120"/>
      <c r="N65" s="1120"/>
      <c r="V65" s="582"/>
      <c r="W65" s="1575"/>
      <c r="X65" s="1575"/>
      <c r="Y65" s="1575"/>
      <c r="Z65" s="1575"/>
      <c r="AA65" s="1576"/>
      <c r="AB65" s="1576"/>
      <c r="AC65" s="1576"/>
      <c r="AD65" s="582"/>
      <c r="AE65" s="582"/>
      <c r="AF65" s="582"/>
      <c r="AG65" s="582"/>
      <c r="AH65" s="582"/>
      <c r="AI65" s="582"/>
      <c r="AJ65" s="582"/>
      <c r="AK65" s="582"/>
      <c r="AL65" s="582"/>
      <c r="AM65" s="582"/>
      <c r="AN65" s="582"/>
      <c r="AO65" s="582"/>
      <c r="AP65" s="582"/>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4"/>
      <c r="FF65" s="144"/>
      <c r="FG65" s="144"/>
      <c r="FH65" s="144"/>
      <c r="FI65" s="144"/>
      <c r="FJ65" s="144"/>
      <c r="FK65" s="144"/>
      <c r="FL65" s="144"/>
      <c r="FM65" s="144"/>
      <c r="FN65" s="144"/>
      <c r="FO65" s="144"/>
      <c r="FP65" s="144"/>
      <c r="FQ65" s="144"/>
      <c r="FR65" s="144"/>
      <c r="FS65" s="144"/>
      <c r="FT65" s="144"/>
      <c r="FU65" s="144"/>
      <c r="FV65" s="144"/>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row>
    <row r="66" spans="1:241" ht="14.15" customHeight="1">
      <c r="A66" s="144"/>
      <c r="B66" s="143"/>
      <c r="C66" s="143"/>
      <c r="D66" s="143"/>
      <c r="E66" s="143"/>
      <c r="F66" s="143"/>
      <c r="G66" s="143"/>
      <c r="H66" s="143"/>
      <c r="I66" s="401">
        <f>I65/I63</f>
        <v>3.8323869184476007E-3</v>
      </c>
      <c r="J66" s="401"/>
      <c r="K66" s="143"/>
      <c r="M66" s="1120"/>
      <c r="N66" s="1120"/>
      <c r="V66" s="582"/>
      <c r="W66" s="1575"/>
      <c r="X66" s="1575"/>
      <c r="Y66" s="1575"/>
      <c r="Z66" s="1575"/>
      <c r="AA66" s="1576"/>
      <c r="AB66" s="1576"/>
      <c r="AC66" s="1576"/>
      <c r="AD66" s="582"/>
      <c r="AE66" s="582"/>
      <c r="AF66" s="582"/>
      <c r="AG66" s="582"/>
      <c r="AH66" s="582"/>
      <c r="AI66" s="582"/>
      <c r="AJ66" s="582"/>
      <c r="AK66" s="582"/>
      <c r="AL66" s="582"/>
      <c r="AM66" s="582"/>
      <c r="AN66" s="582"/>
      <c r="AO66" s="582"/>
      <c r="AP66" s="582"/>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44"/>
      <c r="DE66" s="144"/>
      <c r="DF66" s="144"/>
      <c r="DG66" s="144"/>
      <c r="DH66" s="144"/>
      <c r="DI66" s="144"/>
      <c r="DJ66" s="144"/>
      <c r="DK66" s="144"/>
      <c r="DL66" s="144"/>
      <c r="DM66" s="144"/>
      <c r="DN66" s="144"/>
      <c r="DO66" s="144"/>
      <c r="DP66" s="144"/>
      <c r="DQ66" s="144"/>
      <c r="DR66" s="144"/>
      <c r="DS66" s="144"/>
      <c r="DT66" s="144"/>
      <c r="DU66" s="144"/>
      <c r="DV66" s="144"/>
      <c r="DW66" s="144"/>
      <c r="DX66" s="144"/>
      <c r="DY66" s="144"/>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4"/>
      <c r="FF66" s="144"/>
      <c r="FG66" s="144"/>
      <c r="FH66" s="144"/>
      <c r="FI66" s="144"/>
      <c r="FJ66" s="144"/>
      <c r="FK66" s="144"/>
      <c r="FL66" s="144"/>
      <c r="FM66" s="144"/>
      <c r="FN66" s="144"/>
      <c r="FO66" s="144"/>
      <c r="FP66" s="144"/>
      <c r="FQ66" s="144"/>
      <c r="FR66" s="144"/>
      <c r="FS66" s="144"/>
      <c r="FT66" s="144"/>
      <c r="FU66" s="144"/>
      <c r="FV66" s="144"/>
      <c r="FW66" s="144"/>
      <c r="FX66" s="144"/>
      <c r="FY66" s="144"/>
      <c r="FZ66" s="144"/>
      <c r="GA66" s="144"/>
      <c r="GB66" s="144"/>
      <c r="GC66" s="144"/>
      <c r="GD66" s="144"/>
      <c r="GE66" s="144"/>
      <c r="GF66" s="144"/>
      <c r="GG66" s="144"/>
      <c r="GH66" s="144"/>
      <c r="GI66" s="144"/>
      <c r="GJ66" s="144"/>
      <c r="GK66" s="144"/>
      <c r="GL66" s="144"/>
      <c r="GM66" s="144"/>
      <c r="GN66" s="144"/>
      <c r="GO66" s="144"/>
      <c r="GP66" s="144"/>
      <c r="GQ66" s="144"/>
      <c r="GR66" s="144"/>
      <c r="GS66" s="144"/>
      <c r="GT66" s="144"/>
      <c r="GU66" s="144"/>
      <c r="GV66" s="144"/>
      <c r="GW66" s="144"/>
      <c r="GX66" s="144"/>
      <c r="GY66" s="144"/>
      <c r="GZ66" s="144"/>
      <c r="HA66" s="144"/>
      <c r="HB66" s="144"/>
      <c r="HC66" s="144"/>
      <c r="HD66" s="144"/>
      <c r="HE66" s="144"/>
      <c r="HF66" s="144"/>
      <c r="HG66" s="144"/>
      <c r="HH66" s="144"/>
      <c r="HI66" s="144"/>
      <c r="HJ66" s="144"/>
      <c r="HK66" s="144"/>
      <c r="HL66" s="144"/>
      <c r="HM66" s="144"/>
      <c r="HN66" s="144"/>
      <c r="HO66" s="144"/>
      <c r="HP66" s="144"/>
      <c r="HQ66" s="144"/>
      <c r="HR66" s="144"/>
      <c r="HS66" s="144"/>
      <c r="HT66" s="144"/>
      <c r="HU66" s="144"/>
      <c r="HV66" s="144"/>
      <c r="HW66" s="144"/>
      <c r="HX66" s="144"/>
      <c r="HY66" s="144"/>
      <c r="HZ66" s="144"/>
      <c r="IA66" s="144"/>
      <c r="IB66" s="144"/>
      <c r="IC66" s="144"/>
      <c r="ID66" s="144"/>
      <c r="IE66" s="144"/>
      <c r="IF66" s="144"/>
      <c r="IG66" s="144"/>
    </row>
    <row r="67" spans="1:241" ht="14.15" customHeight="1">
      <c r="A67" s="144"/>
      <c r="B67" s="143"/>
      <c r="C67" s="143"/>
      <c r="D67" s="143"/>
      <c r="E67" s="143"/>
      <c r="F67" s="143"/>
      <c r="G67" s="143"/>
      <c r="H67" s="143"/>
      <c r="I67" s="143"/>
      <c r="J67" s="143"/>
      <c r="K67" s="143"/>
      <c r="M67" s="1120"/>
      <c r="N67" s="1120"/>
      <c r="V67" s="582"/>
      <c r="W67" s="1575"/>
      <c r="X67" s="1575"/>
      <c r="Y67" s="1575"/>
      <c r="Z67" s="1575"/>
      <c r="AA67" s="1576"/>
      <c r="AB67" s="1576"/>
      <c r="AC67" s="1576"/>
      <c r="AD67" s="582"/>
      <c r="AE67" s="582"/>
      <c r="AF67" s="582"/>
      <c r="AG67" s="582"/>
      <c r="AH67" s="582"/>
      <c r="AI67" s="582"/>
      <c r="AJ67" s="582"/>
      <c r="AK67" s="582"/>
      <c r="AL67" s="582"/>
      <c r="AM67" s="582"/>
      <c r="AN67" s="582"/>
      <c r="AO67" s="582"/>
      <c r="AP67" s="582"/>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c r="GT67" s="144"/>
      <c r="GU67" s="144"/>
      <c r="GV67" s="144"/>
      <c r="GW67" s="144"/>
      <c r="GX67" s="144"/>
      <c r="GY67" s="144"/>
      <c r="GZ67" s="144"/>
      <c r="HA67" s="144"/>
      <c r="HB67" s="144"/>
      <c r="HC67" s="144"/>
      <c r="HD67" s="144"/>
      <c r="HE67" s="144"/>
      <c r="HF67" s="144"/>
      <c r="HG67" s="144"/>
      <c r="HH67" s="144"/>
      <c r="HI67" s="144"/>
      <c r="HJ67" s="144"/>
      <c r="HK67" s="144"/>
      <c r="HL67" s="144"/>
      <c r="HM67" s="144"/>
      <c r="HN67" s="144"/>
      <c r="HO67" s="144"/>
      <c r="HP67" s="144"/>
      <c r="HQ67" s="144"/>
      <c r="HR67" s="144"/>
      <c r="HS67" s="144"/>
      <c r="HT67" s="144"/>
      <c r="HU67" s="144"/>
      <c r="HV67" s="144"/>
      <c r="HW67" s="144"/>
      <c r="HX67" s="144"/>
      <c r="HY67" s="144"/>
      <c r="HZ67" s="144"/>
      <c r="IA67" s="144"/>
      <c r="IB67" s="144"/>
      <c r="IC67" s="144"/>
      <c r="ID67" s="144"/>
      <c r="IE67" s="144"/>
      <c r="IF67" s="144"/>
      <c r="IG67" s="144"/>
    </row>
    <row r="68" spans="1:241" ht="14.15" customHeight="1">
      <c r="A68" s="144"/>
      <c r="B68" s="143"/>
      <c r="C68" s="143"/>
      <c r="D68" s="143"/>
      <c r="E68" s="143"/>
      <c r="F68" s="143"/>
      <c r="G68" s="143"/>
      <c r="H68" s="143"/>
      <c r="I68" s="143"/>
      <c r="J68" s="143"/>
      <c r="K68" s="143"/>
      <c r="M68" s="1120"/>
      <c r="N68" s="1120"/>
      <c r="V68" s="582"/>
      <c r="W68" s="1575"/>
      <c r="X68" s="1575"/>
      <c r="Y68" s="1575"/>
      <c r="Z68" s="1575"/>
      <c r="AA68" s="1575"/>
      <c r="AB68" s="1575"/>
      <c r="AC68" s="1575"/>
      <c r="AD68" s="582"/>
      <c r="AE68" s="582"/>
      <c r="AF68" s="582"/>
      <c r="AG68" s="582"/>
      <c r="AH68" s="582"/>
      <c r="AI68" s="582"/>
      <c r="AJ68" s="582"/>
      <c r="AK68" s="582"/>
      <c r="AL68" s="582"/>
      <c r="AM68" s="582"/>
      <c r="AN68" s="582"/>
      <c r="AO68" s="582"/>
      <c r="AP68" s="582"/>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4"/>
      <c r="CP68" s="144"/>
      <c r="CQ68" s="144"/>
      <c r="CR68" s="144"/>
      <c r="CS68" s="144"/>
      <c r="CT68" s="14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c r="GT68" s="144"/>
      <c r="GU68" s="144"/>
      <c r="GV68" s="144"/>
      <c r="GW68" s="144"/>
      <c r="GX68" s="144"/>
      <c r="GY68" s="144"/>
      <c r="GZ68" s="144"/>
      <c r="HA68" s="144"/>
      <c r="HB68" s="144"/>
      <c r="HC68" s="144"/>
      <c r="HD68" s="144"/>
      <c r="HE68" s="144"/>
      <c r="HF68" s="144"/>
      <c r="HG68" s="144"/>
      <c r="HH68" s="144"/>
      <c r="HI68" s="144"/>
      <c r="HJ68" s="144"/>
      <c r="HK68" s="144"/>
      <c r="HL68" s="144"/>
      <c r="HM68" s="144"/>
      <c r="HN68" s="144"/>
      <c r="HO68" s="144"/>
      <c r="HP68" s="144"/>
      <c r="HQ68" s="144"/>
      <c r="HR68" s="144"/>
      <c r="HS68" s="144"/>
      <c r="HT68" s="144"/>
      <c r="HU68" s="144"/>
      <c r="HV68" s="144"/>
      <c r="HW68" s="144"/>
      <c r="HX68" s="144"/>
      <c r="HY68" s="144"/>
      <c r="HZ68" s="144"/>
      <c r="IA68" s="144"/>
      <c r="IB68" s="144"/>
      <c r="IC68" s="144"/>
      <c r="ID68" s="144"/>
      <c r="IE68" s="144"/>
      <c r="IF68" s="144"/>
      <c r="IG68" s="144"/>
    </row>
    <row r="69" spans="1:241" ht="14.15" customHeight="1">
      <c r="A69" s="144"/>
      <c r="B69" s="143"/>
      <c r="C69" s="143"/>
      <c r="D69" s="143"/>
      <c r="E69" s="143"/>
      <c r="F69" s="143"/>
      <c r="G69" s="143"/>
      <c r="H69" s="143"/>
      <c r="I69" s="143"/>
      <c r="J69" s="143"/>
      <c r="K69" s="143"/>
      <c r="M69" s="1120"/>
      <c r="N69" s="1120"/>
      <c r="V69" s="582"/>
      <c r="W69" s="1575"/>
      <c r="X69" s="1575"/>
      <c r="Y69" s="1575"/>
      <c r="Z69" s="1575"/>
      <c r="AA69" s="1575"/>
      <c r="AB69" s="1575"/>
      <c r="AC69" s="1575"/>
      <c r="AD69" s="582"/>
      <c r="AE69" s="582"/>
      <c r="AF69" s="582"/>
      <c r="AG69" s="582"/>
      <c r="AH69" s="582"/>
      <c r="AI69" s="582"/>
      <c r="AJ69" s="582"/>
      <c r="AK69" s="582"/>
      <c r="AL69" s="582"/>
      <c r="AM69" s="582"/>
      <c r="AN69" s="582"/>
      <c r="AO69" s="582"/>
      <c r="AP69" s="582"/>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c r="CI69" s="144"/>
      <c r="CJ69" s="144"/>
      <c r="CK69" s="144"/>
      <c r="CL69" s="144"/>
      <c r="CM69" s="144"/>
      <c r="CN69" s="144"/>
      <c r="CO69" s="144"/>
      <c r="CP69" s="144"/>
      <c r="CQ69" s="144"/>
      <c r="CR69" s="144"/>
      <c r="CS69" s="144"/>
      <c r="CT69" s="144"/>
      <c r="CU69" s="144"/>
      <c r="CV69" s="144"/>
      <c r="CW69" s="144"/>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144"/>
      <c r="DT69" s="144"/>
      <c r="DU69" s="144"/>
      <c r="DV69" s="144"/>
      <c r="DW69" s="144"/>
      <c r="DX69" s="144"/>
      <c r="DY69" s="144"/>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4"/>
      <c r="FF69" s="144"/>
      <c r="FG69" s="144"/>
      <c r="FH69" s="144"/>
      <c r="FI69" s="144"/>
      <c r="FJ69" s="144"/>
      <c r="FK69" s="144"/>
      <c r="FL69" s="144"/>
      <c r="FM69" s="144"/>
      <c r="FN69" s="144"/>
      <c r="FO69" s="144"/>
      <c r="FP69" s="144"/>
      <c r="FQ69" s="144"/>
      <c r="FR69" s="144"/>
      <c r="FS69" s="144"/>
      <c r="FT69" s="144"/>
      <c r="FU69" s="144"/>
      <c r="FV69" s="144"/>
      <c r="FW69" s="144"/>
      <c r="FX69" s="144"/>
      <c r="FY69" s="144"/>
      <c r="FZ69" s="144"/>
      <c r="GA69" s="144"/>
      <c r="GB69" s="144"/>
      <c r="GC69" s="144"/>
      <c r="GD69" s="144"/>
      <c r="GE69" s="144"/>
      <c r="GF69" s="144"/>
      <c r="GG69" s="144"/>
      <c r="GH69" s="144"/>
      <c r="GI69" s="144"/>
      <c r="GJ69" s="144"/>
      <c r="GK69" s="144"/>
      <c r="GL69" s="144"/>
      <c r="GM69" s="144"/>
      <c r="GN69" s="144"/>
      <c r="GO69" s="144"/>
      <c r="GP69" s="144"/>
      <c r="GQ69" s="144"/>
      <c r="GR69" s="144"/>
      <c r="GS69" s="144"/>
      <c r="GT69" s="144"/>
      <c r="GU69" s="144"/>
      <c r="GV69" s="144"/>
      <c r="GW69" s="144"/>
      <c r="GX69" s="144"/>
      <c r="GY69" s="144"/>
      <c r="GZ69" s="144"/>
      <c r="HA69" s="144"/>
      <c r="HB69" s="144"/>
      <c r="HC69" s="144"/>
      <c r="HD69" s="144"/>
      <c r="HE69" s="144"/>
      <c r="HF69" s="144"/>
      <c r="HG69" s="144"/>
      <c r="HH69" s="144"/>
      <c r="HI69" s="144"/>
      <c r="HJ69" s="144"/>
      <c r="HK69" s="144"/>
      <c r="HL69" s="144"/>
      <c r="HM69" s="144"/>
      <c r="HN69" s="144"/>
      <c r="HO69" s="144"/>
      <c r="HP69" s="144"/>
      <c r="HQ69" s="144"/>
      <c r="HR69" s="144"/>
      <c r="HS69" s="144"/>
      <c r="HT69" s="144"/>
      <c r="HU69" s="144"/>
      <c r="HV69" s="144"/>
      <c r="HW69" s="144"/>
      <c r="HX69" s="144"/>
      <c r="HY69" s="144"/>
      <c r="HZ69" s="144"/>
      <c r="IA69" s="144"/>
      <c r="IB69" s="144"/>
      <c r="IC69" s="144"/>
      <c r="ID69" s="144"/>
      <c r="IE69" s="144"/>
      <c r="IF69" s="144"/>
      <c r="IG69" s="144"/>
    </row>
    <row r="70" spans="1:241" ht="14.15" customHeight="1">
      <c r="A70" s="144"/>
      <c r="B70" s="143"/>
      <c r="C70" s="143"/>
      <c r="D70" s="143"/>
      <c r="E70" s="143"/>
      <c r="F70" s="143"/>
      <c r="G70" s="143"/>
      <c r="H70" s="143"/>
      <c r="I70" s="143"/>
      <c r="J70" s="143"/>
      <c r="K70" s="143"/>
      <c r="M70" s="1120"/>
      <c r="N70" s="1120"/>
      <c r="V70" s="582"/>
      <c r="W70" s="1575"/>
      <c r="X70" s="1575"/>
      <c r="Y70" s="1575"/>
      <c r="Z70" s="1575"/>
      <c r="AA70" s="1575"/>
      <c r="AB70" s="1575"/>
      <c r="AC70" s="1575"/>
      <c r="AD70" s="582"/>
      <c r="AE70" s="582"/>
      <c r="AF70" s="582"/>
      <c r="AG70" s="582"/>
      <c r="AH70" s="582"/>
      <c r="AI70" s="582"/>
      <c r="AJ70" s="582"/>
      <c r="AK70" s="582"/>
      <c r="AL70" s="582"/>
      <c r="AM70" s="582"/>
      <c r="AN70" s="582"/>
      <c r="AO70" s="582"/>
      <c r="AP70" s="582"/>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c r="CJ70" s="144"/>
      <c r="CK70" s="144"/>
      <c r="CL70" s="144"/>
      <c r="CM70" s="144"/>
      <c r="CN70" s="144"/>
      <c r="CO70" s="144"/>
      <c r="CP70" s="144"/>
      <c r="CQ70" s="144"/>
      <c r="CR70" s="144"/>
      <c r="CS70" s="144"/>
      <c r="CT70" s="144"/>
      <c r="CU70" s="144"/>
      <c r="CV70" s="144"/>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c r="FX70" s="144"/>
      <c r="FY70" s="144"/>
      <c r="FZ70" s="144"/>
      <c r="GA70" s="144"/>
      <c r="GB70" s="144"/>
      <c r="GC70" s="144"/>
      <c r="GD70" s="144"/>
      <c r="GE70" s="144"/>
      <c r="GF70" s="144"/>
      <c r="GG70" s="144"/>
      <c r="GH70" s="144"/>
      <c r="GI70" s="144"/>
      <c r="GJ70" s="144"/>
      <c r="GK70" s="144"/>
      <c r="GL70" s="144"/>
      <c r="GM70" s="144"/>
      <c r="GN70" s="144"/>
      <c r="GO70" s="144"/>
      <c r="GP70" s="144"/>
      <c r="GQ70" s="144"/>
      <c r="GR70" s="144"/>
      <c r="GS70" s="144"/>
      <c r="GT70" s="144"/>
      <c r="GU70" s="144"/>
      <c r="GV70" s="144"/>
      <c r="GW70" s="144"/>
      <c r="GX70" s="144"/>
      <c r="GY70" s="144"/>
      <c r="GZ70" s="144"/>
      <c r="HA70" s="144"/>
      <c r="HB70" s="144"/>
      <c r="HC70" s="144"/>
      <c r="HD70" s="144"/>
      <c r="HE70" s="144"/>
      <c r="HF70" s="144"/>
      <c r="HG70" s="144"/>
      <c r="HH70" s="144"/>
      <c r="HI70" s="144"/>
      <c r="HJ70" s="144"/>
      <c r="HK70" s="144"/>
      <c r="HL70" s="144"/>
      <c r="HM70" s="144"/>
      <c r="HN70" s="144"/>
      <c r="HO70" s="144"/>
      <c r="HP70" s="144"/>
      <c r="HQ70" s="144"/>
      <c r="HR70" s="144"/>
      <c r="HS70" s="144"/>
      <c r="HT70" s="144"/>
      <c r="HU70" s="144"/>
      <c r="HV70" s="144"/>
      <c r="HW70" s="144"/>
      <c r="HX70" s="144"/>
      <c r="HY70" s="144"/>
      <c r="HZ70" s="144"/>
      <c r="IA70" s="144"/>
      <c r="IB70" s="144"/>
      <c r="IC70" s="144"/>
      <c r="ID70" s="144"/>
      <c r="IE70" s="144"/>
      <c r="IF70" s="144"/>
      <c r="IG70" s="144"/>
    </row>
    <row r="71" spans="1:241" ht="14.15" customHeight="1">
      <c r="A71" s="144"/>
      <c r="B71" s="143"/>
      <c r="C71" s="143"/>
      <c r="D71" s="143"/>
      <c r="E71" s="143"/>
      <c r="F71" s="143"/>
      <c r="G71" s="143"/>
      <c r="H71" s="143"/>
      <c r="I71" s="143"/>
      <c r="J71" s="143"/>
      <c r="K71" s="143"/>
      <c r="M71" s="1120"/>
      <c r="N71" s="1120"/>
      <c r="V71" s="582"/>
      <c r="W71" s="1575"/>
      <c r="X71" s="1575"/>
      <c r="Y71" s="1575"/>
      <c r="Z71" s="1575"/>
      <c r="AA71" s="1575"/>
      <c r="AB71" s="1575"/>
      <c r="AC71" s="1575"/>
      <c r="AD71" s="582"/>
      <c r="AE71" s="582"/>
      <c r="AF71" s="582"/>
      <c r="AG71" s="582"/>
      <c r="AH71" s="582"/>
      <c r="AI71" s="582"/>
      <c r="AJ71" s="582"/>
      <c r="AK71" s="582"/>
      <c r="AL71" s="582"/>
      <c r="AM71" s="582"/>
      <c r="AN71" s="582"/>
      <c r="AO71" s="582"/>
      <c r="AP71" s="582"/>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4"/>
      <c r="CM71" s="144"/>
      <c r="CN71" s="144"/>
      <c r="CO71" s="144"/>
      <c r="CP71" s="144"/>
      <c r="CQ71" s="144"/>
      <c r="CR71" s="144"/>
      <c r="CS71" s="144"/>
      <c r="CT71" s="144"/>
      <c r="CU71" s="144"/>
      <c r="CV71" s="144"/>
      <c r="CW71" s="144"/>
      <c r="CX71" s="144"/>
      <c r="CY71" s="144"/>
      <c r="CZ71" s="144"/>
      <c r="DA71" s="144"/>
      <c r="DB71" s="144"/>
      <c r="DC71" s="144"/>
      <c r="DD71" s="144"/>
      <c r="DE71" s="144"/>
      <c r="DF71" s="144"/>
      <c r="DG71" s="144"/>
      <c r="DH71" s="144"/>
      <c r="DI71" s="144"/>
      <c r="DJ71" s="144"/>
      <c r="DK71" s="144"/>
      <c r="DL71" s="144"/>
      <c r="DM71" s="144"/>
      <c r="DN71" s="144"/>
      <c r="DO71" s="144"/>
      <c r="DP71" s="144"/>
      <c r="DQ71" s="144"/>
      <c r="DR71" s="144"/>
      <c r="DS71" s="144"/>
      <c r="DT71" s="144"/>
      <c r="DU71" s="144"/>
      <c r="DV71" s="144"/>
      <c r="DW71" s="144"/>
      <c r="DX71" s="144"/>
      <c r="DY71" s="144"/>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4"/>
      <c r="FF71" s="144"/>
      <c r="FG71" s="144"/>
      <c r="FH71" s="144"/>
      <c r="FI71" s="144"/>
      <c r="FJ71" s="144"/>
      <c r="FK71" s="144"/>
      <c r="FL71" s="144"/>
      <c r="FM71" s="144"/>
      <c r="FN71" s="144"/>
      <c r="FO71" s="144"/>
      <c r="FP71" s="144"/>
      <c r="FQ71" s="144"/>
      <c r="FR71" s="144"/>
      <c r="FS71" s="144"/>
      <c r="FT71" s="144"/>
      <c r="FU71" s="144"/>
      <c r="FV71" s="144"/>
      <c r="FW71" s="144"/>
      <c r="FX71" s="144"/>
      <c r="FY71" s="144"/>
      <c r="FZ71" s="144"/>
      <c r="GA71" s="144"/>
      <c r="GB71" s="144"/>
      <c r="GC71" s="144"/>
      <c r="GD71" s="144"/>
      <c r="GE71" s="144"/>
      <c r="GF71" s="144"/>
      <c r="GG71" s="144"/>
      <c r="GH71" s="144"/>
      <c r="GI71" s="144"/>
      <c r="GJ71" s="144"/>
      <c r="GK71" s="144"/>
      <c r="GL71" s="144"/>
      <c r="GM71" s="144"/>
      <c r="GN71" s="144"/>
      <c r="GO71" s="144"/>
      <c r="GP71" s="144"/>
      <c r="GQ71" s="144"/>
      <c r="GR71" s="144"/>
      <c r="GS71" s="144"/>
      <c r="GT71" s="144"/>
      <c r="GU71" s="144"/>
      <c r="GV71" s="144"/>
      <c r="GW71" s="144"/>
      <c r="GX71" s="144"/>
      <c r="GY71" s="144"/>
      <c r="GZ71" s="144"/>
      <c r="HA71" s="144"/>
      <c r="HB71" s="144"/>
      <c r="HC71" s="144"/>
      <c r="HD71" s="144"/>
      <c r="HE71" s="144"/>
      <c r="HF71" s="144"/>
      <c r="HG71" s="144"/>
      <c r="HH71" s="144"/>
      <c r="HI71" s="144"/>
      <c r="HJ71" s="144"/>
      <c r="HK71" s="144"/>
      <c r="HL71" s="144"/>
      <c r="HM71" s="144"/>
      <c r="HN71" s="144"/>
      <c r="HO71" s="144"/>
      <c r="HP71" s="144"/>
      <c r="HQ71" s="144"/>
      <c r="HR71" s="144"/>
      <c r="HS71" s="144"/>
      <c r="HT71" s="144"/>
      <c r="HU71" s="144"/>
      <c r="HV71" s="144"/>
      <c r="HW71" s="144"/>
      <c r="HX71" s="144"/>
      <c r="HY71" s="144"/>
      <c r="HZ71" s="144"/>
      <c r="IA71" s="144"/>
      <c r="IB71" s="144"/>
      <c r="IC71" s="144"/>
      <c r="ID71" s="144"/>
      <c r="IE71" s="144"/>
      <c r="IF71" s="144"/>
      <c r="IG71" s="144"/>
    </row>
    <row r="72" spans="1:241" ht="14.15" customHeight="1">
      <c r="A72" s="144"/>
      <c r="B72" s="143"/>
      <c r="C72" s="143"/>
      <c r="D72" s="143"/>
      <c r="E72" s="143"/>
      <c r="F72" s="143"/>
      <c r="G72" s="143"/>
      <c r="H72" s="143"/>
      <c r="I72" s="143"/>
      <c r="J72" s="143"/>
      <c r="K72" s="143"/>
      <c r="M72" s="1120"/>
      <c r="N72" s="1120"/>
      <c r="V72" s="582"/>
      <c r="W72" s="1575"/>
      <c r="X72" s="1575"/>
      <c r="Y72" s="1575"/>
      <c r="Z72" s="1575"/>
      <c r="AA72" s="1575"/>
      <c r="AB72" s="1575"/>
      <c r="AC72" s="1575"/>
      <c r="AD72" s="582"/>
      <c r="AE72" s="582"/>
      <c r="AF72" s="582"/>
      <c r="AG72" s="582"/>
      <c r="AH72" s="582"/>
      <c r="AI72" s="582"/>
      <c r="AJ72" s="582"/>
      <c r="AK72" s="582"/>
      <c r="AL72" s="582"/>
      <c r="AM72" s="582"/>
      <c r="AN72" s="582"/>
      <c r="AO72" s="582"/>
      <c r="AP72" s="582"/>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c r="CK72" s="144"/>
      <c r="CL72" s="144"/>
      <c r="CM72" s="144"/>
      <c r="CN72" s="144"/>
      <c r="CO72" s="144"/>
      <c r="CP72" s="144"/>
      <c r="CQ72" s="144"/>
      <c r="CR72" s="144"/>
      <c r="CS72" s="144"/>
      <c r="CT72" s="144"/>
      <c r="CU72" s="144"/>
      <c r="CV72" s="144"/>
      <c r="CW72" s="144"/>
      <c r="CX72" s="144"/>
      <c r="CY72" s="144"/>
      <c r="CZ72" s="144"/>
      <c r="DA72" s="144"/>
      <c r="DB72" s="144"/>
      <c r="DC72" s="144"/>
      <c r="DD72" s="144"/>
      <c r="DE72" s="144"/>
      <c r="DF72" s="144"/>
      <c r="DG72" s="144"/>
      <c r="DH72" s="144"/>
      <c r="DI72" s="144"/>
      <c r="DJ72" s="144"/>
      <c r="DK72" s="144"/>
      <c r="DL72" s="144"/>
      <c r="DM72" s="144"/>
      <c r="DN72" s="144"/>
      <c r="DO72" s="144"/>
      <c r="DP72" s="144"/>
      <c r="DQ72" s="144"/>
      <c r="DR72" s="144"/>
      <c r="DS72" s="144"/>
      <c r="DT72" s="144"/>
      <c r="DU72" s="144"/>
      <c r="DV72" s="144"/>
      <c r="DW72" s="144"/>
      <c r="DX72" s="144"/>
      <c r="DY72" s="144"/>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4"/>
      <c r="FF72" s="144"/>
      <c r="FG72" s="144"/>
      <c r="FH72" s="144"/>
      <c r="FI72" s="144"/>
      <c r="FJ72" s="144"/>
      <c r="FK72" s="144"/>
      <c r="FL72" s="144"/>
      <c r="FM72" s="144"/>
      <c r="FN72" s="144"/>
      <c r="FO72" s="144"/>
      <c r="FP72" s="144"/>
      <c r="FQ72" s="144"/>
      <c r="FR72" s="144"/>
      <c r="FS72" s="144"/>
      <c r="FT72" s="144"/>
      <c r="FU72" s="144"/>
      <c r="FV72" s="144"/>
      <c r="FW72" s="144"/>
      <c r="FX72" s="144"/>
      <c r="FY72" s="144"/>
      <c r="FZ72" s="144"/>
      <c r="GA72" s="144"/>
      <c r="GB72" s="144"/>
      <c r="GC72" s="144"/>
      <c r="GD72" s="144"/>
      <c r="GE72" s="144"/>
      <c r="GF72" s="144"/>
      <c r="GG72" s="144"/>
      <c r="GH72" s="144"/>
      <c r="GI72" s="144"/>
      <c r="GJ72" s="144"/>
      <c r="GK72" s="144"/>
      <c r="GL72" s="144"/>
      <c r="GM72" s="144"/>
      <c r="GN72" s="144"/>
      <c r="GO72" s="144"/>
      <c r="GP72" s="144"/>
      <c r="GQ72" s="144"/>
      <c r="GR72" s="144"/>
      <c r="GS72" s="144"/>
      <c r="GT72" s="144"/>
      <c r="GU72" s="144"/>
      <c r="GV72" s="144"/>
      <c r="GW72" s="144"/>
      <c r="GX72" s="144"/>
      <c r="GY72" s="144"/>
      <c r="GZ72" s="144"/>
      <c r="HA72" s="144"/>
      <c r="HB72" s="144"/>
      <c r="HC72" s="144"/>
      <c r="HD72" s="144"/>
      <c r="HE72" s="144"/>
      <c r="HF72" s="144"/>
      <c r="HG72" s="144"/>
      <c r="HH72" s="144"/>
      <c r="HI72" s="144"/>
      <c r="HJ72" s="144"/>
      <c r="HK72" s="144"/>
      <c r="HL72" s="144"/>
      <c r="HM72" s="144"/>
      <c r="HN72" s="144"/>
      <c r="HO72" s="144"/>
      <c r="HP72" s="144"/>
      <c r="HQ72" s="144"/>
      <c r="HR72" s="144"/>
      <c r="HS72" s="144"/>
      <c r="HT72" s="144"/>
      <c r="HU72" s="144"/>
      <c r="HV72" s="144"/>
      <c r="HW72" s="144"/>
      <c r="HX72" s="144"/>
      <c r="HY72" s="144"/>
      <c r="HZ72" s="144"/>
      <c r="IA72" s="144"/>
      <c r="IB72" s="144"/>
      <c r="IC72" s="144"/>
      <c r="ID72" s="144"/>
      <c r="IE72" s="144"/>
      <c r="IF72" s="144"/>
      <c r="IG72" s="144"/>
    </row>
    <row r="73" spans="1:241" ht="14.15" customHeight="1">
      <c r="A73" s="144"/>
      <c r="B73" s="143"/>
      <c r="C73" s="143"/>
      <c r="D73" s="143"/>
      <c r="E73" s="143"/>
      <c r="F73" s="143"/>
      <c r="G73" s="143"/>
      <c r="H73" s="143"/>
      <c r="I73" s="143"/>
      <c r="J73" s="143"/>
      <c r="K73" s="143"/>
      <c r="M73" s="1120"/>
      <c r="N73" s="1120"/>
      <c r="V73" s="582"/>
      <c r="W73" s="1575"/>
      <c r="X73" s="1575"/>
      <c r="Y73" s="1575"/>
      <c r="Z73" s="1575"/>
      <c r="AA73" s="1576"/>
      <c r="AB73" s="1576"/>
      <c r="AC73" s="1576"/>
      <c r="AD73" s="582"/>
      <c r="AE73" s="582"/>
      <c r="AF73" s="582"/>
      <c r="AG73" s="582"/>
      <c r="AH73" s="582"/>
      <c r="AI73" s="582"/>
      <c r="AJ73" s="582"/>
      <c r="AK73" s="582"/>
      <c r="AL73" s="582"/>
      <c r="AM73" s="582"/>
      <c r="AN73" s="582"/>
      <c r="AO73" s="582"/>
      <c r="AP73" s="582"/>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4"/>
      <c r="CP73" s="144"/>
      <c r="CQ73" s="144"/>
      <c r="CR73" s="144"/>
      <c r="CS73" s="144"/>
      <c r="CT73" s="144"/>
      <c r="CU73" s="144"/>
      <c r="CV73" s="144"/>
      <c r="CW73" s="144"/>
      <c r="CX73" s="144"/>
      <c r="CY73" s="144"/>
      <c r="CZ73" s="144"/>
      <c r="DA73" s="144"/>
      <c r="DB73" s="144"/>
      <c r="DC73" s="144"/>
      <c r="DD73" s="144"/>
      <c r="DE73" s="144"/>
      <c r="DF73" s="144"/>
      <c r="DG73" s="144"/>
      <c r="DH73" s="144"/>
      <c r="DI73" s="144"/>
      <c r="DJ73" s="144"/>
      <c r="DK73" s="144"/>
      <c r="DL73" s="144"/>
      <c r="DM73" s="144"/>
      <c r="DN73" s="144"/>
      <c r="DO73" s="144"/>
      <c r="DP73" s="144"/>
      <c r="DQ73" s="144"/>
      <c r="DR73" s="144"/>
      <c r="DS73" s="144"/>
      <c r="DT73" s="144"/>
      <c r="DU73" s="144"/>
      <c r="DV73" s="144"/>
      <c r="DW73" s="144"/>
      <c r="DX73" s="144"/>
      <c r="DY73" s="144"/>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4"/>
      <c r="FF73" s="144"/>
      <c r="FG73" s="144"/>
      <c r="FH73" s="144"/>
      <c r="FI73" s="144"/>
      <c r="FJ73" s="144"/>
      <c r="FK73" s="144"/>
      <c r="FL73" s="144"/>
      <c r="FM73" s="144"/>
      <c r="FN73" s="144"/>
      <c r="FO73" s="144"/>
      <c r="FP73" s="144"/>
      <c r="FQ73" s="144"/>
      <c r="FR73" s="144"/>
      <c r="FS73" s="144"/>
      <c r="FT73" s="144"/>
      <c r="FU73" s="144"/>
      <c r="FV73" s="144"/>
      <c r="FW73" s="144"/>
      <c r="FX73" s="144"/>
      <c r="FY73" s="144"/>
      <c r="FZ73" s="144"/>
      <c r="GA73" s="144"/>
      <c r="GB73" s="144"/>
      <c r="GC73" s="144"/>
      <c r="GD73" s="144"/>
      <c r="GE73" s="144"/>
      <c r="GF73" s="144"/>
      <c r="GG73" s="144"/>
      <c r="GH73" s="144"/>
      <c r="GI73" s="144"/>
      <c r="GJ73" s="144"/>
      <c r="GK73" s="144"/>
      <c r="GL73" s="144"/>
      <c r="GM73" s="144"/>
      <c r="GN73" s="144"/>
      <c r="GO73" s="144"/>
      <c r="GP73" s="144"/>
      <c r="GQ73" s="144"/>
      <c r="GR73" s="144"/>
      <c r="GS73" s="144"/>
      <c r="GT73" s="144"/>
      <c r="GU73" s="144"/>
      <c r="GV73" s="144"/>
      <c r="GW73" s="144"/>
      <c r="GX73" s="144"/>
      <c r="GY73" s="144"/>
      <c r="GZ73" s="144"/>
      <c r="HA73" s="144"/>
      <c r="HB73" s="144"/>
      <c r="HC73" s="144"/>
      <c r="HD73" s="144"/>
      <c r="HE73" s="144"/>
      <c r="HF73" s="144"/>
      <c r="HG73" s="144"/>
      <c r="HH73" s="144"/>
      <c r="HI73" s="144"/>
      <c r="HJ73" s="144"/>
      <c r="HK73" s="144"/>
      <c r="HL73" s="144"/>
      <c r="HM73" s="144"/>
      <c r="HN73" s="144"/>
      <c r="HO73" s="144"/>
      <c r="HP73" s="144"/>
      <c r="HQ73" s="144"/>
      <c r="HR73" s="144"/>
      <c r="HS73" s="144"/>
      <c r="HT73" s="144"/>
      <c r="HU73" s="144"/>
      <c r="HV73" s="144"/>
      <c r="HW73" s="144"/>
      <c r="HX73" s="144"/>
      <c r="HY73" s="144"/>
      <c r="HZ73" s="144"/>
      <c r="IA73" s="144"/>
      <c r="IB73" s="144"/>
      <c r="IC73" s="144"/>
      <c r="ID73" s="144"/>
      <c r="IE73" s="144"/>
      <c r="IF73" s="144"/>
      <c r="IG73" s="144"/>
    </row>
    <row r="74" spans="1:241" ht="14.15" customHeight="1">
      <c r="A74" s="144"/>
      <c r="B74" s="143"/>
      <c r="C74" s="143"/>
      <c r="D74" s="143"/>
      <c r="E74" s="143"/>
      <c r="F74" s="143"/>
      <c r="G74" s="143"/>
      <c r="H74" s="143"/>
      <c r="I74" s="143"/>
      <c r="J74" s="143"/>
      <c r="K74" s="143"/>
      <c r="M74" s="1120"/>
      <c r="N74" s="1120"/>
      <c r="V74" s="582"/>
      <c r="W74" s="1575"/>
      <c r="X74" s="1575"/>
      <c r="Y74" s="1575"/>
      <c r="Z74" s="1575"/>
      <c r="AA74" s="1576"/>
      <c r="AB74" s="1576"/>
      <c r="AC74" s="1576"/>
      <c r="AD74" s="582"/>
      <c r="AE74" s="582"/>
      <c r="AF74" s="582"/>
      <c r="AG74" s="582"/>
      <c r="AH74" s="582"/>
      <c r="AI74" s="582"/>
      <c r="AJ74" s="582"/>
      <c r="AK74" s="582"/>
      <c r="AL74" s="582"/>
      <c r="AM74" s="582"/>
      <c r="AN74" s="582"/>
      <c r="AO74" s="582"/>
      <c r="AP74" s="582"/>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144"/>
      <c r="DY74" s="144"/>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4"/>
      <c r="FF74" s="144"/>
      <c r="FG74" s="144"/>
      <c r="FH74" s="144"/>
      <c r="FI74" s="144"/>
      <c r="FJ74" s="144"/>
      <c r="FK74" s="144"/>
      <c r="FL74" s="144"/>
      <c r="FM74" s="144"/>
      <c r="FN74" s="144"/>
      <c r="FO74" s="144"/>
      <c r="FP74" s="144"/>
      <c r="FQ74" s="144"/>
      <c r="FR74" s="144"/>
      <c r="FS74" s="144"/>
      <c r="FT74" s="144"/>
      <c r="FU74" s="144"/>
      <c r="FV74" s="144"/>
      <c r="FW74" s="144"/>
      <c r="FX74" s="144"/>
      <c r="FY74" s="144"/>
      <c r="FZ74" s="144"/>
      <c r="GA74" s="144"/>
      <c r="GB74" s="144"/>
      <c r="GC74" s="144"/>
      <c r="GD74" s="144"/>
      <c r="GE74" s="144"/>
      <c r="GF74" s="144"/>
      <c r="GG74" s="144"/>
      <c r="GH74" s="144"/>
      <c r="GI74" s="144"/>
      <c r="GJ74" s="144"/>
      <c r="GK74" s="144"/>
      <c r="GL74" s="144"/>
      <c r="GM74" s="144"/>
      <c r="GN74" s="144"/>
      <c r="GO74" s="144"/>
      <c r="GP74" s="144"/>
      <c r="GQ74" s="144"/>
      <c r="GR74" s="144"/>
      <c r="GS74" s="144"/>
      <c r="GT74" s="144"/>
      <c r="GU74" s="144"/>
      <c r="GV74" s="144"/>
      <c r="GW74" s="144"/>
      <c r="GX74" s="144"/>
      <c r="GY74" s="144"/>
      <c r="GZ74" s="144"/>
      <c r="HA74" s="144"/>
      <c r="HB74" s="144"/>
      <c r="HC74" s="144"/>
      <c r="HD74" s="144"/>
      <c r="HE74" s="144"/>
      <c r="HF74" s="144"/>
      <c r="HG74" s="144"/>
      <c r="HH74" s="144"/>
      <c r="HI74" s="144"/>
      <c r="HJ74" s="144"/>
      <c r="HK74" s="144"/>
      <c r="HL74" s="144"/>
      <c r="HM74" s="144"/>
      <c r="HN74" s="144"/>
      <c r="HO74" s="144"/>
      <c r="HP74" s="144"/>
      <c r="HQ74" s="144"/>
      <c r="HR74" s="144"/>
      <c r="HS74" s="144"/>
      <c r="HT74" s="144"/>
      <c r="HU74" s="144"/>
      <c r="HV74" s="144"/>
      <c r="HW74" s="144"/>
      <c r="HX74" s="144"/>
      <c r="HY74" s="144"/>
      <c r="HZ74" s="144"/>
      <c r="IA74" s="144"/>
      <c r="IB74" s="144"/>
      <c r="IC74" s="144"/>
      <c r="ID74" s="144"/>
      <c r="IE74" s="144"/>
      <c r="IF74" s="144"/>
      <c r="IG74" s="144"/>
    </row>
    <row r="75" spans="1:241" ht="14.15" customHeight="1">
      <c r="A75" s="144"/>
      <c r="B75" s="143"/>
      <c r="C75" s="143"/>
      <c r="D75" s="143"/>
      <c r="E75" s="143"/>
      <c r="F75" s="143"/>
      <c r="G75" s="143"/>
      <c r="H75" s="143"/>
      <c r="I75" s="143"/>
      <c r="J75" s="143"/>
      <c r="K75" s="143"/>
      <c r="M75" s="1120"/>
      <c r="N75" s="1120"/>
      <c r="V75" s="582"/>
      <c r="W75" s="1575"/>
      <c r="X75" s="1575"/>
      <c r="Y75" s="1575"/>
      <c r="Z75" s="1575"/>
      <c r="AA75" s="1576"/>
      <c r="AB75" s="1576"/>
      <c r="AC75" s="1576"/>
      <c r="AD75" s="582"/>
      <c r="AE75" s="582"/>
      <c r="AF75" s="582"/>
      <c r="AG75" s="582"/>
      <c r="AH75" s="582"/>
      <c r="AI75" s="582"/>
      <c r="AJ75" s="582"/>
      <c r="AK75" s="582"/>
      <c r="AL75" s="582"/>
      <c r="AM75" s="582"/>
      <c r="AN75" s="582"/>
      <c r="AO75" s="582"/>
      <c r="AP75" s="582"/>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144"/>
      <c r="DY75" s="144"/>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4"/>
      <c r="FF75" s="144"/>
      <c r="FG75" s="144"/>
      <c r="FH75" s="144"/>
      <c r="FI75" s="144"/>
      <c r="FJ75" s="144"/>
      <c r="FK75" s="144"/>
      <c r="FL75" s="144"/>
      <c r="FM75" s="144"/>
      <c r="FN75" s="144"/>
      <c r="FO75" s="144"/>
      <c r="FP75" s="144"/>
      <c r="FQ75" s="144"/>
      <c r="FR75" s="144"/>
      <c r="FS75" s="144"/>
      <c r="FT75" s="144"/>
      <c r="FU75" s="144"/>
      <c r="FV75" s="144"/>
      <c r="FW75" s="144"/>
      <c r="FX75" s="144"/>
      <c r="FY75" s="144"/>
      <c r="FZ75" s="144"/>
      <c r="GA75" s="144"/>
      <c r="GB75" s="144"/>
      <c r="GC75" s="144"/>
      <c r="GD75" s="144"/>
      <c r="GE75" s="144"/>
      <c r="GF75" s="144"/>
      <c r="GG75" s="144"/>
      <c r="GH75" s="144"/>
      <c r="GI75" s="144"/>
      <c r="GJ75" s="144"/>
      <c r="GK75" s="144"/>
      <c r="GL75" s="144"/>
      <c r="GM75" s="144"/>
      <c r="GN75" s="144"/>
      <c r="GO75" s="144"/>
      <c r="GP75" s="144"/>
      <c r="GQ75" s="144"/>
      <c r="GR75" s="144"/>
      <c r="GS75" s="144"/>
      <c r="GT75" s="144"/>
      <c r="GU75" s="144"/>
      <c r="GV75" s="144"/>
      <c r="GW75" s="144"/>
      <c r="GX75" s="144"/>
      <c r="GY75" s="144"/>
      <c r="GZ75" s="144"/>
      <c r="HA75" s="144"/>
      <c r="HB75" s="144"/>
      <c r="HC75" s="144"/>
      <c r="HD75" s="144"/>
      <c r="HE75" s="144"/>
      <c r="HF75" s="144"/>
      <c r="HG75" s="144"/>
      <c r="HH75" s="144"/>
      <c r="HI75" s="144"/>
      <c r="HJ75" s="144"/>
      <c r="HK75" s="144"/>
      <c r="HL75" s="144"/>
      <c r="HM75" s="144"/>
      <c r="HN75" s="144"/>
      <c r="HO75" s="144"/>
      <c r="HP75" s="144"/>
      <c r="HQ75" s="144"/>
      <c r="HR75" s="144"/>
      <c r="HS75" s="144"/>
      <c r="HT75" s="144"/>
      <c r="HU75" s="144"/>
      <c r="HV75" s="144"/>
      <c r="HW75" s="144"/>
      <c r="HX75" s="144"/>
      <c r="HY75" s="144"/>
      <c r="HZ75" s="144"/>
      <c r="IA75" s="144"/>
      <c r="IB75" s="144"/>
      <c r="IC75" s="144"/>
      <c r="ID75" s="144"/>
      <c r="IE75" s="144"/>
      <c r="IF75" s="144"/>
      <c r="IG75" s="144"/>
    </row>
    <row r="76" spans="1:241" ht="14.15" customHeight="1">
      <c r="A76" s="144"/>
      <c r="B76" s="143"/>
      <c r="C76" s="143"/>
      <c r="D76" s="143"/>
      <c r="E76" s="143"/>
      <c r="F76" s="143"/>
      <c r="G76" s="143"/>
      <c r="H76" s="143"/>
      <c r="I76" s="143"/>
      <c r="J76" s="143"/>
      <c r="K76" s="143"/>
      <c r="M76" s="1120"/>
      <c r="N76" s="1120"/>
      <c r="V76" s="582"/>
      <c r="W76" s="1575"/>
      <c r="X76" s="1575"/>
      <c r="Y76" s="1575"/>
      <c r="Z76" s="1575"/>
      <c r="AA76" s="1575"/>
      <c r="AB76" s="1575"/>
      <c r="AC76" s="1575"/>
      <c r="AD76" s="582"/>
      <c r="AE76" s="582"/>
      <c r="AF76" s="582"/>
      <c r="AG76" s="582"/>
      <c r="AH76" s="582"/>
      <c r="AI76" s="582"/>
      <c r="AJ76" s="582"/>
      <c r="AK76" s="582"/>
      <c r="AL76" s="582"/>
      <c r="AM76" s="582"/>
      <c r="AN76" s="582"/>
      <c r="AO76" s="582"/>
      <c r="AP76" s="582"/>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c r="GT76" s="144"/>
      <c r="GU76" s="144"/>
      <c r="GV76" s="144"/>
      <c r="GW76" s="144"/>
      <c r="GX76" s="144"/>
      <c r="GY76" s="144"/>
      <c r="GZ76" s="144"/>
      <c r="HA76" s="144"/>
      <c r="HB76" s="144"/>
      <c r="HC76" s="144"/>
      <c r="HD76" s="144"/>
      <c r="HE76" s="144"/>
      <c r="HF76" s="144"/>
      <c r="HG76" s="144"/>
      <c r="HH76" s="144"/>
      <c r="HI76" s="144"/>
      <c r="HJ76" s="144"/>
      <c r="HK76" s="144"/>
      <c r="HL76" s="144"/>
      <c r="HM76" s="144"/>
      <c r="HN76" s="144"/>
      <c r="HO76" s="144"/>
      <c r="HP76" s="144"/>
      <c r="HQ76" s="144"/>
      <c r="HR76" s="144"/>
      <c r="HS76" s="144"/>
      <c r="HT76" s="144"/>
      <c r="HU76" s="144"/>
      <c r="HV76" s="144"/>
      <c r="HW76" s="144"/>
      <c r="HX76" s="144"/>
      <c r="HY76" s="144"/>
      <c r="HZ76" s="144"/>
      <c r="IA76" s="144"/>
      <c r="IB76" s="144"/>
      <c r="IC76" s="144"/>
      <c r="ID76" s="144"/>
      <c r="IE76" s="144"/>
      <c r="IF76" s="144"/>
      <c r="IG76" s="144"/>
    </row>
    <row r="77" spans="1:241" ht="14.15" customHeight="1">
      <c r="A77" s="144"/>
      <c r="B77" s="143"/>
      <c r="C77" s="143"/>
      <c r="D77" s="143"/>
      <c r="E77" s="143"/>
      <c r="F77" s="143"/>
      <c r="G77" s="143"/>
      <c r="H77" s="143"/>
      <c r="I77" s="143"/>
      <c r="J77" s="143"/>
      <c r="K77" s="143"/>
      <c r="M77" s="1120"/>
      <c r="N77" s="1120"/>
      <c r="V77" s="582"/>
      <c r="W77" s="1575"/>
      <c r="X77" s="1575"/>
      <c r="Y77" s="1575"/>
      <c r="Z77" s="1575"/>
      <c r="AA77" s="1575"/>
      <c r="AB77" s="1575"/>
      <c r="AC77" s="1575"/>
      <c r="AD77" s="582"/>
      <c r="AE77" s="582"/>
      <c r="AF77" s="582"/>
      <c r="AG77" s="582"/>
      <c r="AH77" s="582"/>
      <c r="AI77" s="582"/>
      <c r="AJ77" s="582"/>
      <c r="AK77" s="582"/>
      <c r="AL77" s="582"/>
      <c r="AM77" s="582"/>
      <c r="AN77" s="582"/>
      <c r="AO77" s="582"/>
      <c r="AP77" s="582"/>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c r="CK77" s="144"/>
      <c r="CL77" s="144"/>
      <c r="CM77" s="144"/>
      <c r="CN77" s="144"/>
      <c r="CO77" s="144"/>
      <c r="CP77" s="144"/>
      <c r="CQ77" s="144"/>
      <c r="CR77" s="144"/>
      <c r="CS77" s="144"/>
      <c r="CT77" s="14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144"/>
      <c r="DY77" s="144"/>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4"/>
      <c r="FF77" s="144"/>
      <c r="FG77" s="144"/>
      <c r="FH77" s="144"/>
      <c r="FI77" s="144"/>
      <c r="FJ77" s="144"/>
      <c r="FK77" s="144"/>
      <c r="FL77" s="144"/>
      <c r="FM77" s="144"/>
      <c r="FN77" s="144"/>
      <c r="FO77" s="144"/>
      <c r="FP77" s="144"/>
      <c r="FQ77" s="144"/>
      <c r="FR77" s="144"/>
      <c r="FS77" s="144"/>
      <c r="FT77" s="144"/>
      <c r="FU77" s="144"/>
      <c r="FV77" s="144"/>
      <c r="FW77" s="144"/>
      <c r="FX77" s="144"/>
      <c r="FY77" s="144"/>
      <c r="FZ77" s="144"/>
      <c r="GA77" s="144"/>
      <c r="GB77" s="144"/>
      <c r="GC77" s="144"/>
      <c r="GD77" s="144"/>
      <c r="GE77" s="144"/>
      <c r="GF77" s="144"/>
      <c r="GG77" s="144"/>
      <c r="GH77" s="144"/>
      <c r="GI77" s="144"/>
      <c r="GJ77" s="144"/>
      <c r="GK77" s="144"/>
      <c r="GL77" s="144"/>
      <c r="GM77" s="144"/>
      <c r="GN77" s="144"/>
      <c r="GO77" s="144"/>
      <c r="GP77" s="144"/>
      <c r="GQ77" s="144"/>
      <c r="GR77" s="144"/>
      <c r="GS77" s="144"/>
      <c r="GT77" s="144"/>
      <c r="GU77" s="144"/>
      <c r="GV77" s="144"/>
      <c r="GW77" s="144"/>
      <c r="GX77" s="144"/>
      <c r="GY77" s="144"/>
      <c r="GZ77" s="144"/>
      <c r="HA77" s="144"/>
      <c r="HB77" s="144"/>
      <c r="HC77" s="144"/>
      <c r="HD77" s="144"/>
      <c r="HE77" s="144"/>
      <c r="HF77" s="144"/>
      <c r="HG77" s="144"/>
      <c r="HH77" s="144"/>
      <c r="HI77" s="144"/>
      <c r="HJ77" s="144"/>
      <c r="HK77" s="144"/>
      <c r="HL77" s="144"/>
      <c r="HM77" s="144"/>
      <c r="HN77" s="144"/>
      <c r="HO77" s="144"/>
      <c r="HP77" s="144"/>
      <c r="HQ77" s="144"/>
      <c r="HR77" s="144"/>
      <c r="HS77" s="144"/>
      <c r="HT77" s="144"/>
      <c r="HU77" s="144"/>
      <c r="HV77" s="144"/>
      <c r="HW77" s="144"/>
      <c r="HX77" s="144"/>
      <c r="HY77" s="144"/>
      <c r="HZ77" s="144"/>
      <c r="IA77" s="144"/>
      <c r="IB77" s="144"/>
      <c r="IC77" s="144"/>
      <c r="ID77" s="144"/>
      <c r="IE77" s="144"/>
      <c r="IF77" s="144"/>
      <c r="IG77" s="144"/>
    </row>
    <row r="78" spans="1:241" ht="14.15" customHeight="1">
      <c r="A78" s="144"/>
      <c r="B78" s="143"/>
      <c r="C78" s="143"/>
      <c r="D78" s="143"/>
      <c r="E78" s="143"/>
      <c r="F78" s="143"/>
      <c r="G78" s="143"/>
      <c r="H78" s="143"/>
      <c r="I78" s="143"/>
      <c r="J78" s="143"/>
      <c r="K78" s="143"/>
      <c r="M78" s="1120"/>
      <c r="N78" s="1120"/>
      <c r="V78" s="582"/>
      <c r="W78" s="1575"/>
      <c r="X78" s="1575"/>
      <c r="Y78" s="1575"/>
      <c r="Z78" s="1575"/>
      <c r="AA78" s="1575"/>
      <c r="AB78" s="1575"/>
      <c r="AC78" s="1575"/>
      <c r="AD78" s="582"/>
      <c r="AE78" s="582"/>
      <c r="AF78" s="582"/>
      <c r="AG78" s="582"/>
      <c r="AH78" s="582"/>
      <c r="AI78" s="582"/>
      <c r="AJ78" s="582"/>
      <c r="AK78" s="582"/>
      <c r="AL78" s="582"/>
      <c r="AM78" s="582"/>
      <c r="AN78" s="582"/>
      <c r="AO78" s="582"/>
      <c r="AP78" s="582"/>
      <c r="AQ78" s="144"/>
      <c r="AR78" s="144"/>
      <c r="AS78" s="144"/>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c r="CK78" s="144"/>
      <c r="CL78" s="144"/>
      <c r="CM78" s="144"/>
      <c r="CN78" s="144"/>
      <c r="CO78" s="144"/>
      <c r="CP78" s="144"/>
      <c r="CQ78" s="144"/>
      <c r="CR78" s="144"/>
      <c r="CS78" s="144"/>
      <c r="CT78" s="144"/>
      <c r="CU78" s="144"/>
      <c r="CV78" s="144"/>
      <c r="CW78" s="144"/>
      <c r="CX78" s="144"/>
      <c r="CY78" s="144"/>
      <c r="CZ78" s="144"/>
      <c r="DA78" s="144"/>
      <c r="DB78" s="144"/>
      <c r="DC78" s="144"/>
      <c r="DD78" s="144"/>
      <c r="DE78" s="144"/>
      <c r="DF78" s="144"/>
      <c r="DG78" s="144"/>
      <c r="DH78" s="144"/>
      <c r="DI78" s="144"/>
      <c r="DJ78" s="144"/>
      <c r="DK78" s="144"/>
      <c r="DL78" s="144"/>
      <c r="DM78" s="144"/>
      <c r="DN78" s="144"/>
      <c r="DO78" s="144"/>
      <c r="DP78" s="144"/>
      <c r="DQ78" s="144"/>
      <c r="DR78" s="144"/>
      <c r="DS78" s="144"/>
      <c r="DT78" s="144"/>
      <c r="DU78" s="144"/>
      <c r="DV78" s="144"/>
      <c r="DW78" s="144"/>
      <c r="DX78" s="144"/>
      <c r="DY78" s="144"/>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4"/>
      <c r="FF78" s="144"/>
      <c r="FG78" s="144"/>
      <c r="FH78" s="144"/>
      <c r="FI78" s="144"/>
      <c r="FJ78" s="144"/>
      <c r="FK78" s="144"/>
      <c r="FL78" s="144"/>
      <c r="FM78" s="144"/>
      <c r="FN78" s="144"/>
      <c r="FO78" s="144"/>
      <c r="FP78" s="144"/>
      <c r="FQ78" s="144"/>
      <c r="FR78" s="144"/>
      <c r="FS78" s="144"/>
      <c r="FT78" s="144"/>
      <c r="FU78" s="144"/>
      <c r="FV78" s="144"/>
      <c r="FW78" s="144"/>
      <c r="FX78" s="144"/>
      <c r="FY78" s="144"/>
      <c r="FZ78" s="144"/>
      <c r="GA78" s="144"/>
      <c r="GB78" s="144"/>
      <c r="GC78" s="144"/>
      <c r="GD78" s="144"/>
      <c r="GE78" s="144"/>
      <c r="GF78" s="144"/>
      <c r="GG78" s="144"/>
      <c r="GH78" s="144"/>
      <c r="GI78" s="144"/>
      <c r="GJ78" s="144"/>
      <c r="GK78" s="144"/>
      <c r="GL78" s="144"/>
      <c r="GM78" s="144"/>
      <c r="GN78" s="144"/>
      <c r="GO78" s="144"/>
      <c r="GP78" s="144"/>
      <c r="GQ78" s="144"/>
      <c r="GR78" s="144"/>
      <c r="GS78" s="144"/>
      <c r="GT78" s="144"/>
      <c r="GU78" s="144"/>
      <c r="GV78" s="144"/>
      <c r="GW78" s="144"/>
      <c r="GX78" s="144"/>
      <c r="GY78" s="144"/>
      <c r="GZ78" s="144"/>
      <c r="HA78" s="144"/>
      <c r="HB78" s="144"/>
      <c r="HC78" s="144"/>
      <c r="HD78" s="144"/>
      <c r="HE78" s="144"/>
      <c r="HF78" s="144"/>
      <c r="HG78" s="144"/>
      <c r="HH78" s="144"/>
      <c r="HI78" s="144"/>
      <c r="HJ78" s="144"/>
      <c r="HK78" s="144"/>
      <c r="HL78" s="144"/>
      <c r="HM78" s="144"/>
      <c r="HN78" s="144"/>
      <c r="HO78" s="144"/>
      <c r="HP78" s="144"/>
      <c r="HQ78" s="144"/>
      <c r="HR78" s="144"/>
      <c r="HS78" s="144"/>
      <c r="HT78" s="144"/>
      <c r="HU78" s="144"/>
      <c r="HV78" s="144"/>
      <c r="HW78" s="144"/>
      <c r="HX78" s="144"/>
      <c r="HY78" s="144"/>
      <c r="HZ78" s="144"/>
      <c r="IA78" s="144"/>
      <c r="IB78" s="144"/>
      <c r="IC78" s="144"/>
      <c r="ID78" s="144"/>
      <c r="IE78" s="144"/>
      <c r="IF78" s="144"/>
      <c r="IG78" s="144"/>
    </row>
    <row r="79" spans="1:241" ht="14.15" customHeight="1">
      <c r="A79" s="144"/>
      <c r="B79" s="143"/>
      <c r="C79" s="143"/>
      <c r="D79" s="143"/>
      <c r="E79" s="143"/>
      <c r="F79" s="143"/>
      <c r="G79" s="143"/>
      <c r="H79" s="143"/>
      <c r="I79" s="143"/>
      <c r="J79" s="143"/>
      <c r="K79" s="143"/>
      <c r="M79" s="1120"/>
      <c r="N79" s="1120"/>
      <c r="V79" s="582"/>
      <c r="W79" s="1575"/>
      <c r="X79" s="1575"/>
      <c r="Y79" s="1575"/>
      <c r="Z79" s="1575"/>
      <c r="AA79" s="1575"/>
      <c r="AB79" s="1575"/>
      <c r="AC79" s="1575"/>
      <c r="AD79" s="582"/>
      <c r="AE79" s="582"/>
      <c r="AF79" s="582"/>
      <c r="AG79" s="582"/>
      <c r="AH79" s="582"/>
      <c r="AI79" s="582"/>
      <c r="AJ79" s="582"/>
      <c r="AK79" s="582"/>
      <c r="AL79" s="582"/>
      <c r="AM79" s="582"/>
      <c r="AN79" s="582"/>
      <c r="AO79" s="582"/>
      <c r="AP79" s="582"/>
      <c r="AQ79" s="144"/>
      <c r="AR79" s="144"/>
      <c r="AS79" s="144"/>
      <c r="AT79" s="144"/>
      <c r="AU79" s="144"/>
      <c r="AV79" s="144"/>
      <c r="AW79" s="144"/>
      <c r="AX79" s="144"/>
      <c r="AY79" s="144"/>
      <c r="AZ79" s="144"/>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4"/>
      <c r="CA79" s="144"/>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4"/>
      <c r="DB79" s="144"/>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4"/>
      <c r="EC79" s="144"/>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4"/>
      <c r="FD79" s="144"/>
      <c r="FE79" s="144"/>
      <c r="FF79" s="144"/>
      <c r="FG79" s="144"/>
      <c r="FH79" s="144"/>
      <c r="FI79" s="144"/>
      <c r="FJ79" s="144"/>
      <c r="FK79" s="144"/>
      <c r="FL79" s="144"/>
      <c r="FM79" s="144"/>
      <c r="FN79" s="144"/>
      <c r="FO79" s="144"/>
      <c r="FP79" s="144"/>
      <c r="FQ79" s="144"/>
      <c r="FR79" s="144"/>
      <c r="FS79" s="144"/>
      <c r="FT79" s="144"/>
      <c r="FU79" s="144"/>
      <c r="FV79" s="144"/>
      <c r="FW79" s="144"/>
      <c r="FX79" s="144"/>
      <c r="FY79" s="144"/>
      <c r="FZ79" s="144"/>
      <c r="GA79" s="144"/>
      <c r="GB79" s="144"/>
      <c r="GC79" s="144"/>
      <c r="GD79" s="144"/>
      <c r="GE79" s="144"/>
      <c r="GF79" s="144"/>
      <c r="GG79" s="144"/>
      <c r="GH79" s="144"/>
      <c r="GI79" s="144"/>
      <c r="GJ79" s="144"/>
      <c r="GK79" s="144"/>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4"/>
      <c r="HL79" s="144"/>
      <c r="HM79" s="144"/>
      <c r="HN79" s="144"/>
      <c r="HO79" s="144"/>
      <c r="HP79" s="144"/>
      <c r="HQ79" s="144"/>
      <c r="HR79" s="144"/>
      <c r="HS79" s="144"/>
      <c r="HT79" s="144"/>
      <c r="HU79" s="144"/>
      <c r="HV79" s="144"/>
      <c r="HW79" s="144"/>
      <c r="HX79" s="144"/>
      <c r="HY79" s="144"/>
      <c r="HZ79" s="144"/>
      <c r="IA79" s="144"/>
      <c r="IB79" s="144"/>
      <c r="IC79" s="144"/>
      <c r="ID79" s="144"/>
      <c r="IE79" s="144"/>
      <c r="IF79" s="144"/>
      <c r="IG79" s="144"/>
    </row>
    <row r="80" spans="1:241" ht="14.15" customHeight="1">
      <c r="A80" s="144"/>
      <c r="B80" s="143"/>
      <c r="C80" s="143"/>
      <c r="D80" s="143"/>
      <c r="E80" s="143"/>
      <c r="F80" s="143"/>
      <c r="G80" s="143"/>
      <c r="H80" s="143"/>
      <c r="I80" s="143"/>
      <c r="J80" s="143"/>
      <c r="K80" s="143"/>
      <c r="M80" s="1120"/>
      <c r="N80" s="1120"/>
      <c r="V80" s="582"/>
      <c r="W80" s="1575"/>
      <c r="X80" s="1575"/>
      <c r="Y80" s="1575"/>
      <c r="Z80" s="1575"/>
      <c r="AA80" s="1575"/>
      <c r="AB80" s="1575"/>
      <c r="AC80" s="1575"/>
      <c r="AD80" s="582"/>
      <c r="AE80" s="582"/>
      <c r="AF80" s="582"/>
      <c r="AG80" s="582"/>
      <c r="AH80" s="582"/>
      <c r="AI80" s="582"/>
      <c r="AJ80" s="582"/>
      <c r="AK80" s="582"/>
      <c r="AL80" s="582"/>
      <c r="AM80" s="582"/>
      <c r="AN80" s="582"/>
      <c r="AO80" s="582"/>
      <c r="AP80" s="582"/>
      <c r="AQ80" s="144"/>
      <c r="AR80" s="144"/>
      <c r="AS80" s="144"/>
      <c r="AT80" s="144"/>
      <c r="AU80" s="144"/>
      <c r="AV80" s="144"/>
      <c r="AW80" s="144"/>
      <c r="AX80" s="144"/>
      <c r="AY80" s="144"/>
      <c r="AZ80" s="144"/>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144"/>
      <c r="FE80" s="144"/>
      <c r="FF80" s="144"/>
      <c r="FG80" s="144"/>
      <c r="FH80" s="144"/>
      <c r="FI80" s="144"/>
      <c r="FJ80" s="144"/>
      <c r="FK80" s="144"/>
      <c r="FL80" s="144"/>
      <c r="FM80" s="144"/>
      <c r="FN80" s="144"/>
      <c r="FO80" s="144"/>
      <c r="FP80" s="144"/>
      <c r="FQ80" s="144"/>
      <c r="FR80" s="144"/>
      <c r="FS80" s="144"/>
      <c r="FT80" s="144"/>
      <c r="FU80" s="144"/>
      <c r="FV80" s="144"/>
      <c r="FW80" s="144"/>
      <c r="FX80" s="144"/>
      <c r="FY80" s="144"/>
      <c r="FZ80" s="144"/>
      <c r="GA80" s="144"/>
      <c r="GB80" s="144"/>
      <c r="GC80" s="144"/>
      <c r="GD80" s="144"/>
      <c r="GE80" s="144"/>
      <c r="GF80" s="144"/>
      <c r="GG80" s="144"/>
      <c r="GH80" s="144"/>
      <c r="GI80" s="144"/>
      <c r="GJ80" s="144"/>
      <c r="GK80" s="144"/>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c r="HM80" s="144"/>
      <c r="HN80" s="144"/>
      <c r="HO80" s="144"/>
      <c r="HP80" s="144"/>
      <c r="HQ80" s="144"/>
      <c r="HR80" s="144"/>
      <c r="HS80" s="144"/>
      <c r="HT80" s="144"/>
      <c r="HU80" s="144"/>
      <c r="HV80" s="144"/>
      <c r="HW80" s="144"/>
      <c r="HX80" s="144"/>
      <c r="HY80" s="144"/>
      <c r="HZ80" s="144"/>
      <c r="IA80" s="144"/>
      <c r="IB80" s="144"/>
      <c r="IC80" s="144"/>
      <c r="ID80" s="144"/>
      <c r="IE80" s="144"/>
      <c r="IF80" s="144"/>
      <c r="IG80" s="144"/>
    </row>
    <row r="81" spans="1:241" ht="14.15" customHeight="1">
      <c r="A81" s="144"/>
      <c r="B81" s="143"/>
      <c r="C81" s="143"/>
      <c r="D81" s="143"/>
      <c r="E81" s="143"/>
      <c r="F81" s="143"/>
      <c r="G81" s="143"/>
      <c r="H81" s="143"/>
      <c r="I81" s="143"/>
      <c r="J81" s="143"/>
      <c r="K81" s="143"/>
      <c r="M81" s="1120"/>
      <c r="N81" s="1120"/>
      <c r="V81" s="582"/>
      <c r="W81" s="1575"/>
      <c r="X81" s="1575"/>
      <c r="Y81" s="1575"/>
      <c r="Z81" s="1575"/>
      <c r="AA81" s="1576"/>
      <c r="AB81" s="1576"/>
      <c r="AC81" s="1576"/>
      <c r="AD81" s="582"/>
      <c r="AE81" s="582"/>
      <c r="AF81" s="582"/>
      <c r="AG81" s="582"/>
      <c r="AH81" s="582"/>
      <c r="AI81" s="582"/>
      <c r="AJ81" s="582"/>
      <c r="AK81" s="582"/>
      <c r="AL81" s="582"/>
      <c r="AM81" s="582"/>
      <c r="AN81" s="582"/>
      <c r="AO81" s="582"/>
      <c r="AP81" s="582"/>
      <c r="AQ81" s="144"/>
      <c r="AR81" s="144"/>
      <c r="AS81" s="144"/>
      <c r="AT81" s="144"/>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144"/>
      <c r="FE81" s="144"/>
      <c r="FF81" s="144"/>
      <c r="FG81" s="144"/>
      <c r="FH81" s="144"/>
      <c r="FI81" s="144"/>
      <c r="FJ81" s="144"/>
      <c r="FK81" s="144"/>
      <c r="FL81" s="144"/>
      <c r="FM81" s="144"/>
      <c r="FN81" s="144"/>
      <c r="FO81" s="144"/>
      <c r="FP81" s="144"/>
      <c r="FQ81" s="144"/>
      <c r="FR81" s="144"/>
      <c r="FS81" s="144"/>
      <c r="FT81" s="144"/>
      <c r="FU81" s="144"/>
      <c r="FV81" s="144"/>
      <c r="FW81" s="144"/>
      <c r="FX81" s="144"/>
      <c r="FY81" s="144"/>
      <c r="FZ81" s="144"/>
      <c r="GA81" s="144"/>
      <c r="GB81" s="144"/>
      <c r="GC81" s="144"/>
      <c r="GD81" s="144"/>
      <c r="GE81" s="144"/>
      <c r="GF81" s="144"/>
      <c r="GG81" s="144"/>
      <c r="GH81" s="144"/>
      <c r="GI81" s="144"/>
      <c r="GJ81" s="144"/>
      <c r="GK81" s="144"/>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c r="HM81" s="144"/>
      <c r="HN81" s="144"/>
      <c r="HO81" s="144"/>
      <c r="HP81" s="144"/>
      <c r="HQ81" s="144"/>
      <c r="HR81" s="144"/>
      <c r="HS81" s="144"/>
      <c r="HT81" s="144"/>
      <c r="HU81" s="144"/>
      <c r="HV81" s="144"/>
      <c r="HW81" s="144"/>
      <c r="HX81" s="144"/>
      <c r="HY81" s="144"/>
      <c r="HZ81" s="144"/>
      <c r="IA81" s="144"/>
      <c r="IB81" s="144"/>
      <c r="IC81" s="144"/>
      <c r="ID81" s="144"/>
      <c r="IE81" s="144"/>
      <c r="IF81" s="144"/>
      <c r="IG81" s="144"/>
    </row>
    <row r="82" spans="1:241" ht="14.15" customHeight="1">
      <c r="A82" s="144"/>
      <c r="B82" s="143"/>
      <c r="C82" s="143"/>
      <c r="D82" s="143"/>
      <c r="E82" s="143"/>
      <c r="F82" s="143"/>
      <c r="G82" s="143"/>
      <c r="H82" s="143"/>
      <c r="I82" s="143"/>
      <c r="J82" s="143"/>
      <c r="K82" s="143"/>
      <c r="M82" s="1120"/>
      <c r="N82" s="1120"/>
      <c r="V82" s="582"/>
      <c r="W82" s="582"/>
      <c r="X82" s="582"/>
      <c r="Y82" s="582"/>
      <c r="Z82" s="582"/>
      <c r="AA82" s="1576"/>
      <c r="AB82" s="1576"/>
      <c r="AC82" s="1576"/>
      <c r="AD82" s="582"/>
      <c r="AE82" s="582"/>
      <c r="AF82" s="582"/>
      <c r="AG82" s="582"/>
      <c r="AH82" s="582"/>
      <c r="AI82" s="582"/>
      <c r="AJ82" s="582"/>
      <c r="AK82" s="582"/>
      <c r="AL82" s="582"/>
      <c r="AM82" s="582"/>
      <c r="AN82" s="582"/>
      <c r="AO82" s="582"/>
      <c r="AP82" s="582"/>
      <c r="AQ82" s="144"/>
      <c r="AR82" s="144"/>
      <c r="AS82" s="144"/>
      <c r="AT82" s="144"/>
      <c r="AU82" s="144"/>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c r="BU82" s="144"/>
      <c r="BV82" s="144"/>
      <c r="BW82" s="144"/>
      <c r="BX82" s="144"/>
      <c r="BY82" s="144"/>
      <c r="BZ82" s="144"/>
      <c r="CA82" s="144"/>
      <c r="CB82" s="144"/>
      <c r="CC82" s="144"/>
      <c r="CD82" s="144"/>
      <c r="CE82" s="144"/>
      <c r="CF82" s="144"/>
      <c r="CG82" s="144"/>
      <c r="CH82" s="144"/>
      <c r="CI82" s="144"/>
      <c r="CJ82" s="144"/>
      <c r="CK82" s="144"/>
      <c r="CL82" s="144"/>
      <c r="CM82" s="144"/>
      <c r="CN82" s="144"/>
      <c r="CO82" s="144"/>
      <c r="CP82" s="144"/>
      <c r="CQ82" s="144"/>
      <c r="CR82" s="144"/>
      <c r="CS82" s="144"/>
      <c r="CT82" s="144"/>
      <c r="CU82" s="144"/>
      <c r="CV82" s="144"/>
      <c r="CW82" s="144"/>
      <c r="CX82" s="144"/>
      <c r="CY82" s="144"/>
      <c r="CZ82" s="144"/>
      <c r="DA82" s="144"/>
      <c r="DB82" s="144"/>
      <c r="DC82" s="144"/>
      <c r="DD82" s="144"/>
      <c r="DE82" s="144"/>
      <c r="DF82" s="144"/>
      <c r="DG82" s="144"/>
      <c r="DH82" s="144"/>
      <c r="DI82" s="144"/>
      <c r="DJ82" s="144"/>
      <c r="DK82" s="144"/>
      <c r="DL82" s="144"/>
      <c r="DM82" s="144"/>
      <c r="DN82" s="144"/>
      <c r="DO82" s="144"/>
      <c r="DP82" s="144"/>
      <c r="DQ82" s="144"/>
      <c r="DR82" s="144"/>
      <c r="DS82" s="144"/>
      <c r="DT82" s="144"/>
      <c r="DU82" s="144"/>
      <c r="DV82" s="144"/>
      <c r="DW82" s="144"/>
      <c r="DX82" s="144"/>
      <c r="DY82" s="144"/>
      <c r="DZ82" s="144"/>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row>
    <row r="83" spans="1:241" ht="14.15" customHeight="1">
      <c r="A83" s="144"/>
      <c r="B83" s="143"/>
      <c r="C83" s="143"/>
      <c r="D83" s="143"/>
      <c r="E83" s="143"/>
      <c r="F83" s="143"/>
      <c r="G83" s="143"/>
      <c r="H83" s="143"/>
      <c r="I83" s="143"/>
      <c r="J83" s="143"/>
      <c r="K83" s="143"/>
      <c r="M83" s="1120"/>
      <c r="N83" s="1120"/>
      <c r="V83" s="582"/>
      <c r="W83" s="1576"/>
      <c r="X83" s="1576"/>
      <c r="Y83" s="1576"/>
      <c r="Z83" s="1576"/>
      <c r="AA83" s="1576"/>
      <c r="AB83" s="1576"/>
      <c r="AC83" s="1576"/>
      <c r="AD83" s="582"/>
      <c r="AE83" s="582"/>
      <c r="AF83" s="582"/>
      <c r="AG83" s="582"/>
      <c r="AH83" s="582"/>
      <c r="AI83" s="582"/>
      <c r="AJ83" s="582"/>
      <c r="AK83" s="582"/>
      <c r="AL83" s="582"/>
      <c r="AM83" s="582"/>
      <c r="AN83" s="582"/>
      <c r="AO83" s="582"/>
      <c r="AP83" s="582"/>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4"/>
      <c r="BW83" s="144"/>
      <c r="BX83" s="144"/>
      <c r="BY83" s="144"/>
      <c r="BZ83" s="144"/>
      <c r="CA83" s="144"/>
      <c r="CB83" s="144"/>
      <c r="CC83" s="144"/>
      <c r="CD83" s="144"/>
      <c r="CE83" s="144"/>
      <c r="CF83" s="144"/>
      <c r="CG83" s="144"/>
      <c r="CH83" s="144"/>
      <c r="CI83" s="144"/>
      <c r="CJ83" s="144"/>
      <c r="CK83" s="144"/>
      <c r="CL83" s="144"/>
      <c r="CM83" s="144"/>
      <c r="CN83" s="144"/>
      <c r="CO83" s="144"/>
      <c r="CP83" s="144"/>
      <c r="CQ83" s="144"/>
      <c r="CR83" s="144"/>
      <c r="CS83" s="144"/>
      <c r="CT83" s="144"/>
      <c r="CU83" s="144"/>
      <c r="CV83" s="144"/>
      <c r="CW83" s="144"/>
      <c r="CX83" s="144"/>
      <c r="CY83" s="144"/>
      <c r="CZ83" s="144"/>
      <c r="DA83" s="144"/>
      <c r="DB83" s="144"/>
      <c r="DC83" s="144"/>
      <c r="DD83" s="144"/>
      <c r="DE83" s="144"/>
      <c r="DF83" s="144"/>
      <c r="DG83" s="144"/>
      <c r="DH83" s="144"/>
      <c r="DI83" s="144"/>
      <c r="DJ83" s="144"/>
      <c r="DK83" s="144"/>
      <c r="DL83" s="144"/>
      <c r="DM83" s="144"/>
      <c r="DN83" s="144"/>
      <c r="DO83" s="144"/>
      <c r="DP83" s="144"/>
      <c r="DQ83" s="144"/>
      <c r="DR83" s="144"/>
      <c r="DS83" s="144"/>
      <c r="DT83" s="144"/>
      <c r="DU83" s="144"/>
      <c r="DV83" s="144"/>
      <c r="DW83" s="144"/>
      <c r="DX83" s="144"/>
      <c r="DY83" s="144"/>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row>
    <row r="84" spans="1:241" ht="14.15" customHeight="1">
      <c r="A84" s="144"/>
      <c r="B84" s="143"/>
      <c r="C84" s="143"/>
      <c r="D84" s="143"/>
      <c r="E84" s="143"/>
      <c r="F84" s="143"/>
      <c r="G84" s="143"/>
      <c r="H84" s="143"/>
      <c r="I84" s="143"/>
      <c r="J84" s="143"/>
      <c r="K84" s="143"/>
      <c r="M84" s="1120"/>
      <c r="N84" s="1120"/>
      <c r="V84" s="582"/>
      <c r="W84" s="1576"/>
      <c r="X84" s="1576"/>
      <c r="Y84" s="1576"/>
      <c r="Z84" s="1576"/>
      <c r="AA84" s="1576"/>
      <c r="AB84" s="1576"/>
      <c r="AC84" s="1576"/>
      <c r="AD84" s="582"/>
      <c r="AE84" s="582"/>
      <c r="AF84" s="582"/>
      <c r="AG84" s="582"/>
      <c r="AH84" s="582"/>
      <c r="AI84" s="582"/>
      <c r="AJ84" s="582"/>
      <c r="AK84" s="582"/>
      <c r="AL84" s="582"/>
      <c r="AM84" s="582"/>
      <c r="AN84" s="582"/>
      <c r="AO84" s="582"/>
      <c r="AP84" s="582"/>
      <c r="AQ84" s="144"/>
      <c r="AR84" s="144"/>
      <c r="AS84" s="144"/>
      <c r="AT84" s="144"/>
      <c r="AU84" s="144"/>
      <c r="AV84" s="144"/>
      <c r="AW84" s="144"/>
      <c r="AX84" s="144"/>
      <c r="AY84" s="144"/>
      <c r="AZ84" s="144"/>
      <c r="BA84" s="144"/>
      <c r="BB84" s="144"/>
      <c r="BC84" s="144"/>
      <c r="BD84" s="144"/>
      <c r="BE84" s="144"/>
      <c r="BF84" s="144"/>
      <c r="BG84" s="144"/>
      <c r="BH84" s="144"/>
      <c r="BI84" s="144"/>
      <c r="BJ84" s="144"/>
      <c r="BK84" s="144"/>
      <c r="BL84" s="144"/>
      <c r="BM84" s="144"/>
      <c r="BN84" s="144"/>
      <c r="BO84" s="144"/>
      <c r="BP84" s="144"/>
      <c r="BQ84" s="144"/>
      <c r="BR84" s="144"/>
      <c r="BS84" s="144"/>
      <c r="BT84" s="144"/>
      <c r="BU84" s="144"/>
      <c r="BV84" s="144"/>
      <c r="BW84" s="144"/>
      <c r="BX84" s="144"/>
      <c r="BY84" s="144"/>
      <c r="BZ84" s="144"/>
      <c r="CA84" s="144"/>
      <c r="CB84" s="144"/>
      <c r="CC84" s="144"/>
      <c r="CD84" s="144"/>
      <c r="CE84" s="144"/>
      <c r="CF84" s="144"/>
      <c r="CG84" s="144"/>
      <c r="CH84" s="144"/>
      <c r="CI84" s="144"/>
      <c r="CJ84" s="144"/>
      <c r="CK84" s="144"/>
      <c r="CL84" s="144"/>
      <c r="CM84" s="144"/>
      <c r="CN84" s="144"/>
      <c r="CO84" s="144"/>
      <c r="CP84" s="144"/>
      <c r="CQ84" s="144"/>
      <c r="CR84" s="144"/>
      <c r="CS84" s="144"/>
      <c r="CT84" s="144"/>
      <c r="CU84" s="144"/>
      <c r="CV84" s="144"/>
      <c r="CW84" s="144"/>
      <c r="CX84" s="144"/>
      <c r="CY84" s="144"/>
      <c r="CZ84" s="144"/>
      <c r="DA84" s="144"/>
      <c r="DB84" s="144"/>
      <c r="DC84" s="144"/>
      <c r="DD84" s="144"/>
      <c r="DE84" s="144"/>
      <c r="DF84" s="144"/>
      <c r="DG84" s="144"/>
      <c r="DH84" s="144"/>
      <c r="DI84" s="144"/>
      <c r="DJ84" s="144"/>
      <c r="DK84" s="144"/>
      <c r="DL84" s="144"/>
      <c r="DM84" s="144"/>
      <c r="DN84" s="144"/>
      <c r="DO84" s="144"/>
      <c r="DP84" s="144"/>
      <c r="DQ84" s="144"/>
      <c r="DR84" s="144"/>
      <c r="DS84" s="144"/>
      <c r="DT84" s="144"/>
      <c r="DU84" s="144"/>
      <c r="DV84" s="144"/>
      <c r="DW84" s="144"/>
      <c r="DX84" s="144"/>
      <c r="DY84" s="144"/>
      <c r="DZ84" s="144"/>
      <c r="EA84" s="144"/>
      <c r="EB84" s="144"/>
      <c r="EC84" s="144"/>
      <c r="ED84" s="144"/>
      <c r="EE84" s="144"/>
      <c r="EF84" s="144"/>
      <c r="EG84" s="144"/>
      <c r="EH84" s="144"/>
      <c r="EI84" s="144"/>
      <c r="EJ84" s="144"/>
      <c r="EK84" s="144"/>
      <c r="EL84" s="144"/>
      <c r="EM84" s="144"/>
      <c r="EN84" s="144"/>
      <c r="EO84" s="144"/>
      <c r="EP84" s="144"/>
      <c r="EQ84" s="144"/>
      <c r="ER84" s="144"/>
      <c r="ES84" s="144"/>
      <c r="ET84" s="144"/>
      <c r="EU84" s="144"/>
      <c r="EV84" s="144"/>
      <c r="EW84" s="144"/>
      <c r="EX84" s="144"/>
      <c r="EY84" s="144"/>
      <c r="EZ84" s="144"/>
      <c r="FA84" s="144"/>
      <c r="FB84" s="144"/>
      <c r="FC84" s="144"/>
      <c r="FD84" s="144"/>
      <c r="FE84" s="144"/>
      <c r="FF84" s="144"/>
      <c r="FG84" s="144"/>
      <c r="FH84" s="144"/>
      <c r="FI84" s="144"/>
      <c r="FJ84" s="144"/>
      <c r="FK84" s="144"/>
      <c r="FL84" s="144"/>
      <c r="FM84" s="144"/>
      <c r="FN84" s="144"/>
      <c r="FO84" s="144"/>
      <c r="FP84" s="144"/>
      <c r="FQ84" s="144"/>
      <c r="FR84" s="144"/>
      <c r="FS84" s="144"/>
      <c r="FT84" s="144"/>
      <c r="FU84" s="144"/>
      <c r="FV84" s="144"/>
      <c r="FW84" s="144"/>
      <c r="FX84" s="144"/>
      <c r="FY84" s="144"/>
      <c r="FZ84" s="144"/>
      <c r="GA84" s="144"/>
      <c r="GB84" s="144"/>
      <c r="GC84" s="144"/>
      <c r="GD84" s="144"/>
      <c r="GE84" s="144"/>
      <c r="GF84" s="144"/>
      <c r="GG84" s="144"/>
      <c r="GH84" s="144"/>
      <c r="GI84" s="144"/>
      <c r="GJ84" s="144"/>
      <c r="GK84" s="144"/>
      <c r="GL84" s="144"/>
      <c r="GM84" s="144"/>
      <c r="GN84" s="144"/>
      <c r="GO84" s="144"/>
      <c r="GP84" s="144"/>
      <c r="GQ84" s="144"/>
      <c r="GR84" s="144"/>
      <c r="GS84" s="144"/>
      <c r="GT84" s="144"/>
      <c r="GU84" s="144"/>
      <c r="GV84" s="144"/>
      <c r="GW84" s="144"/>
      <c r="GX84" s="144"/>
      <c r="GY84" s="144"/>
      <c r="GZ84" s="144"/>
      <c r="HA84" s="144"/>
      <c r="HB84" s="144"/>
      <c r="HC84" s="144"/>
      <c r="HD84" s="144"/>
      <c r="HE84" s="144"/>
      <c r="HF84" s="144"/>
      <c r="HG84" s="144"/>
      <c r="HH84" s="144"/>
      <c r="HI84" s="144"/>
      <c r="HJ84" s="144"/>
      <c r="HK84" s="144"/>
      <c r="HL84" s="144"/>
      <c r="HM84" s="144"/>
      <c r="HN84" s="144"/>
      <c r="HO84" s="144"/>
      <c r="HP84" s="144"/>
      <c r="HQ84" s="144"/>
      <c r="HR84" s="144"/>
      <c r="HS84" s="144"/>
      <c r="HT84" s="144"/>
      <c r="HU84" s="144"/>
      <c r="HV84" s="144"/>
      <c r="HW84" s="144"/>
      <c r="HX84" s="144"/>
      <c r="HY84" s="144"/>
      <c r="HZ84" s="144"/>
      <c r="IA84" s="144"/>
      <c r="IB84" s="144"/>
      <c r="IC84" s="144"/>
      <c r="ID84" s="144"/>
      <c r="IE84" s="144"/>
      <c r="IF84" s="144"/>
      <c r="IG84" s="144"/>
    </row>
    <row r="85" spans="1:241" ht="14.15" customHeight="1">
      <c r="A85" s="144"/>
      <c r="B85" s="143"/>
      <c r="C85" s="143"/>
      <c r="D85" s="143"/>
      <c r="E85" s="143"/>
      <c r="F85" s="143"/>
      <c r="G85" s="143"/>
      <c r="H85" s="143"/>
      <c r="I85" s="143"/>
      <c r="J85" s="143"/>
      <c r="K85" s="143"/>
      <c r="M85" s="1120"/>
      <c r="N85" s="1120"/>
      <c r="V85" s="582"/>
      <c r="W85" s="1576"/>
      <c r="X85" s="1576"/>
      <c r="Y85" s="1576"/>
      <c r="Z85" s="1576"/>
      <c r="AA85" s="1576"/>
      <c r="AB85" s="1576"/>
      <c r="AC85" s="1576"/>
      <c r="AD85" s="582"/>
      <c r="AE85" s="582"/>
      <c r="AF85" s="582"/>
      <c r="AG85" s="582"/>
      <c r="AH85" s="582"/>
      <c r="AI85" s="582"/>
      <c r="AJ85" s="582"/>
      <c r="AK85" s="582"/>
      <c r="AL85" s="582"/>
      <c r="AM85" s="582"/>
      <c r="AN85" s="582"/>
      <c r="AO85" s="582"/>
      <c r="AP85" s="582"/>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row>
    <row r="86" spans="1:241" ht="14.15" customHeight="1">
      <c r="A86" s="144"/>
      <c r="B86" s="143"/>
      <c r="C86" s="143"/>
      <c r="D86" s="143"/>
      <c r="E86" s="143"/>
      <c r="F86" s="143"/>
      <c r="G86" s="143"/>
      <c r="H86" s="143"/>
      <c r="I86" s="143"/>
      <c r="J86" s="143"/>
      <c r="K86" s="143"/>
      <c r="M86" s="1120"/>
      <c r="N86" s="1120"/>
      <c r="V86" s="582"/>
      <c r="W86" s="1576"/>
      <c r="X86" s="1576"/>
      <c r="Y86" s="1576"/>
      <c r="Z86" s="1576"/>
      <c r="AA86" s="1575"/>
      <c r="AB86" s="1575"/>
      <c r="AC86" s="1575"/>
      <c r="AD86" s="582"/>
      <c r="AE86" s="582"/>
      <c r="AF86" s="582"/>
      <c r="AG86" s="582"/>
      <c r="AH86" s="582"/>
      <c r="AI86" s="582"/>
      <c r="AJ86" s="582"/>
      <c r="AK86" s="582"/>
      <c r="AL86" s="582"/>
      <c r="AM86" s="582"/>
      <c r="AN86" s="582"/>
      <c r="AO86" s="582"/>
      <c r="AP86" s="582"/>
      <c r="AQ86" s="144"/>
      <c r="AR86" s="144"/>
      <c r="AS86" s="144"/>
      <c r="AT86" s="144"/>
      <c r="AU86" s="144"/>
      <c r="AV86" s="144"/>
      <c r="AW86" s="144"/>
      <c r="AX86" s="144"/>
      <c r="AY86" s="144"/>
      <c r="AZ86" s="144"/>
      <c r="BA86" s="144"/>
      <c r="BB86" s="144"/>
      <c r="BC86" s="144"/>
      <c r="BD86" s="144"/>
      <c r="BE86" s="144"/>
      <c r="BF86" s="144"/>
      <c r="BG86" s="144"/>
      <c r="BH86" s="144"/>
      <c r="BI86" s="144"/>
      <c r="BJ86" s="144"/>
      <c r="BK86" s="144"/>
      <c r="BL86" s="144"/>
      <c r="BM86" s="144"/>
      <c r="BN86" s="144"/>
      <c r="BO86" s="144"/>
      <c r="BP86" s="144"/>
      <c r="BQ86" s="144"/>
      <c r="BR86" s="144"/>
      <c r="BS86" s="144"/>
      <c r="BT86" s="144"/>
      <c r="BU86" s="144"/>
      <c r="BV86" s="144"/>
      <c r="BW86" s="144"/>
      <c r="BX86" s="144"/>
      <c r="BY86" s="144"/>
      <c r="BZ86" s="144"/>
      <c r="CA86" s="144"/>
      <c r="CB86" s="144"/>
      <c r="CC86" s="144"/>
      <c r="CD86" s="144"/>
      <c r="CE86" s="144"/>
      <c r="CF86" s="144"/>
      <c r="CG86" s="144"/>
      <c r="CH86" s="144"/>
      <c r="CI86" s="144"/>
      <c r="CJ86" s="144"/>
      <c r="CK86" s="144"/>
      <c r="CL86" s="144"/>
      <c r="CM86" s="144"/>
      <c r="CN86" s="144"/>
      <c r="CO86" s="144"/>
      <c r="CP86" s="144"/>
      <c r="CQ86" s="144"/>
      <c r="CR86" s="144"/>
      <c r="CS86" s="144"/>
      <c r="CT86" s="144"/>
      <c r="CU86" s="144"/>
      <c r="CV86" s="144"/>
      <c r="CW86" s="144"/>
      <c r="CX86" s="144"/>
      <c r="CY86" s="144"/>
      <c r="CZ86" s="144"/>
      <c r="DA86" s="144"/>
      <c r="DB86" s="144"/>
      <c r="DC86" s="144"/>
      <c r="DD86" s="144"/>
      <c r="DE86" s="144"/>
      <c r="DF86" s="144"/>
      <c r="DG86" s="144"/>
      <c r="DH86" s="144"/>
      <c r="DI86" s="144"/>
      <c r="DJ86" s="144"/>
      <c r="DK86" s="144"/>
      <c r="DL86" s="144"/>
      <c r="DM86" s="144"/>
      <c r="DN86" s="144"/>
      <c r="DO86" s="144"/>
      <c r="DP86" s="144"/>
      <c r="DQ86" s="144"/>
      <c r="DR86" s="144"/>
      <c r="DS86" s="144"/>
      <c r="DT86" s="144"/>
      <c r="DU86" s="144"/>
      <c r="DV86" s="144"/>
      <c r="DW86" s="144"/>
      <c r="DX86" s="144"/>
      <c r="DY86" s="144"/>
      <c r="DZ86" s="144"/>
      <c r="EA86" s="144"/>
      <c r="EB86" s="144"/>
      <c r="EC86" s="144"/>
      <c r="ED86" s="144"/>
      <c r="EE86" s="144"/>
      <c r="EF86" s="144"/>
      <c r="EG86" s="144"/>
      <c r="EH86" s="144"/>
      <c r="EI86" s="144"/>
      <c r="EJ86" s="144"/>
      <c r="EK86" s="144"/>
      <c r="EL86" s="144"/>
      <c r="EM86" s="144"/>
      <c r="EN86" s="144"/>
      <c r="EO86" s="144"/>
      <c r="EP86" s="144"/>
      <c r="EQ86" s="144"/>
      <c r="ER86" s="144"/>
      <c r="ES86" s="144"/>
      <c r="ET86" s="144"/>
      <c r="EU86" s="144"/>
      <c r="EV86" s="144"/>
      <c r="EW86" s="144"/>
      <c r="EX86" s="144"/>
      <c r="EY86" s="144"/>
      <c r="EZ86" s="144"/>
      <c r="FA86" s="144"/>
      <c r="FB86" s="144"/>
      <c r="FC86" s="144"/>
      <c r="FD86" s="144"/>
      <c r="FE86" s="144"/>
      <c r="FF86" s="144"/>
      <c r="FG86" s="144"/>
      <c r="FH86" s="144"/>
      <c r="FI86" s="144"/>
      <c r="FJ86" s="144"/>
      <c r="FK86" s="144"/>
      <c r="FL86" s="144"/>
      <c r="FM86" s="144"/>
      <c r="FN86" s="144"/>
      <c r="FO86" s="144"/>
      <c r="FP86" s="144"/>
      <c r="FQ86" s="144"/>
      <c r="FR86" s="144"/>
      <c r="FS86" s="144"/>
      <c r="FT86" s="144"/>
      <c r="FU86" s="144"/>
      <c r="FV86" s="144"/>
      <c r="FW86" s="144"/>
      <c r="FX86" s="144"/>
      <c r="FY86" s="144"/>
      <c r="FZ86" s="144"/>
      <c r="GA86" s="144"/>
      <c r="GB86" s="144"/>
      <c r="GC86" s="144"/>
      <c r="GD86" s="144"/>
      <c r="GE86" s="144"/>
      <c r="GF86" s="144"/>
      <c r="GG86" s="144"/>
      <c r="GH86" s="144"/>
      <c r="GI86" s="144"/>
      <c r="GJ86" s="144"/>
      <c r="GK86" s="144"/>
      <c r="GL86" s="144"/>
      <c r="GM86" s="144"/>
      <c r="GN86" s="144"/>
      <c r="GO86" s="144"/>
      <c r="GP86" s="144"/>
      <c r="GQ86" s="144"/>
      <c r="GR86" s="144"/>
      <c r="GS86" s="144"/>
      <c r="GT86" s="144"/>
      <c r="GU86" s="144"/>
      <c r="GV86" s="144"/>
      <c r="GW86" s="144"/>
      <c r="GX86" s="144"/>
      <c r="GY86" s="144"/>
      <c r="GZ86" s="144"/>
      <c r="HA86" s="144"/>
      <c r="HB86" s="144"/>
      <c r="HC86" s="144"/>
      <c r="HD86" s="144"/>
      <c r="HE86" s="144"/>
      <c r="HF86" s="144"/>
      <c r="HG86" s="144"/>
      <c r="HH86" s="144"/>
      <c r="HI86" s="144"/>
      <c r="HJ86" s="144"/>
      <c r="HK86" s="144"/>
      <c r="HL86" s="144"/>
      <c r="HM86" s="144"/>
      <c r="HN86" s="144"/>
      <c r="HO86" s="144"/>
      <c r="HP86" s="144"/>
      <c r="HQ86" s="144"/>
      <c r="HR86" s="144"/>
      <c r="HS86" s="144"/>
      <c r="HT86" s="144"/>
      <c r="HU86" s="144"/>
      <c r="HV86" s="144"/>
      <c r="HW86" s="144"/>
      <c r="HX86" s="144"/>
      <c r="HY86" s="144"/>
      <c r="HZ86" s="144"/>
      <c r="IA86" s="144"/>
      <c r="IB86" s="144"/>
      <c r="IC86" s="144"/>
      <c r="ID86" s="144"/>
      <c r="IE86" s="144"/>
      <c r="IF86" s="144"/>
      <c r="IG86" s="144"/>
    </row>
    <row r="87" spans="1:241" ht="14.15" customHeight="1">
      <c r="A87" s="144"/>
      <c r="B87" s="143"/>
      <c r="C87" s="143"/>
      <c r="D87" s="143"/>
      <c r="E87" s="143"/>
      <c r="F87" s="143"/>
      <c r="G87" s="143"/>
      <c r="H87" s="143"/>
      <c r="I87" s="143"/>
      <c r="J87" s="143"/>
      <c r="K87" s="143"/>
      <c r="M87" s="1120"/>
      <c r="N87" s="1120"/>
      <c r="V87" s="582"/>
      <c r="W87" s="1576"/>
      <c r="X87" s="1576"/>
      <c r="Y87" s="1576"/>
      <c r="Z87" s="582"/>
      <c r="AA87" s="1575"/>
      <c r="AB87" s="1575"/>
      <c r="AC87" s="1575"/>
      <c r="AD87" s="582"/>
      <c r="AE87" s="582"/>
      <c r="AF87" s="582"/>
      <c r="AG87" s="582"/>
      <c r="AH87" s="582"/>
      <c r="AI87" s="582"/>
      <c r="AJ87" s="582"/>
      <c r="AK87" s="582"/>
      <c r="AL87" s="582"/>
      <c r="AM87" s="582"/>
      <c r="AN87" s="582"/>
      <c r="AO87" s="582"/>
      <c r="AP87" s="582"/>
      <c r="AQ87" s="144"/>
      <c r="AR87" s="144"/>
      <c r="AS87" s="144"/>
      <c r="AT87" s="144"/>
      <c r="AU87" s="144"/>
      <c r="AV87" s="144"/>
      <c r="AW87" s="144"/>
      <c r="AX87" s="144"/>
      <c r="AY87" s="144"/>
      <c r="AZ87" s="144"/>
      <c r="BA87" s="144"/>
      <c r="BB87" s="144"/>
      <c r="BC87" s="144"/>
      <c r="BD87" s="144"/>
      <c r="BE87" s="144"/>
      <c r="BF87" s="144"/>
      <c r="BG87" s="144"/>
      <c r="BH87" s="144"/>
      <c r="BI87" s="144"/>
      <c r="BJ87" s="144"/>
      <c r="BK87" s="144"/>
      <c r="BL87" s="144"/>
      <c r="BM87" s="144"/>
      <c r="BN87" s="144"/>
      <c r="BO87" s="144"/>
      <c r="BP87" s="144"/>
      <c r="BQ87" s="144"/>
      <c r="BR87" s="144"/>
      <c r="BS87" s="144"/>
      <c r="BT87" s="144"/>
      <c r="BU87" s="144"/>
      <c r="BV87" s="144"/>
      <c r="BW87" s="144"/>
      <c r="BX87" s="144"/>
      <c r="BY87" s="144"/>
      <c r="BZ87" s="144"/>
      <c r="CA87" s="144"/>
      <c r="CB87" s="144"/>
      <c r="CC87" s="144"/>
      <c r="CD87" s="144"/>
      <c r="CE87" s="144"/>
      <c r="CF87" s="144"/>
      <c r="CG87" s="144"/>
      <c r="CH87" s="144"/>
      <c r="CI87" s="144"/>
      <c r="CJ87" s="144"/>
      <c r="CK87" s="144"/>
      <c r="CL87" s="144"/>
      <c r="CM87" s="144"/>
      <c r="CN87" s="144"/>
      <c r="CO87" s="144"/>
      <c r="CP87" s="144"/>
      <c r="CQ87" s="144"/>
      <c r="CR87" s="144"/>
      <c r="CS87" s="144"/>
      <c r="CT87" s="144"/>
      <c r="CU87" s="144"/>
      <c r="CV87" s="144"/>
      <c r="CW87" s="144"/>
      <c r="CX87" s="144"/>
      <c r="CY87" s="144"/>
      <c r="CZ87" s="144"/>
      <c r="DA87" s="144"/>
      <c r="DB87" s="144"/>
      <c r="DC87" s="144"/>
      <c r="DD87" s="144"/>
      <c r="DE87" s="144"/>
      <c r="DF87" s="144"/>
      <c r="DG87" s="144"/>
      <c r="DH87" s="144"/>
      <c r="DI87" s="144"/>
      <c r="DJ87" s="144"/>
      <c r="DK87" s="144"/>
      <c r="DL87" s="144"/>
      <c r="DM87" s="144"/>
      <c r="DN87" s="144"/>
      <c r="DO87" s="144"/>
      <c r="DP87" s="144"/>
      <c r="DQ87" s="144"/>
      <c r="DR87" s="144"/>
      <c r="DS87" s="144"/>
      <c r="DT87" s="144"/>
      <c r="DU87" s="144"/>
      <c r="DV87" s="144"/>
      <c r="DW87" s="144"/>
      <c r="DX87" s="144"/>
      <c r="DY87" s="144"/>
      <c r="DZ87" s="144"/>
      <c r="EA87" s="144"/>
      <c r="EB87" s="144"/>
      <c r="EC87" s="144"/>
      <c r="ED87" s="144"/>
      <c r="EE87" s="144"/>
      <c r="EF87" s="144"/>
      <c r="EG87" s="144"/>
      <c r="EH87" s="144"/>
      <c r="EI87" s="144"/>
      <c r="EJ87" s="144"/>
      <c r="EK87" s="144"/>
      <c r="EL87" s="144"/>
      <c r="EM87" s="144"/>
      <c r="EN87" s="144"/>
      <c r="EO87" s="144"/>
      <c r="EP87" s="144"/>
      <c r="EQ87" s="144"/>
      <c r="ER87" s="144"/>
      <c r="ES87" s="144"/>
      <c r="ET87" s="144"/>
      <c r="EU87" s="144"/>
      <c r="EV87" s="144"/>
      <c r="EW87" s="144"/>
      <c r="EX87" s="144"/>
      <c r="EY87" s="144"/>
      <c r="EZ87" s="144"/>
      <c r="FA87" s="144"/>
      <c r="FB87" s="144"/>
      <c r="FC87" s="144"/>
      <c r="FD87" s="144"/>
      <c r="FE87" s="144"/>
      <c r="FF87" s="144"/>
      <c r="FG87" s="144"/>
      <c r="FH87" s="144"/>
      <c r="FI87" s="144"/>
      <c r="FJ87" s="144"/>
      <c r="FK87" s="144"/>
      <c r="FL87" s="144"/>
      <c r="FM87" s="144"/>
      <c r="FN87" s="144"/>
      <c r="FO87" s="144"/>
      <c r="FP87" s="144"/>
      <c r="FQ87" s="144"/>
      <c r="FR87" s="144"/>
      <c r="FS87" s="144"/>
      <c r="FT87" s="144"/>
      <c r="FU87" s="144"/>
      <c r="FV87" s="144"/>
      <c r="FW87" s="144"/>
      <c r="FX87" s="144"/>
      <c r="FY87" s="144"/>
      <c r="FZ87" s="144"/>
      <c r="GA87" s="144"/>
      <c r="GB87" s="144"/>
      <c r="GC87" s="144"/>
      <c r="GD87" s="144"/>
      <c r="GE87" s="144"/>
      <c r="GF87" s="144"/>
      <c r="GG87" s="144"/>
      <c r="GH87" s="144"/>
      <c r="GI87" s="144"/>
      <c r="GJ87" s="144"/>
      <c r="GK87" s="144"/>
      <c r="GL87" s="144"/>
      <c r="GM87" s="144"/>
      <c r="GN87" s="144"/>
      <c r="GO87" s="144"/>
      <c r="GP87" s="144"/>
      <c r="GQ87" s="144"/>
      <c r="GR87" s="144"/>
      <c r="GS87" s="144"/>
      <c r="GT87" s="144"/>
      <c r="GU87" s="144"/>
      <c r="GV87" s="144"/>
      <c r="GW87" s="144"/>
      <c r="GX87" s="144"/>
      <c r="GY87" s="144"/>
      <c r="GZ87" s="144"/>
      <c r="HA87" s="144"/>
      <c r="HB87" s="144"/>
      <c r="HC87" s="144"/>
      <c r="HD87" s="144"/>
      <c r="HE87" s="144"/>
      <c r="HF87" s="144"/>
      <c r="HG87" s="144"/>
      <c r="HH87" s="144"/>
      <c r="HI87" s="144"/>
      <c r="HJ87" s="144"/>
      <c r="HK87" s="144"/>
      <c r="HL87" s="144"/>
      <c r="HM87" s="144"/>
      <c r="HN87" s="144"/>
      <c r="HO87" s="144"/>
      <c r="HP87" s="144"/>
      <c r="HQ87" s="144"/>
      <c r="HR87" s="144"/>
      <c r="HS87" s="144"/>
      <c r="HT87" s="144"/>
      <c r="HU87" s="144"/>
      <c r="HV87" s="144"/>
      <c r="HW87" s="144"/>
      <c r="HX87" s="144"/>
      <c r="HY87" s="144"/>
      <c r="HZ87" s="144"/>
      <c r="IA87" s="144"/>
      <c r="IB87" s="144"/>
      <c r="IC87" s="144"/>
      <c r="ID87" s="144"/>
      <c r="IE87" s="144"/>
      <c r="IF87" s="144"/>
      <c r="IG87" s="144"/>
    </row>
    <row r="88" spans="1:241" ht="14.15" customHeight="1">
      <c r="A88" s="144"/>
      <c r="B88" s="143"/>
      <c r="C88" s="143"/>
      <c r="D88" s="143"/>
      <c r="E88" s="143"/>
      <c r="F88" s="143"/>
      <c r="G88" s="143"/>
      <c r="H88" s="143"/>
      <c r="I88" s="143"/>
      <c r="J88" s="143"/>
      <c r="K88" s="143"/>
      <c r="M88" s="1120"/>
      <c r="N88" s="1120"/>
      <c r="V88" s="582"/>
      <c r="W88" s="1576"/>
      <c r="X88" s="1576"/>
      <c r="Y88" s="1576"/>
      <c r="Z88" s="582"/>
      <c r="AA88" s="1575"/>
      <c r="AB88" s="1575"/>
      <c r="AC88" s="1575"/>
      <c r="AD88" s="582"/>
      <c r="AE88" s="582"/>
      <c r="AF88" s="582"/>
      <c r="AG88" s="582"/>
      <c r="AH88" s="582"/>
      <c r="AI88" s="582"/>
      <c r="AJ88" s="582"/>
      <c r="AK88" s="582"/>
      <c r="AL88" s="582"/>
      <c r="AM88" s="582"/>
      <c r="AN88" s="582"/>
      <c r="AO88" s="582"/>
      <c r="AP88" s="582"/>
      <c r="AQ88" s="144"/>
      <c r="AR88" s="144"/>
      <c r="AS88" s="144"/>
      <c r="AT88" s="144"/>
      <c r="AU88" s="144"/>
      <c r="AV88" s="144"/>
      <c r="AW88" s="144"/>
      <c r="AX88" s="144"/>
      <c r="AY88" s="144"/>
      <c r="AZ88" s="144"/>
      <c r="BA88" s="144"/>
      <c r="BB88" s="144"/>
      <c r="BC88" s="144"/>
      <c r="BD88" s="144"/>
      <c r="BE88" s="144"/>
      <c r="BF88" s="144"/>
      <c r="BG88" s="144"/>
      <c r="BH88" s="144"/>
      <c r="BI88" s="144"/>
      <c r="BJ88" s="144"/>
      <c r="BK88" s="144"/>
      <c r="BL88" s="144"/>
      <c r="BM88" s="144"/>
      <c r="BN88" s="144"/>
      <c r="BO88" s="144"/>
      <c r="BP88" s="144"/>
      <c r="BQ88" s="144"/>
      <c r="BR88" s="144"/>
      <c r="BS88" s="144"/>
      <c r="BT88" s="144"/>
      <c r="BU88" s="144"/>
      <c r="BV88" s="144"/>
      <c r="BW88" s="144"/>
      <c r="BX88" s="144"/>
      <c r="BY88" s="144"/>
      <c r="BZ88" s="144"/>
      <c r="CA88" s="144"/>
      <c r="CB88" s="144"/>
      <c r="CC88" s="144"/>
      <c r="CD88" s="144"/>
      <c r="CE88" s="144"/>
      <c r="CF88" s="144"/>
      <c r="CG88" s="144"/>
      <c r="CH88" s="144"/>
      <c r="CI88" s="144"/>
      <c r="CJ88" s="144"/>
      <c r="CK88" s="144"/>
      <c r="CL88" s="144"/>
      <c r="CM88" s="144"/>
      <c r="CN88" s="144"/>
      <c r="CO88" s="144"/>
      <c r="CP88" s="144"/>
      <c r="CQ88" s="144"/>
      <c r="CR88" s="144"/>
      <c r="CS88" s="144"/>
      <c r="CT88" s="144"/>
      <c r="CU88" s="144"/>
      <c r="CV88" s="144"/>
      <c r="CW88" s="144"/>
      <c r="CX88" s="144"/>
      <c r="CY88" s="144"/>
      <c r="CZ88" s="144"/>
      <c r="DA88" s="144"/>
      <c r="DB88" s="144"/>
      <c r="DC88" s="144"/>
      <c r="DD88" s="144"/>
      <c r="DE88" s="144"/>
      <c r="DF88" s="144"/>
      <c r="DG88" s="144"/>
      <c r="DH88" s="144"/>
      <c r="DI88" s="144"/>
      <c r="DJ88" s="144"/>
      <c r="DK88" s="144"/>
      <c r="DL88" s="144"/>
      <c r="DM88" s="144"/>
      <c r="DN88" s="144"/>
      <c r="DO88" s="144"/>
      <c r="DP88" s="144"/>
      <c r="DQ88" s="144"/>
      <c r="DR88" s="144"/>
      <c r="DS88" s="144"/>
      <c r="DT88" s="144"/>
      <c r="DU88" s="144"/>
      <c r="DV88" s="144"/>
      <c r="DW88" s="144"/>
      <c r="DX88" s="144"/>
      <c r="DY88" s="144"/>
      <c r="DZ88" s="144"/>
      <c r="EA88" s="144"/>
      <c r="EB88" s="144"/>
      <c r="EC88" s="144"/>
      <c r="ED88" s="144"/>
      <c r="EE88" s="144"/>
      <c r="EF88" s="144"/>
      <c r="EG88" s="144"/>
      <c r="EH88" s="144"/>
      <c r="EI88" s="144"/>
      <c r="EJ88" s="144"/>
      <c r="EK88" s="144"/>
      <c r="EL88" s="144"/>
      <c r="EM88" s="144"/>
      <c r="EN88" s="144"/>
      <c r="EO88" s="144"/>
      <c r="EP88" s="144"/>
      <c r="EQ88" s="144"/>
      <c r="ER88" s="144"/>
      <c r="ES88" s="144"/>
      <c r="ET88" s="144"/>
      <c r="EU88" s="144"/>
      <c r="EV88" s="144"/>
      <c r="EW88" s="144"/>
      <c r="EX88" s="144"/>
      <c r="EY88" s="144"/>
      <c r="EZ88" s="144"/>
      <c r="FA88" s="144"/>
      <c r="FB88" s="144"/>
      <c r="FC88" s="144"/>
      <c r="FD88" s="144"/>
      <c r="FE88" s="144"/>
      <c r="FF88" s="144"/>
      <c r="FG88" s="144"/>
      <c r="FH88" s="144"/>
      <c r="FI88" s="144"/>
      <c r="FJ88" s="144"/>
      <c r="FK88" s="144"/>
      <c r="FL88" s="144"/>
      <c r="FM88" s="144"/>
      <c r="FN88" s="144"/>
      <c r="FO88" s="144"/>
      <c r="FP88" s="144"/>
      <c r="FQ88" s="144"/>
      <c r="FR88" s="144"/>
      <c r="FS88" s="144"/>
      <c r="FT88" s="144"/>
      <c r="FU88" s="144"/>
      <c r="FV88" s="144"/>
      <c r="FW88" s="144"/>
      <c r="FX88" s="144"/>
      <c r="FY88" s="144"/>
      <c r="FZ88" s="144"/>
      <c r="GA88" s="144"/>
      <c r="GB88" s="144"/>
      <c r="GC88" s="144"/>
      <c r="GD88" s="144"/>
      <c r="GE88" s="144"/>
      <c r="GF88" s="144"/>
      <c r="GG88" s="144"/>
      <c r="GH88" s="144"/>
      <c r="GI88" s="144"/>
      <c r="GJ88" s="144"/>
      <c r="GK88" s="144"/>
      <c r="GL88" s="144"/>
      <c r="GM88" s="144"/>
      <c r="GN88" s="144"/>
      <c r="GO88" s="144"/>
      <c r="GP88" s="144"/>
      <c r="GQ88" s="144"/>
      <c r="GR88" s="144"/>
      <c r="GS88" s="144"/>
      <c r="GT88" s="144"/>
      <c r="GU88" s="144"/>
      <c r="GV88" s="144"/>
      <c r="GW88" s="144"/>
      <c r="GX88" s="144"/>
      <c r="GY88" s="144"/>
      <c r="GZ88" s="144"/>
      <c r="HA88" s="144"/>
      <c r="HB88" s="144"/>
      <c r="HC88" s="144"/>
      <c r="HD88" s="144"/>
      <c r="HE88" s="144"/>
      <c r="HF88" s="144"/>
      <c r="HG88" s="144"/>
      <c r="HH88" s="144"/>
      <c r="HI88" s="144"/>
      <c r="HJ88" s="144"/>
      <c r="HK88" s="144"/>
      <c r="HL88" s="144"/>
      <c r="HM88" s="144"/>
      <c r="HN88" s="144"/>
      <c r="HO88" s="144"/>
      <c r="HP88" s="144"/>
      <c r="HQ88" s="144"/>
      <c r="HR88" s="144"/>
      <c r="HS88" s="144"/>
      <c r="HT88" s="144"/>
      <c r="HU88" s="144"/>
      <c r="HV88" s="144"/>
      <c r="HW88" s="144"/>
      <c r="HX88" s="144"/>
      <c r="HY88" s="144"/>
      <c r="HZ88" s="144"/>
      <c r="IA88" s="144"/>
      <c r="IB88" s="144"/>
      <c r="IC88" s="144"/>
      <c r="ID88" s="144"/>
      <c r="IE88" s="144"/>
      <c r="IF88" s="144"/>
      <c r="IG88" s="144"/>
    </row>
    <row r="89" spans="1:241" ht="14.15" customHeight="1">
      <c r="A89" s="144"/>
      <c r="B89" s="143"/>
      <c r="C89" s="143"/>
      <c r="D89" s="143"/>
      <c r="E89" s="143"/>
      <c r="F89" s="143"/>
      <c r="G89" s="143"/>
      <c r="H89" s="143"/>
      <c r="I89" s="143"/>
      <c r="J89" s="143"/>
      <c r="K89" s="143"/>
      <c r="M89" s="1120"/>
      <c r="N89" s="1120"/>
      <c r="V89" s="582"/>
      <c r="W89" s="1576"/>
      <c r="X89" s="1576"/>
      <c r="Y89" s="1576"/>
      <c r="Z89" s="582"/>
      <c r="AA89" s="1575"/>
      <c r="AB89" s="1575"/>
      <c r="AC89" s="1575"/>
      <c r="AD89" s="582"/>
      <c r="AE89" s="582"/>
      <c r="AF89" s="582"/>
      <c r="AG89" s="582"/>
      <c r="AH89" s="582"/>
      <c r="AI89" s="582"/>
      <c r="AJ89" s="582"/>
      <c r="AK89" s="582"/>
      <c r="AL89" s="582"/>
      <c r="AM89" s="582"/>
      <c r="AN89" s="582"/>
      <c r="AO89" s="582"/>
      <c r="AP89" s="582"/>
      <c r="AQ89" s="144"/>
      <c r="AR89" s="144"/>
      <c r="AS89" s="144"/>
      <c r="AT89" s="144"/>
      <c r="AU89" s="144"/>
      <c r="AV89" s="144"/>
      <c r="AW89" s="144"/>
      <c r="AX89" s="144"/>
      <c r="AY89" s="144"/>
      <c r="AZ89" s="144"/>
      <c r="BA89" s="144"/>
      <c r="BB89" s="144"/>
      <c r="BC89" s="144"/>
      <c r="BD89" s="144"/>
      <c r="BE89" s="144"/>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row>
    <row r="90" spans="1:241" ht="14.15" customHeight="1">
      <c r="A90" s="144"/>
      <c r="B90" s="143"/>
      <c r="C90" s="143"/>
      <c r="D90" s="143"/>
      <c r="E90" s="143"/>
      <c r="F90" s="143"/>
      <c r="G90" s="143"/>
      <c r="H90" s="143"/>
      <c r="I90" s="143"/>
      <c r="J90" s="143"/>
      <c r="K90" s="143"/>
      <c r="M90" s="1120"/>
      <c r="N90" s="1120"/>
      <c r="V90" s="582"/>
      <c r="W90" s="1576"/>
      <c r="X90" s="1576"/>
      <c r="Y90" s="1576"/>
      <c r="Z90" s="582"/>
      <c r="AA90" s="1575"/>
      <c r="AB90" s="1575"/>
      <c r="AC90" s="1575"/>
      <c r="AD90" s="582"/>
      <c r="AE90" s="582"/>
      <c r="AF90" s="582"/>
      <c r="AG90" s="582"/>
      <c r="AH90" s="582"/>
      <c r="AI90" s="582"/>
      <c r="AJ90" s="582"/>
      <c r="AK90" s="582"/>
      <c r="AL90" s="582"/>
      <c r="AM90" s="582"/>
      <c r="AN90" s="582"/>
      <c r="AO90" s="582"/>
      <c r="AP90" s="582"/>
      <c r="AQ90" s="144"/>
      <c r="AR90" s="144"/>
      <c r="AS90" s="144"/>
      <c r="AT90" s="144"/>
      <c r="AU90" s="144"/>
      <c r="AV90" s="144"/>
      <c r="AW90" s="144"/>
      <c r="AX90" s="144"/>
      <c r="AY90" s="144"/>
      <c r="AZ90" s="144"/>
      <c r="BA90" s="144"/>
      <c r="BB90" s="144"/>
      <c r="BC90" s="144"/>
      <c r="BD90" s="144"/>
      <c r="BE90" s="144"/>
      <c r="BF90" s="144"/>
      <c r="BG90" s="144"/>
      <c r="BH90" s="144"/>
      <c r="BI90" s="144"/>
      <c r="BJ90" s="144"/>
      <c r="BK90" s="144"/>
      <c r="BL90" s="144"/>
      <c r="BM90" s="144"/>
      <c r="BN90" s="144"/>
      <c r="BO90" s="144"/>
      <c r="BP90" s="144"/>
      <c r="BQ90" s="144"/>
      <c r="BR90" s="144"/>
      <c r="BS90" s="144"/>
      <c r="BT90" s="144"/>
      <c r="BU90" s="144"/>
      <c r="BV90" s="144"/>
      <c r="BW90" s="144"/>
      <c r="BX90" s="144"/>
      <c r="BY90" s="144"/>
      <c r="BZ90" s="144"/>
      <c r="CA90" s="144"/>
      <c r="CB90" s="144"/>
      <c r="CC90" s="144"/>
      <c r="CD90" s="144"/>
      <c r="CE90" s="144"/>
      <c r="CF90" s="144"/>
      <c r="CG90" s="144"/>
      <c r="CH90" s="144"/>
      <c r="CI90" s="144"/>
      <c r="CJ90" s="144"/>
      <c r="CK90" s="144"/>
      <c r="CL90" s="144"/>
      <c r="CM90" s="144"/>
      <c r="CN90" s="144"/>
      <c r="CO90" s="144"/>
      <c r="CP90" s="144"/>
      <c r="CQ90" s="144"/>
      <c r="CR90" s="144"/>
      <c r="CS90" s="144"/>
      <c r="CT90" s="144"/>
      <c r="CU90" s="144"/>
      <c r="CV90" s="144"/>
      <c r="CW90" s="144"/>
      <c r="CX90" s="144"/>
      <c r="CY90" s="144"/>
      <c r="CZ90" s="144"/>
      <c r="DA90" s="144"/>
      <c r="DB90" s="144"/>
      <c r="DC90" s="144"/>
      <c r="DD90" s="144"/>
      <c r="DE90" s="144"/>
      <c r="DF90" s="144"/>
      <c r="DG90" s="144"/>
      <c r="DH90" s="144"/>
      <c r="DI90" s="144"/>
      <c r="DJ90" s="144"/>
      <c r="DK90" s="144"/>
      <c r="DL90" s="144"/>
      <c r="DM90" s="144"/>
      <c r="DN90" s="144"/>
      <c r="DO90" s="144"/>
      <c r="DP90" s="144"/>
      <c r="DQ90" s="144"/>
      <c r="DR90" s="144"/>
      <c r="DS90" s="144"/>
      <c r="DT90" s="144"/>
      <c r="DU90" s="144"/>
      <c r="DV90" s="144"/>
      <c r="DW90" s="144"/>
      <c r="DX90" s="144"/>
      <c r="DY90" s="144"/>
      <c r="DZ90" s="144"/>
      <c r="EA90" s="144"/>
      <c r="EB90" s="144"/>
      <c r="EC90" s="144"/>
      <c r="ED90" s="144"/>
      <c r="EE90" s="144"/>
      <c r="EF90" s="144"/>
      <c r="EG90" s="144"/>
      <c r="EH90" s="144"/>
      <c r="EI90" s="144"/>
      <c r="EJ90" s="144"/>
      <c r="EK90" s="144"/>
      <c r="EL90" s="144"/>
      <c r="EM90" s="144"/>
      <c r="EN90" s="144"/>
      <c r="EO90" s="144"/>
      <c r="EP90" s="144"/>
      <c r="EQ90" s="144"/>
      <c r="ER90" s="144"/>
      <c r="ES90" s="144"/>
      <c r="ET90" s="144"/>
      <c r="EU90" s="144"/>
      <c r="EV90" s="144"/>
      <c r="EW90" s="144"/>
      <c r="EX90" s="144"/>
      <c r="EY90" s="144"/>
      <c r="EZ90" s="144"/>
      <c r="FA90" s="144"/>
      <c r="FB90" s="144"/>
      <c r="FC90" s="144"/>
      <c r="FD90" s="144"/>
      <c r="FE90" s="144"/>
      <c r="FF90" s="144"/>
      <c r="FG90" s="144"/>
      <c r="FH90" s="144"/>
      <c r="FI90" s="144"/>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4"/>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4"/>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row>
    <row r="91" spans="1:241" ht="14.15" customHeight="1">
      <c r="A91" s="144"/>
      <c r="B91" s="143"/>
      <c r="C91" s="143"/>
      <c r="D91" s="143"/>
      <c r="E91" s="143"/>
      <c r="F91" s="143"/>
      <c r="G91" s="143"/>
      <c r="H91" s="143"/>
      <c r="I91" s="143"/>
      <c r="J91" s="143"/>
      <c r="K91" s="143"/>
      <c r="M91" s="1120"/>
      <c r="N91" s="1120"/>
      <c r="V91" s="582"/>
      <c r="W91" s="1576"/>
      <c r="X91" s="1576"/>
      <c r="Y91" s="1576"/>
      <c r="Z91" s="582"/>
      <c r="AA91" s="1575"/>
      <c r="AB91" s="1575"/>
      <c r="AC91" s="1575"/>
      <c r="AD91" s="582"/>
      <c r="AE91" s="582"/>
      <c r="AF91" s="582"/>
      <c r="AG91" s="582"/>
      <c r="AH91" s="582"/>
      <c r="AI91" s="582"/>
      <c r="AJ91" s="582"/>
      <c r="AK91" s="582"/>
      <c r="AL91" s="582"/>
      <c r="AM91" s="582"/>
      <c r="AN91" s="582"/>
      <c r="AO91" s="582"/>
      <c r="AP91" s="582"/>
      <c r="AQ91" s="144"/>
      <c r="AR91" s="144"/>
      <c r="AS91" s="144"/>
      <c r="AT91" s="144"/>
      <c r="AU91" s="144"/>
      <c r="AV91" s="144"/>
      <c r="AW91" s="144"/>
      <c r="AX91" s="144"/>
      <c r="AY91" s="144"/>
      <c r="AZ91" s="144"/>
      <c r="BA91" s="144"/>
      <c r="BB91" s="144"/>
      <c r="BC91" s="144"/>
      <c r="BD91" s="144"/>
      <c r="BE91" s="144"/>
      <c r="BF91" s="144"/>
      <c r="BG91" s="144"/>
      <c r="BH91" s="144"/>
      <c r="BI91" s="144"/>
      <c r="BJ91" s="144"/>
      <c r="BK91" s="144"/>
      <c r="BL91" s="144"/>
      <c r="BM91" s="144"/>
      <c r="BN91" s="144"/>
      <c r="BO91" s="144"/>
      <c r="BP91" s="144"/>
      <c r="BQ91" s="144"/>
      <c r="BR91" s="144"/>
      <c r="BS91" s="144"/>
      <c r="BT91" s="144"/>
      <c r="BU91" s="144"/>
      <c r="BV91" s="144"/>
      <c r="BW91" s="144"/>
      <c r="BX91" s="144"/>
      <c r="BY91" s="144"/>
      <c r="BZ91" s="144"/>
      <c r="CA91" s="144"/>
      <c r="CB91" s="144"/>
      <c r="CC91" s="144"/>
      <c r="CD91" s="144"/>
      <c r="CE91" s="144"/>
      <c r="CF91" s="144"/>
      <c r="CG91" s="144"/>
      <c r="CH91" s="144"/>
      <c r="CI91" s="144"/>
      <c r="CJ91" s="144"/>
      <c r="CK91" s="144"/>
      <c r="CL91" s="144"/>
      <c r="CM91" s="144"/>
      <c r="CN91" s="144"/>
      <c r="CO91" s="144"/>
      <c r="CP91" s="144"/>
      <c r="CQ91" s="144"/>
      <c r="CR91" s="144"/>
      <c r="CS91" s="144"/>
      <c r="CT91" s="144"/>
      <c r="CU91" s="144"/>
      <c r="CV91" s="144"/>
      <c r="CW91" s="144"/>
      <c r="CX91" s="144"/>
      <c r="CY91" s="144"/>
      <c r="CZ91" s="144"/>
      <c r="DA91" s="144"/>
      <c r="DB91" s="144"/>
      <c r="DC91" s="144"/>
      <c r="DD91" s="144"/>
      <c r="DE91" s="144"/>
      <c r="DF91" s="144"/>
      <c r="DG91" s="144"/>
      <c r="DH91" s="144"/>
      <c r="DI91" s="144"/>
      <c r="DJ91" s="144"/>
      <c r="DK91" s="144"/>
      <c r="DL91" s="144"/>
      <c r="DM91" s="144"/>
      <c r="DN91" s="144"/>
      <c r="DO91" s="144"/>
      <c r="DP91" s="144"/>
      <c r="DQ91" s="144"/>
      <c r="DR91" s="144"/>
      <c r="DS91" s="144"/>
      <c r="DT91" s="144"/>
      <c r="DU91" s="144"/>
      <c r="DV91" s="144"/>
      <c r="DW91" s="144"/>
      <c r="DX91" s="144"/>
      <c r="DY91" s="144"/>
      <c r="DZ91" s="144"/>
      <c r="EA91" s="144"/>
      <c r="EB91" s="144"/>
      <c r="EC91" s="144"/>
      <c r="ED91" s="144"/>
      <c r="EE91" s="144"/>
      <c r="EF91" s="144"/>
      <c r="EG91" s="144"/>
      <c r="EH91" s="144"/>
      <c r="EI91" s="144"/>
      <c r="EJ91" s="144"/>
      <c r="EK91" s="144"/>
      <c r="EL91" s="144"/>
      <c r="EM91" s="144"/>
      <c r="EN91" s="144"/>
      <c r="EO91" s="144"/>
      <c r="EP91" s="144"/>
      <c r="EQ91" s="144"/>
      <c r="ER91" s="144"/>
      <c r="ES91" s="144"/>
      <c r="ET91" s="144"/>
      <c r="EU91" s="144"/>
      <c r="EV91" s="144"/>
      <c r="EW91" s="144"/>
      <c r="EX91" s="144"/>
      <c r="EY91" s="144"/>
      <c r="EZ91" s="144"/>
      <c r="FA91" s="144"/>
      <c r="FB91" s="144"/>
      <c r="FC91" s="144"/>
      <c r="FD91" s="144"/>
      <c r="FE91" s="144"/>
      <c r="FF91" s="144"/>
      <c r="FG91" s="144"/>
      <c r="FH91" s="144"/>
      <c r="FI91" s="144"/>
      <c r="FJ91" s="144"/>
      <c r="FK91" s="144"/>
      <c r="FL91" s="144"/>
      <c r="FM91" s="144"/>
      <c r="FN91" s="144"/>
      <c r="FO91" s="144"/>
      <c r="FP91" s="144"/>
      <c r="FQ91" s="144"/>
      <c r="FR91" s="144"/>
      <c r="FS91" s="144"/>
      <c r="FT91" s="144"/>
      <c r="FU91" s="144"/>
      <c r="FV91" s="144"/>
      <c r="FW91" s="144"/>
      <c r="FX91" s="144"/>
      <c r="FY91" s="144"/>
      <c r="FZ91" s="144"/>
      <c r="GA91" s="144"/>
      <c r="GB91" s="144"/>
      <c r="GC91" s="144"/>
      <c r="GD91" s="144"/>
      <c r="GE91" s="144"/>
      <c r="GF91" s="144"/>
      <c r="GG91" s="144"/>
      <c r="GH91" s="144"/>
      <c r="GI91" s="144"/>
      <c r="GJ91" s="144"/>
      <c r="GK91" s="144"/>
      <c r="GL91" s="144"/>
      <c r="GM91" s="144"/>
      <c r="GN91" s="144"/>
      <c r="GO91" s="144"/>
      <c r="GP91" s="144"/>
      <c r="GQ91" s="144"/>
      <c r="GR91" s="144"/>
      <c r="GS91" s="144"/>
      <c r="GT91" s="144"/>
      <c r="GU91" s="144"/>
      <c r="GV91" s="144"/>
      <c r="GW91" s="144"/>
      <c r="GX91" s="144"/>
      <c r="GY91" s="144"/>
      <c r="GZ91" s="144"/>
      <c r="HA91" s="144"/>
      <c r="HB91" s="144"/>
      <c r="HC91" s="144"/>
      <c r="HD91" s="144"/>
      <c r="HE91" s="144"/>
      <c r="HF91" s="144"/>
      <c r="HG91" s="144"/>
      <c r="HH91" s="144"/>
      <c r="HI91" s="144"/>
      <c r="HJ91" s="144"/>
      <c r="HK91" s="144"/>
      <c r="HL91" s="144"/>
      <c r="HM91" s="144"/>
      <c r="HN91" s="144"/>
      <c r="HO91" s="144"/>
      <c r="HP91" s="144"/>
      <c r="HQ91" s="144"/>
      <c r="HR91" s="144"/>
      <c r="HS91" s="144"/>
      <c r="HT91" s="144"/>
      <c r="HU91" s="144"/>
      <c r="HV91" s="144"/>
      <c r="HW91" s="144"/>
      <c r="HX91" s="144"/>
      <c r="HY91" s="144"/>
      <c r="HZ91" s="144"/>
      <c r="IA91" s="144"/>
      <c r="IB91" s="144"/>
      <c r="IC91" s="144"/>
      <c r="ID91" s="144"/>
      <c r="IE91" s="144"/>
      <c r="IF91" s="144"/>
      <c r="IG91" s="144"/>
    </row>
    <row r="92" spans="1:241" ht="14.15" customHeight="1">
      <c r="A92" s="144"/>
      <c r="B92" s="143"/>
      <c r="C92" s="143"/>
      <c r="D92" s="143"/>
      <c r="E92" s="143"/>
      <c r="F92" s="143"/>
      <c r="G92" s="143"/>
      <c r="H92" s="143"/>
      <c r="I92" s="143"/>
      <c r="J92" s="143"/>
      <c r="K92" s="143"/>
      <c r="M92" s="1120"/>
      <c r="N92" s="1120"/>
      <c r="V92" s="582"/>
      <c r="W92" s="1576"/>
      <c r="X92" s="1576"/>
      <c r="Y92" s="1576"/>
      <c r="Z92" s="582"/>
      <c r="AA92" s="1575"/>
      <c r="AB92" s="1575"/>
      <c r="AC92" s="1575"/>
      <c r="AD92" s="582"/>
      <c r="AE92" s="582"/>
      <c r="AF92" s="582"/>
      <c r="AG92" s="582"/>
      <c r="AH92" s="582"/>
      <c r="AI92" s="582"/>
      <c r="AJ92" s="582"/>
      <c r="AK92" s="582"/>
      <c r="AL92" s="582"/>
      <c r="AM92" s="582"/>
      <c r="AN92" s="582"/>
      <c r="AO92" s="582"/>
      <c r="AP92" s="582"/>
      <c r="AQ92" s="144"/>
      <c r="AR92" s="144"/>
      <c r="AS92" s="144"/>
      <c r="AT92" s="144"/>
      <c r="AU92" s="144"/>
      <c r="AV92" s="144"/>
      <c r="AW92" s="144"/>
      <c r="AX92" s="144"/>
      <c r="AY92" s="144"/>
      <c r="AZ92" s="144"/>
      <c r="BA92" s="144"/>
      <c r="BB92" s="144"/>
      <c r="BC92" s="144"/>
      <c r="BD92" s="144"/>
      <c r="BE92" s="144"/>
      <c r="BF92" s="144"/>
      <c r="BG92" s="144"/>
      <c r="BH92" s="144"/>
      <c r="BI92" s="144"/>
      <c r="BJ92" s="144"/>
      <c r="BK92" s="144"/>
      <c r="BL92" s="144"/>
      <c r="BM92" s="144"/>
      <c r="BN92" s="144"/>
      <c r="BO92" s="144"/>
      <c r="BP92" s="144"/>
      <c r="BQ92" s="144"/>
      <c r="BR92" s="144"/>
      <c r="BS92" s="144"/>
      <c r="BT92" s="144"/>
      <c r="BU92" s="144"/>
      <c r="BV92" s="144"/>
      <c r="BW92" s="144"/>
      <c r="BX92" s="144"/>
      <c r="BY92" s="144"/>
      <c r="BZ92" s="144"/>
      <c r="CA92" s="144"/>
      <c r="CB92" s="144"/>
      <c r="CC92" s="144"/>
      <c r="CD92" s="144"/>
      <c r="CE92" s="144"/>
      <c r="CF92" s="144"/>
      <c r="CG92" s="144"/>
      <c r="CH92" s="144"/>
      <c r="CI92" s="144"/>
      <c r="CJ92" s="144"/>
      <c r="CK92" s="144"/>
      <c r="CL92" s="144"/>
      <c r="CM92" s="144"/>
      <c r="CN92" s="144"/>
      <c r="CO92" s="144"/>
      <c r="CP92" s="144"/>
      <c r="CQ92" s="144"/>
      <c r="CR92" s="144"/>
      <c r="CS92" s="144"/>
      <c r="CT92" s="144"/>
      <c r="CU92" s="144"/>
      <c r="CV92" s="144"/>
      <c r="CW92" s="144"/>
      <c r="CX92" s="144"/>
      <c r="CY92" s="144"/>
      <c r="CZ92" s="144"/>
      <c r="DA92" s="144"/>
      <c r="DB92" s="144"/>
      <c r="DC92" s="144"/>
      <c r="DD92" s="144"/>
      <c r="DE92" s="144"/>
      <c r="DF92" s="144"/>
      <c r="DG92" s="144"/>
      <c r="DH92" s="144"/>
      <c r="DI92" s="144"/>
      <c r="DJ92" s="144"/>
      <c r="DK92" s="144"/>
      <c r="DL92" s="144"/>
      <c r="DM92" s="144"/>
      <c r="DN92" s="144"/>
      <c r="DO92" s="144"/>
      <c r="DP92" s="144"/>
      <c r="DQ92" s="144"/>
      <c r="DR92" s="144"/>
      <c r="DS92" s="144"/>
      <c r="DT92" s="144"/>
      <c r="DU92" s="144"/>
      <c r="DV92" s="144"/>
      <c r="DW92" s="144"/>
      <c r="DX92" s="144"/>
      <c r="DY92" s="144"/>
      <c r="DZ92" s="144"/>
      <c r="EA92" s="144"/>
      <c r="EB92" s="144"/>
      <c r="EC92" s="144"/>
      <c r="ED92" s="144"/>
      <c r="EE92" s="144"/>
      <c r="EF92" s="144"/>
      <c r="EG92" s="144"/>
      <c r="EH92" s="144"/>
      <c r="EI92" s="144"/>
      <c r="EJ92" s="144"/>
      <c r="EK92" s="144"/>
      <c r="EL92" s="144"/>
      <c r="EM92" s="144"/>
      <c r="EN92" s="144"/>
      <c r="EO92" s="144"/>
      <c r="EP92" s="144"/>
      <c r="EQ92" s="144"/>
      <c r="ER92" s="144"/>
      <c r="ES92" s="144"/>
      <c r="ET92" s="144"/>
      <c r="EU92" s="144"/>
      <c r="EV92" s="144"/>
      <c r="EW92" s="144"/>
      <c r="EX92" s="144"/>
      <c r="EY92" s="144"/>
      <c r="EZ92" s="144"/>
      <c r="FA92" s="144"/>
      <c r="FB92" s="144"/>
      <c r="FC92" s="144"/>
      <c r="FD92" s="144"/>
      <c r="FE92" s="144"/>
      <c r="FF92" s="144"/>
      <c r="FG92" s="144"/>
      <c r="FH92" s="144"/>
      <c r="FI92" s="144"/>
      <c r="FJ92" s="144"/>
      <c r="FK92" s="144"/>
      <c r="FL92" s="144"/>
      <c r="FM92" s="144"/>
      <c r="FN92" s="144"/>
      <c r="FO92" s="144"/>
      <c r="FP92" s="144"/>
      <c r="FQ92" s="144"/>
      <c r="FR92" s="144"/>
      <c r="FS92" s="144"/>
      <c r="FT92" s="144"/>
      <c r="FU92" s="144"/>
      <c r="FV92" s="144"/>
      <c r="FW92" s="144"/>
      <c r="FX92" s="144"/>
      <c r="FY92" s="144"/>
      <c r="FZ92" s="144"/>
      <c r="GA92" s="144"/>
      <c r="GB92" s="144"/>
      <c r="GC92" s="144"/>
      <c r="GD92" s="144"/>
      <c r="GE92" s="144"/>
      <c r="GF92" s="144"/>
      <c r="GG92" s="144"/>
      <c r="GH92" s="144"/>
      <c r="GI92" s="144"/>
      <c r="GJ92" s="144"/>
      <c r="GK92" s="144"/>
      <c r="GL92" s="144"/>
      <c r="GM92" s="144"/>
      <c r="GN92" s="144"/>
      <c r="GO92" s="144"/>
      <c r="GP92" s="144"/>
      <c r="GQ92" s="144"/>
      <c r="GR92" s="144"/>
      <c r="GS92" s="144"/>
      <c r="GT92" s="144"/>
      <c r="GU92" s="144"/>
      <c r="GV92" s="144"/>
      <c r="GW92" s="144"/>
      <c r="GX92" s="144"/>
      <c r="GY92" s="144"/>
      <c r="GZ92" s="144"/>
      <c r="HA92" s="144"/>
      <c r="HB92" s="144"/>
      <c r="HC92" s="144"/>
      <c r="HD92" s="144"/>
      <c r="HE92" s="144"/>
      <c r="HF92" s="144"/>
      <c r="HG92" s="144"/>
      <c r="HH92" s="144"/>
      <c r="HI92" s="144"/>
      <c r="HJ92" s="144"/>
      <c r="HK92" s="144"/>
      <c r="HL92" s="144"/>
      <c r="HM92" s="144"/>
      <c r="HN92" s="144"/>
      <c r="HO92" s="144"/>
      <c r="HP92" s="144"/>
      <c r="HQ92" s="144"/>
      <c r="HR92" s="144"/>
      <c r="HS92" s="144"/>
      <c r="HT92" s="144"/>
      <c r="HU92" s="144"/>
      <c r="HV92" s="144"/>
      <c r="HW92" s="144"/>
      <c r="HX92" s="144"/>
      <c r="HY92" s="144"/>
      <c r="HZ92" s="144"/>
      <c r="IA92" s="144"/>
      <c r="IB92" s="144"/>
      <c r="IC92" s="144"/>
      <c r="ID92" s="144"/>
      <c r="IE92" s="144"/>
      <c r="IF92" s="144"/>
      <c r="IG92" s="144"/>
    </row>
    <row r="93" spans="1:241" ht="14.15" customHeight="1">
      <c r="A93" s="144"/>
      <c r="B93" s="143"/>
      <c r="C93" s="143"/>
      <c r="D93" s="143"/>
      <c r="E93" s="143"/>
      <c r="F93" s="143"/>
      <c r="G93" s="143"/>
      <c r="H93" s="143"/>
      <c r="I93" s="143"/>
      <c r="J93" s="143"/>
      <c r="K93" s="143"/>
      <c r="M93" s="1120"/>
      <c r="N93" s="1120"/>
      <c r="V93" s="582"/>
      <c r="W93" s="1576"/>
      <c r="X93" s="1576"/>
      <c r="Y93" s="1576"/>
      <c r="Z93" s="582"/>
      <c r="AA93" s="1575"/>
      <c r="AB93" s="1575"/>
      <c r="AC93" s="1575"/>
      <c r="AD93" s="582"/>
      <c r="AE93" s="582"/>
      <c r="AF93" s="582"/>
      <c r="AG93" s="582"/>
      <c r="AH93" s="582"/>
      <c r="AI93" s="582"/>
      <c r="AJ93" s="582"/>
      <c r="AK93" s="582"/>
      <c r="AL93" s="582"/>
      <c r="AM93" s="582"/>
      <c r="AN93" s="582"/>
      <c r="AO93" s="582"/>
      <c r="AP93" s="582"/>
      <c r="AQ93" s="144"/>
      <c r="AR93" s="144"/>
      <c r="AS93" s="144"/>
      <c r="AT93" s="144"/>
      <c r="AU93" s="144"/>
      <c r="AV93" s="144"/>
      <c r="AW93" s="144"/>
      <c r="AX93" s="144"/>
      <c r="AY93" s="144"/>
      <c r="AZ93" s="144"/>
      <c r="BA93" s="144"/>
      <c r="BB93" s="144"/>
      <c r="BC93" s="144"/>
      <c r="BD93" s="144"/>
      <c r="BE93" s="144"/>
      <c r="BF93" s="144"/>
      <c r="BG93" s="144"/>
      <c r="BH93" s="144"/>
      <c r="BI93" s="144"/>
      <c r="BJ93" s="144"/>
      <c r="BK93" s="144"/>
      <c r="BL93" s="144"/>
      <c r="BM93" s="144"/>
      <c r="BN93" s="144"/>
      <c r="BO93" s="144"/>
      <c r="BP93" s="144"/>
      <c r="BQ93" s="144"/>
      <c r="BR93" s="144"/>
      <c r="BS93" s="144"/>
      <c r="BT93" s="144"/>
      <c r="BU93" s="144"/>
      <c r="BV93" s="144"/>
      <c r="BW93" s="144"/>
      <c r="BX93" s="144"/>
      <c r="BY93" s="144"/>
      <c r="BZ93" s="144"/>
      <c r="CA93" s="144"/>
      <c r="CB93" s="144"/>
      <c r="CC93" s="144"/>
      <c r="CD93" s="144"/>
      <c r="CE93" s="144"/>
      <c r="CF93" s="144"/>
      <c r="CG93" s="144"/>
      <c r="CH93" s="144"/>
      <c r="CI93" s="144"/>
      <c r="CJ93" s="144"/>
      <c r="CK93" s="144"/>
      <c r="CL93" s="144"/>
      <c r="CM93" s="144"/>
      <c r="CN93" s="144"/>
      <c r="CO93" s="144"/>
      <c r="CP93" s="144"/>
      <c r="CQ93" s="144"/>
      <c r="CR93" s="144"/>
      <c r="CS93" s="144"/>
      <c r="CT93" s="144"/>
      <c r="CU93" s="144"/>
      <c r="CV93" s="144"/>
      <c r="CW93" s="144"/>
      <c r="CX93" s="144"/>
      <c r="CY93" s="144"/>
      <c r="CZ93" s="144"/>
      <c r="DA93" s="144"/>
      <c r="DB93" s="144"/>
      <c r="DC93" s="144"/>
      <c r="DD93" s="144"/>
      <c r="DE93" s="144"/>
      <c r="DF93" s="144"/>
      <c r="DG93" s="144"/>
      <c r="DH93" s="144"/>
      <c r="DI93" s="144"/>
      <c r="DJ93" s="144"/>
      <c r="DK93" s="144"/>
      <c r="DL93" s="144"/>
      <c r="DM93" s="144"/>
      <c r="DN93" s="144"/>
      <c r="DO93" s="144"/>
      <c r="DP93" s="144"/>
      <c r="DQ93" s="144"/>
      <c r="DR93" s="144"/>
      <c r="DS93" s="144"/>
      <c r="DT93" s="144"/>
      <c r="DU93" s="144"/>
      <c r="DV93" s="144"/>
      <c r="DW93" s="144"/>
      <c r="DX93" s="144"/>
      <c r="DY93" s="144"/>
      <c r="DZ93" s="144"/>
      <c r="EA93" s="144"/>
      <c r="EB93" s="144"/>
      <c r="EC93" s="144"/>
      <c r="ED93" s="144"/>
      <c r="EE93" s="144"/>
      <c r="EF93" s="144"/>
      <c r="EG93" s="144"/>
      <c r="EH93" s="144"/>
      <c r="EI93" s="144"/>
      <c r="EJ93" s="144"/>
      <c r="EK93" s="144"/>
      <c r="EL93" s="144"/>
      <c r="EM93" s="144"/>
      <c r="EN93" s="144"/>
      <c r="EO93" s="144"/>
      <c r="EP93" s="144"/>
      <c r="EQ93" s="144"/>
      <c r="ER93" s="144"/>
      <c r="ES93" s="144"/>
      <c r="ET93" s="144"/>
      <c r="EU93" s="144"/>
      <c r="EV93" s="144"/>
      <c r="EW93" s="144"/>
      <c r="EX93" s="144"/>
      <c r="EY93" s="144"/>
      <c r="EZ93" s="144"/>
      <c r="FA93" s="144"/>
      <c r="FB93" s="144"/>
      <c r="FC93" s="144"/>
      <c r="FD93" s="144"/>
      <c r="FE93" s="144"/>
      <c r="FF93" s="144"/>
      <c r="FG93" s="144"/>
      <c r="FH93" s="144"/>
      <c r="FI93" s="144"/>
      <c r="FJ93" s="144"/>
      <c r="FK93" s="144"/>
      <c r="FL93" s="144"/>
      <c r="FM93" s="144"/>
      <c r="FN93" s="144"/>
      <c r="FO93" s="144"/>
      <c r="FP93" s="144"/>
      <c r="FQ93" s="144"/>
      <c r="FR93" s="144"/>
      <c r="FS93" s="144"/>
      <c r="FT93" s="144"/>
      <c r="FU93" s="144"/>
      <c r="FV93" s="144"/>
      <c r="FW93" s="144"/>
      <c r="FX93" s="144"/>
      <c r="FY93" s="144"/>
      <c r="FZ93" s="144"/>
      <c r="GA93" s="144"/>
      <c r="GB93" s="144"/>
      <c r="GC93" s="144"/>
      <c r="GD93" s="144"/>
      <c r="GE93" s="144"/>
      <c r="GF93" s="144"/>
      <c r="GG93" s="144"/>
      <c r="GH93" s="144"/>
      <c r="GI93" s="144"/>
      <c r="GJ93" s="144"/>
      <c r="GK93" s="144"/>
      <c r="GL93" s="144"/>
      <c r="GM93" s="144"/>
      <c r="GN93" s="144"/>
      <c r="GO93" s="144"/>
      <c r="GP93" s="144"/>
      <c r="GQ93" s="144"/>
      <c r="GR93" s="144"/>
      <c r="GS93" s="144"/>
      <c r="GT93" s="144"/>
      <c r="GU93" s="144"/>
      <c r="GV93" s="144"/>
      <c r="GW93" s="144"/>
      <c r="GX93" s="144"/>
      <c r="GY93" s="144"/>
      <c r="GZ93" s="144"/>
      <c r="HA93" s="144"/>
      <c r="HB93" s="144"/>
      <c r="HC93" s="144"/>
      <c r="HD93" s="144"/>
      <c r="HE93" s="144"/>
      <c r="HF93" s="144"/>
      <c r="HG93" s="144"/>
      <c r="HH93" s="144"/>
      <c r="HI93" s="144"/>
      <c r="HJ93" s="144"/>
      <c r="HK93" s="144"/>
      <c r="HL93" s="144"/>
      <c r="HM93" s="144"/>
      <c r="HN93" s="144"/>
      <c r="HO93" s="144"/>
      <c r="HP93" s="144"/>
      <c r="HQ93" s="144"/>
      <c r="HR93" s="144"/>
      <c r="HS93" s="144"/>
      <c r="HT93" s="144"/>
      <c r="HU93" s="144"/>
      <c r="HV93" s="144"/>
      <c r="HW93" s="144"/>
      <c r="HX93" s="144"/>
      <c r="HY93" s="144"/>
      <c r="HZ93" s="144"/>
      <c r="IA93" s="144"/>
      <c r="IB93" s="144"/>
      <c r="IC93" s="144"/>
      <c r="ID93" s="144"/>
      <c r="IE93" s="144"/>
      <c r="IF93" s="144"/>
      <c r="IG93" s="144"/>
    </row>
    <row r="94" spans="1:241" ht="14.15" customHeight="1">
      <c r="A94" s="144"/>
      <c r="B94" s="143"/>
      <c r="C94" s="143"/>
      <c r="D94" s="143"/>
      <c r="E94" s="143"/>
      <c r="F94" s="143"/>
      <c r="G94" s="143"/>
      <c r="H94" s="143"/>
      <c r="I94" s="143"/>
      <c r="J94" s="143"/>
      <c r="K94" s="143"/>
      <c r="M94" s="1120"/>
      <c r="N94" s="1120"/>
      <c r="O94" s="582"/>
      <c r="P94" s="582"/>
      <c r="Q94" s="582"/>
      <c r="R94" s="582"/>
      <c r="T94" s="583"/>
      <c r="U94" s="582"/>
      <c r="V94" s="582"/>
      <c r="W94" s="1576"/>
      <c r="X94" s="1576"/>
      <c r="Y94" s="1576"/>
      <c r="Z94" s="582"/>
      <c r="AA94" s="582"/>
      <c r="AB94" s="582"/>
      <c r="AC94" s="582"/>
      <c r="AD94" s="582"/>
      <c r="AE94" s="582"/>
      <c r="AF94" s="582"/>
      <c r="AG94" s="582"/>
      <c r="AH94" s="582"/>
      <c r="AI94" s="582"/>
      <c r="AJ94" s="582"/>
      <c r="AK94" s="582"/>
      <c r="AL94" s="582"/>
      <c r="AM94" s="582"/>
      <c r="AN94" s="582"/>
      <c r="AO94" s="582"/>
      <c r="AP94" s="582"/>
      <c r="AQ94" s="144"/>
      <c r="AR94" s="144"/>
      <c r="AS94" s="144"/>
      <c r="AT94" s="144"/>
      <c r="AU94" s="144"/>
      <c r="AV94" s="144"/>
      <c r="AW94" s="144"/>
      <c r="AX94" s="144"/>
      <c r="AY94" s="144"/>
      <c r="AZ94" s="144"/>
      <c r="BA94" s="144"/>
      <c r="BB94" s="144"/>
      <c r="BC94" s="144"/>
      <c r="BD94" s="144"/>
      <c r="BE94" s="144"/>
      <c r="BF94" s="144"/>
      <c r="BG94" s="144"/>
      <c r="BH94" s="144"/>
      <c r="BI94" s="144"/>
      <c r="BJ94" s="144"/>
      <c r="BK94" s="144"/>
      <c r="BL94" s="144"/>
      <c r="BM94" s="144"/>
      <c r="BN94" s="144"/>
      <c r="BO94" s="144"/>
      <c r="BP94" s="144"/>
      <c r="BQ94" s="144"/>
      <c r="BR94" s="144"/>
      <c r="BS94" s="144"/>
      <c r="BT94" s="144"/>
      <c r="BU94" s="144"/>
      <c r="BV94" s="144"/>
      <c r="BW94" s="144"/>
      <c r="BX94" s="144"/>
      <c r="BY94" s="144"/>
      <c r="BZ94" s="144"/>
      <c r="CA94" s="144"/>
      <c r="CB94" s="144"/>
      <c r="CC94" s="144"/>
      <c r="CD94" s="144"/>
      <c r="CE94" s="144"/>
      <c r="CF94" s="144"/>
      <c r="CG94" s="144"/>
      <c r="CH94" s="144"/>
      <c r="CI94" s="144"/>
      <c r="CJ94" s="144"/>
      <c r="CK94" s="144"/>
      <c r="CL94" s="144"/>
      <c r="CM94" s="144"/>
      <c r="CN94" s="144"/>
      <c r="CO94" s="144"/>
      <c r="CP94" s="144"/>
      <c r="CQ94" s="144"/>
      <c r="CR94" s="144"/>
      <c r="CS94" s="144"/>
      <c r="CT94" s="144"/>
      <c r="CU94" s="144"/>
      <c r="CV94" s="144"/>
      <c r="CW94" s="144"/>
      <c r="CX94" s="144"/>
      <c r="CY94" s="144"/>
      <c r="CZ94" s="144"/>
      <c r="DA94" s="144"/>
      <c r="DB94" s="144"/>
      <c r="DC94" s="144"/>
      <c r="DD94" s="144"/>
      <c r="DE94" s="144"/>
      <c r="DF94" s="144"/>
      <c r="DG94" s="144"/>
      <c r="DH94" s="144"/>
      <c r="DI94" s="144"/>
      <c r="DJ94" s="144"/>
      <c r="DK94" s="144"/>
      <c r="DL94" s="144"/>
      <c r="DM94" s="144"/>
      <c r="DN94" s="144"/>
      <c r="DO94" s="144"/>
      <c r="DP94" s="144"/>
      <c r="DQ94" s="144"/>
      <c r="DR94" s="144"/>
      <c r="DS94" s="144"/>
      <c r="DT94" s="144"/>
      <c r="DU94" s="144"/>
      <c r="DV94" s="144"/>
      <c r="DW94" s="144"/>
      <c r="DX94" s="144"/>
      <c r="DY94" s="144"/>
      <c r="DZ94" s="144"/>
      <c r="EA94" s="144"/>
      <c r="EB94" s="144"/>
      <c r="EC94" s="144"/>
      <c r="ED94" s="144"/>
      <c r="EE94" s="144"/>
      <c r="EF94" s="144"/>
      <c r="EG94" s="144"/>
      <c r="EH94" s="144"/>
      <c r="EI94" s="144"/>
      <c r="EJ94" s="144"/>
      <c r="EK94" s="144"/>
      <c r="EL94" s="144"/>
      <c r="EM94" s="144"/>
      <c r="EN94" s="144"/>
      <c r="EO94" s="144"/>
      <c r="EP94" s="144"/>
      <c r="EQ94" s="144"/>
      <c r="ER94" s="144"/>
      <c r="ES94" s="144"/>
      <c r="ET94" s="144"/>
      <c r="EU94" s="144"/>
      <c r="EV94" s="144"/>
      <c r="EW94" s="144"/>
      <c r="EX94" s="144"/>
      <c r="EY94" s="144"/>
      <c r="EZ94" s="144"/>
      <c r="FA94" s="144"/>
      <c r="FB94" s="144"/>
      <c r="FC94" s="144"/>
      <c r="FD94" s="144"/>
      <c r="FE94" s="144"/>
      <c r="FF94" s="144"/>
      <c r="FG94" s="144"/>
      <c r="FH94" s="144"/>
      <c r="FI94" s="144"/>
      <c r="FJ94" s="144"/>
      <c r="FK94" s="144"/>
      <c r="FL94" s="144"/>
      <c r="FM94" s="144"/>
      <c r="FN94" s="144"/>
      <c r="FO94" s="144"/>
      <c r="FP94" s="144"/>
      <c r="FQ94" s="144"/>
      <c r="FR94" s="144"/>
      <c r="FS94" s="144"/>
      <c r="FT94" s="144"/>
      <c r="FU94" s="144"/>
      <c r="FV94" s="144"/>
      <c r="FW94" s="144"/>
      <c r="FX94" s="144"/>
      <c r="FY94" s="144"/>
      <c r="FZ94" s="144"/>
      <c r="GA94" s="144"/>
      <c r="GB94" s="144"/>
      <c r="GC94" s="144"/>
      <c r="GD94" s="144"/>
      <c r="GE94" s="144"/>
      <c r="GF94" s="144"/>
      <c r="GG94" s="144"/>
      <c r="GH94" s="144"/>
      <c r="GI94" s="144"/>
      <c r="GJ94" s="144"/>
      <c r="GK94" s="144"/>
      <c r="GL94" s="144"/>
      <c r="GM94" s="144"/>
      <c r="GN94" s="144"/>
      <c r="GO94" s="144"/>
      <c r="GP94" s="144"/>
      <c r="GQ94" s="144"/>
      <c r="GR94" s="144"/>
      <c r="GS94" s="144"/>
      <c r="GT94" s="144"/>
      <c r="GU94" s="144"/>
      <c r="GV94" s="144"/>
      <c r="GW94" s="144"/>
      <c r="GX94" s="144"/>
      <c r="GY94" s="144"/>
      <c r="GZ94" s="144"/>
      <c r="HA94" s="144"/>
      <c r="HB94" s="144"/>
      <c r="HC94" s="144"/>
      <c r="HD94" s="144"/>
      <c r="HE94" s="144"/>
      <c r="HF94" s="144"/>
      <c r="HG94" s="144"/>
      <c r="HH94" s="144"/>
      <c r="HI94" s="144"/>
      <c r="HJ94" s="144"/>
      <c r="HK94" s="144"/>
      <c r="HL94" s="144"/>
      <c r="HM94" s="144"/>
      <c r="HN94" s="144"/>
      <c r="HO94" s="144"/>
      <c r="HP94" s="144"/>
      <c r="HQ94" s="144"/>
      <c r="HR94" s="144"/>
      <c r="HS94" s="144"/>
      <c r="HT94" s="144"/>
      <c r="HU94" s="144"/>
      <c r="HV94" s="144"/>
      <c r="HW94" s="144"/>
      <c r="HX94" s="144"/>
      <c r="HY94" s="144"/>
      <c r="HZ94" s="144"/>
      <c r="IA94" s="144"/>
      <c r="IB94" s="144"/>
      <c r="IC94" s="144"/>
      <c r="ID94" s="144"/>
      <c r="IE94" s="144"/>
      <c r="IF94" s="144"/>
      <c r="IG94" s="144"/>
    </row>
    <row r="95" spans="1:241" ht="14.15" customHeight="1">
      <c r="A95" s="144"/>
      <c r="B95" s="143"/>
      <c r="C95" s="143"/>
      <c r="D95" s="143"/>
      <c r="E95" s="143"/>
      <c r="F95" s="143"/>
      <c r="G95" s="143"/>
      <c r="H95" s="143"/>
      <c r="I95" s="143"/>
      <c r="J95" s="143"/>
      <c r="K95" s="143"/>
      <c r="M95" s="1120"/>
      <c r="N95" s="1120"/>
      <c r="O95" s="582"/>
      <c r="P95" s="582"/>
      <c r="Q95" s="582"/>
      <c r="R95" s="582"/>
      <c r="T95" s="583"/>
      <c r="U95" s="582"/>
      <c r="V95" s="582"/>
      <c r="W95" s="582"/>
      <c r="X95" s="582"/>
      <c r="Y95" s="582"/>
      <c r="Z95" s="582"/>
      <c r="AA95" s="582"/>
      <c r="AB95" s="582"/>
      <c r="AC95" s="582"/>
      <c r="AD95" s="582"/>
      <c r="AE95" s="582"/>
      <c r="AF95" s="582"/>
      <c r="AG95" s="582"/>
      <c r="AH95" s="582"/>
      <c r="AI95" s="582"/>
      <c r="AJ95" s="582"/>
      <c r="AK95" s="582"/>
      <c r="AL95" s="582"/>
      <c r="AM95" s="582"/>
      <c r="AN95" s="582"/>
      <c r="AO95" s="582"/>
      <c r="AP95" s="582"/>
      <c r="AQ95" s="144"/>
      <c r="AR95" s="144"/>
      <c r="AS95" s="144"/>
      <c r="AT95" s="144"/>
      <c r="AU95" s="144"/>
      <c r="AV95" s="144"/>
      <c r="AW95" s="144"/>
      <c r="AX95" s="144"/>
      <c r="AY95" s="144"/>
      <c r="AZ95" s="144"/>
      <c r="BA95" s="144"/>
      <c r="BB95" s="144"/>
      <c r="BC95" s="144"/>
      <c r="BD95" s="144"/>
      <c r="BE95" s="144"/>
      <c r="BF95" s="144"/>
      <c r="BG95" s="144"/>
      <c r="BH95" s="144"/>
      <c r="BI95" s="144"/>
      <c r="BJ95" s="144"/>
      <c r="BK95" s="144"/>
      <c r="BL95" s="144"/>
      <c r="BM95" s="144"/>
      <c r="BN95" s="144"/>
      <c r="BO95" s="144"/>
      <c r="BP95" s="144"/>
      <c r="BQ95" s="144"/>
      <c r="BR95" s="144"/>
      <c r="BS95" s="144"/>
      <c r="BT95" s="144"/>
      <c r="BU95" s="144"/>
      <c r="BV95" s="144"/>
      <c r="BW95" s="144"/>
      <c r="BX95" s="144"/>
      <c r="BY95" s="144"/>
      <c r="BZ95" s="144"/>
      <c r="CA95" s="144"/>
      <c r="CB95" s="144"/>
      <c r="CC95" s="144"/>
      <c r="CD95" s="144"/>
      <c r="CE95" s="144"/>
      <c r="CF95" s="144"/>
      <c r="CG95" s="144"/>
      <c r="CH95" s="144"/>
      <c r="CI95" s="144"/>
      <c r="CJ95" s="144"/>
      <c r="CK95" s="144"/>
      <c r="CL95" s="144"/>
      <c r="CM95" s="144"/>
      <c r="CN95" s="144"/>
      <c r="CO95" s="144"/>
      <c r="CP95" s="144"/>
      <c r="CQ95" s="144"/>
      <c r="CR95" s="144"/>
      <c r="CS95" s="144"/>
      <c r="CT95" s="144"/>
      <c r="CU95" s="144"/>
      <c r="CV95" s="144"/>
      <c r="CW95" s="144"/>
      <c r="CX95" s="144"/>
      <c r="CY95" s="144"/>
      <c r="CZ95" s="144"/>
      <c r="DA95" s="144"/>
      <c r="DB95" s="144"/>
      <c r="DC95" s="144"/>
      <c r="DD95" s="144"/>
      <c r="DE95" s="144"/>
      <c r="DF95" s="144"/>
      <c r="DG95" s="144"/>
      <c r="DH95" s="144"/>
      <c r="DI95" s="144"/>
      <c r="DJ95" s="144"/>
      <c r="DK95" s="144"/>
      <c r="DL95" s="144"/>
      <c r="DM95" s="144"/>
      <c r="DN95" s="144"/>
      <c r="DO95" s="144"/>
      <c r="DP95" s="144"/>
      <c r="DQ95" s="144"/>
      <c r="DR95" s="144"/>
      <c r="DS95" s="144"/>
      <c r="DT95" s="144"/>
      <c r="DU95" s="144"/>
      <c r="DV95" s="144"/>
      <c r="DW95" s="144"/>
      <c r="DX95" s="144"/>
      <c r="DY95" s="144"/>
      <c r="DZ95" s="144"/>
      <c r="EA95" s="144"/>
      <c r="EB95" s="144"/>
      <c r="EC95" s="144"/>
      <c r="ED95" s="144"/>
      <c r="EE95" s="144"/>
      <c r="EF95" s="144"/>
      <c r="EG95" s="144"/>
      <c r="EH95" s="144"/>
      <c r="EI95" s="144"/>
      <c r="EJ95" s="144"/>
      <c r="EK95" s="144"/>
      <c r="EL95" s="144"/>
      <c r="EM95" s="144"/>
      <c r="EN95" s="144"/>
      <c r="EO95" s="144"/>
      <c r="EP95" s="144"/>
      <c r="EQ95" s="144"/>
      <c r="ER95" s="144"/>
      <c r="ES95" s="144"/>
      <c r="ET95" s="144"/>
      <c r="EU95" s="144"/>
      <c r="EV95" s="144"/>
      <c r="EW95" s="144"/>
      <c r="EX95" s="144"/>
      <c r="EY95" s="144"/>
      <c r="EZ95" s="144"/>
      <c r="FA95" s="144"/>
      <c r="FB95" s="144"/>
      <c r="FC95" s="144"/>
      <c r="FD95" s="144"/>
      <c r="FE95" s="144"/>
      <c r="FF95" s="144"/>
      <c r="FG95" s="144"/>
      <c r="FH95" s="144"/>
      <c r="FI95" s="144"/>
      <c r="FJ95" s="144"/>
      <c r="FK95" s="144"/>
      <c r="FL95" s="144"/>
      <c r="FM95" s="144"/>
      <c r="FN95" s="144"/>
      <c r="FO95" s="144"/>
      <c r="FP95" s="144"/>
      <c r="FQ95" s="144"/>
      <c r="FR95" s="144"/>
      <c r="FS95" s="144"/>
      <c r="FT95" s="144"/>
      <c r="FU95" s="144"/>
      <c r="FV95" s="144"/>
      <c r="FW95" s="144"/>
      <c r="FX95" s="144"/>
      <c r="FY95" s="144"/>
      <c r="FZ95" s="144"/>
      <c r="GA95" s="144"/>
      <c r="GB95" s="144"/>
      <c r="GC95" s="144"/>
      <c r="GD95" s="144"/>
      <c r="GE95" s="144"/>
      <c r="GF95" s="144"/>
      <c r="GG95" s="144"/>
      <c r="GH95" s="144"/>
      <c r="GI95" s="144"/>
      <c r="GJ95" s="144"/>
      <c r="GK95" s="144"/>
      <c r="GL95" s="144"/>
      <c r="GM95" s="144"/>
      <c r="GN95" s="144"/>
      <c r="GO95" s="144"/>
      <c r="GP95" s="144"/>
      <c r="GQ95" s="144"/>
      <c r="GR95" s="144"/>
      <c r="GS95" s="144"/>
      <c r="GT95" s="144"/>
      <c r="GU95" s="144"/>
      <c r="GV95" s="144"/>
      <c r="GW95" s="144"/>
      <c r="GX95" s="144"/>
      <c r="GY95" s="144"/>
      <c r="GZ95" s="144"/>
      <c r="HA95" s="144"/>
      <c r="HB95" s="144"/>
      <c r="HC95" s="144"/>
      <c r="HD95" s="144"/>
      <c r="HE95" s="144"/>
      <c r="HF95" s="144"/>
      <c r="HG95" s="144"/>
      <c r="HH95" s="144"/>
      <c r="HI95" s="144"/>
      <c r="HJ95" s="144"/>
      <c r="HK95" s="144"/>
      <c r="HL95" s="144"/>
      <c r="HM95" s="144"/>
      <c r="HN95" s="144"/>
      <c r="HO95" s="144"/>
      <c r="HP95" s="144"/>
      <c r="HQ95" s="144"/>
      <c r="HR95" s="144"/>
      <c r="HS95" s="144"/>
      <c r="HT95" s="144"/>
      <c r="HU95" s="144"/>
      <c r="HV95" s="144"/>
      <c r="HW95" s="144"/>
      <c r="HX95" s="144"/>
      <c r="HY95" s="144"/>
      <c r="HZ95" s="144"/>
      <c r="IA95" s="144"/>
      <c r="IB95" s="144"/>
      <c r="IC95" s="144"/>
      <c r="ID95" s="144"/>
      <c r="IE95" s="144"/>
      <c r="IF95" s="144"/>
      <c r="IG95" s="144"/>
    </row>
    <row r="96" spans="1:241" ht="14.15" customHeight="1">
      <c r="A96" s="144"/>
      <c r="B96" s="143"/>
      <c r="C96" s="143"/>
      <c r="D96" s="143"/>
      <c r="E96" s="143"/>
      <c r="F96" s="143"/>
      <c r="G96" s="143"/>
      <c r="H96" s="143"/>
      <c r="I96" s="143"/>
      <c r="J96" s="143"/>
      <c r="K96" s="143"/>
      <c r="M96" s="1120"/>
      <c r="N96" s="1120"/>
      <c r="O96" s="582"/>
      <c r="P96" s="582"/>
      <c r="Q96" s="582"/>
      <c r="R96" s="582"/>
      <c r="T96" s="583"/>
      <c r="U96" s="582"/>
      <c r="V96" s="582"/>
      <c r="W96" s="582"/>
      <c r="X96" s="582"/>
      <c r="Y96" s="582"/>
      <c r="Z96" s="582"/>
      <c r="AA96" s="582"/>
      <c r="AB96" s="582"/>
      <c r="AC96" s="582"/>
      <c r="AD96" s="582"/>
      <c r="AE96" s="582"/>
      <c r="AF96" s="582"/>
      <c r="AG96" s="582"/>
      <c r="AH96" s="582"/>
      <c r="AI96" s="582"/>
      <c r="AJ96" s="582"/>
      <c r="AK96" s="582"/>
      <c r="AL96" s="582"/>
      <c r="AM96" s="582"/>
      <c r="AN96" s="582"/>
      <c r="AO96" s="582"/>
      <c r="AP96" s="582"/>
      <c r="AQ96" s="144"/>
      <c r="AR96" s="144"/>
      <c r="AS96" s="144"/>
      <c r="AT96" s="144"/>
      <c r="AU96" s="144"/>
      <c r="AV96" s="144"/>
      <c r="AW96" s="144"/>
      <c r="AX96" s="144"/>
      <c r="AY96" s="144"/>
      <c r="AZ96" s="144"/>
      <c r="BA96" s="144"/>
      <c r="BB96" s="144"/>
      <c r="BC96" s="144"/>
      <c r="BD96" s="144"/>
      <c r="BE96" s="144"/>
      <c r="BF96" s="144"/>
      <c r="BG96" s="144"/>
      <c r="BH96" s="144"/>
      <c r="BI96" s="144"/>
      <c r="BJ96" s="144"/>
      <c r="BK96" s="144"/>
      <c r="BL96" s="144"/>
      <c r="BM96" s="144"/>
      <c r="BN96" s="144"/>
      <c r="BO96" s="144"/>
      <c r="BP96" s="144"/>
      <c r="BQ96" s="144"/>
      <c r="BR96" s="144"/>
      <c r="BS96" s="144"/>
      <c r="BT96" s="144"/>
      <c r="BU96" s="144"/>
      <c r="BV96" s="144"/>
      <c r="BW96" s="144"/>
      <c r="BX96" s="144"/>
      <c r="BY96" s="144"/>
      <c r="BZ96" s="144"/>
      <c r="CA96" s="144"/>
      <c r="CB96" s="144"/>
      <c r="CC96" s="144"/>
      <c r="CD96" s="144"/>
      <c r="CE96" s="144"/>
      <c r="CF96" s="144"/>
      <c r="CG96" s="144"/>
      <c r="CH96" s="144"/>
      <c r="CI96" s="144"/>
      <c r="CJ96" s="144"/>
      <c r="CK96" s="144"/>
      <c r="CL96" s="144"/>
      <c r="CM96" s="144"/>
      <c r="CN96" s="144"/>
      <c r="CO96" s="144"/>
      <c r="CP96" s="144"/>
      <c r="CQ96" s="144"/>
      <c r="CR96" s="144"/>
      <c r="CS96" s="144"/>
      <c r="CT96" s="144"/>
      <c r="CU96" s="144"/>
      <c r="CV96" s="144"/>
      <c r="CW96" s="144"/>
      <c r="CX96" s="144"/>
      <c r="CY96" s="144"/>
      <c r="CZ96" s="144"/>
      <c r="DA96" s="144"/>
      <c r="DB96" s="144"/>
      <c r="DC96" s="144"/>
      <c r="DD96" s="144"/>
      <c r="DE96" s="144"/>
      <c r="DF96" s="144"/>
      <c r="DG96" s="144"/>
      <c r="DH96" s="144"/>
      <c r="DI96" s="144"/>
      <c r="DJ96" s="144"/>
      <c r="DK96" s="144"/>
      <c r="DL96" s="144"/>
      <c r="DM96" s="144"/>
      <c r="DN96" s="144"/>
      <c r="DO96" s="144"/>
      <c r="DP96" s="144"/>
      <c r="DQ96" s="144"/>
      <c r="DR96" s="144"/>
      <c r="DS96" s="144"/>
      <c r="DT96" s="144"/>
      <c r="DU96" s="144"/>
      <c r="DV96" s="144"/>
      <c r="DW96" s="144"/>
      <c r="DX96" s="144"/>
      <c r="DY96" s="144"/>
      <c r="DZ96" s="144"/>
      <c r="EA96" s="144"/>
      <c r="EB96" s="144"/>
      <c r="EC96" s="144"/>
      <c r="ED96" s="144"/>
      <c r="EE96" s="144"/>
      <c r="EF96" s="144"/>
      <c r="EG96" s="144"/>
      <c r="EH96" s="144"/>
      <c r="EI96" s="144"/>
      <c r="EJ96" s="144"/>
      <c r="EK96" s="144"/>
      <c r="EL96" s="144"/>
      <c r="EM96" s="144"/>
      <c r="EN96" s="144"/>
      <c r="EO96" s="144"/>
      <c r="EP96" s="144"/>
      <c r="EQ96" s="144"/>
      <c r="ER96" s="144"/>
      <c r="ES96" s="144"/>
      <c r="ET96" s="144"/>
      <c r="EU96" s="144"/>
      <c r="EV96" s="144"/>
      <c r="EW96" s="144"/>
      <c r="EX96" s="144"/>
      <c r="EY96" s="144"/>
      <c r="EZ96" s="144"/>
      <c r="FA96" s="144"/>
      <c r="FB96" s="144"/>
      <c r="FC96" s="144"/>
      <c r="FD96" s="144"/>
      <c r="FE96" s="144"/>
      <c r="FF96" s="144"/>
      <c r="FG96" s="144"/>
      <c r="FH96" s="144"/>
      <c r="FI96" s="144"/>
      <c r="FJ96" s="144"/>
      <c r="FK96" s="144"/>
      <c r="FL96" s="144"/>
      <c r="FM96" s="144"/>
      <c r="FN96" s="144"/>
      <c r="FO96" s="144"/>
      <c r="FP96" s="144"/>
      <c r="FQ96" s="144"/>
      <c r="FR96" s="144"/>
      <c r="FS96" s="144"/>
      <c r="FT96" s="144"/>
      <c r="FU96" s="144"/>
      <c r="FV96" s="144"/>
      <c r="FW96" s="144"/>
      <c r="FX96" s="144"/>
      <c r="FY96" s="144"/>
      <c r="FZ96" s="144"/>
      <c r="GA96" s="144"/>
      <c r="GB96" s="144"/>
      <c r="GC96" s="144"/>
      <c r="GD96" s="144"/>
      <c r="GE96" s="144"/>
      <c r="GF96" s="144"/>
      <c r="GG96" s="144"/>
      <c r="GH96" s="144"/>
      <c r="GI96" s="144"/>
      <c r="GJ96" s="144"/>
      <c r="GK96" s="144"/>
      <c r="GL96" s="144"/>
      <c r="GM96" s="144"/>
      <c r="GN96" s="144"/>
      <c r="GO96" s="144"/>
      <c r="GP96" s="144"/>
      <c r="GQ96" s="144"/>
      <c r="GR96" s="144"/>
      <c r="GS96" s="144"/>
      <c r="GT96" s="144"/>
      <c r="GU96" s="144"/>
      <c r="GV96" s="144"/>
      <c r="GW96" s="144"/>
      <c r="GX96" s="144"/>
      <c r="GY96" s="144"/>
      <c r="GZ96" s="144"/>
      <c r="HA96" s="144"/>
      <c r="HB96" s="144"/>
      <c r="HC96" s="144"/>
      <c r="HD96" s="144"/>
      <c r="HE96" s="144"/>
      <c r="HF96" s="144"/>
      <c r="HG96" s="144"/>
      <c r="HH96" s="144"/>
      <c r="HI96" s="144"/>
      <c r="HJ96" s="144"/>
      <c r="HK96" s="144"/>
      <c r="HL96" s="144"/>
      <c r="HM96" s="144"/>
      <c r="HN96" s="144"/>
      <c r="HO96" s="144"/>
      <c r="HP96" s="144"/>
      <c r="HQ96" s="144"/>
      <c r="HR96" s="144"/>
      <c r="HS96" s="144"/>
      <c r="HT96" s="144"/>
      <c r="HU96" s="144"/>
      <c r="HV96" s="144"/>
      <c r="HW96" s="144"/>
      <c r="HX96" s="144"/>
      <c r="HY96" s="144"/>
      <c r="HZ96" s="144"/>
      <c r="IA96" s="144"/>
      <c r="IB96" s="144"/>
      <c r="IC96" s="144"/>
      <c r="ID96" s="144"/>
      <c r="IE96" s="144"/>
      <c r="IF96" s="144"/>
      <c r="IG96" s="144"/>
    </row>
    <row r="97" spans="1:241" ht="14.15" customHeight="1">
      <c r="A97" s="144"/>
      <c r="B97" s="143"/>
      <c r="C97" s="143"/>
      <c r="D97" s="143"/>
      <c r="E97" s="143"/>
      <c r="F97" s="143"/>
      <c r="G97" s="143"/>
      <c r="H97" s="143"/>
      <c r="I97" s="143"/>
      <c r="J97" s="143"/>
      <c r="K97" s="143"/>
      <c r="M97" s="1120"/>
      <c r="N97" s="1120"/>
      <c r="O97" s="582"/>
      <c r="P97" s="582"/>
      <c r="Q97" s="582"/>
      <c r="R97" s="582"/>
      <c r="T97" s="583"/>
      <c r="U97" s="582"/>
      <c r="V97" s="582"/>
      <c r="W97" s="582"/>
      <c r="X97" s="582"/>
      <c r="Y97" s="582"/>
      <c r="Z97" s="582"/>
      <c r="AA97" s="582"/>
      <c r="AB97" s="582"/>
      <c r="AC97" s="582"/>
      <c r="AD97" s="582"/>
      <c r="AE97" s="582"/>
      <c r="AF97" s="582"/>
      <c r="AG97" s="582"/>
      <c r="AH97" s="582"/>
      <c r="AI97" s="582"/>
      <c r="AJ97" s="582"/>
      <c r="AK97" s="582"/>
      <c r="AL97" s="582"/>
      <c r="AM97" s="582"/>
      <c r="AN97" s="582"/>
      <c r="AO97" s="582"/>
      <c r="AP97" s="582"/>
      <c r="AQ97" s="144"/>
      <c r="AR97" s="144"/>
      <c r="AS97" s="144"/>
      <c r="AT97" s="144"/>
      <c r="AU97" s="144"/>
      <c r="AV97" s="144"/>
      <c r="AW97" s="144"/>
      <c r="AX97" s="144"/>
      <c r="AY97" s="144"/>
      <c r="AZ97" s="144"/>
      <c r="BA97" s="144"/>
      <c r="BB97" s="144"/>
      <c r="BC97" s="144"/>
      <c r="BD97" s="144"/>
      <c r="BE97" s="144"/>
      <c r="BF97" s="144"/>
      <c r="BG97" s="144"/>
      <c r="BH97" s="144"/>
      <c r="BI97" s="144"/>
      <c r="BJ97" s="144"/>
      <c r="BK97" s="144"/>
      <c r="BL97" s="144"/>
      <c r="BM97" s="144"/>
      <c r="BN97" s="144"/>
      <c r="BO97" s="144"/>
      <c r="BP97" s="144"/>
      <c r="BQ97" s="144"/>
      <c r="BR97" s="144"/>
      <c r="BS97" s="144"/>
      <c r="BT97" s="144"/>
      <c r="BU97" s="144"/>
      <c r="BV97" s="144"/>
      <c r="BW97" s="144"/>
      <c r="BX97" s="144"/>
      <c r="BY97" s="144"/>
      <c r="BZ97" s="144"/>
      <c r="CA97" s="144"/>
      <c r="CB97" s="144"/>
      <c r="CC97" s="144"/>
      <c r="CD97" s="144"/>
      <c r="CE97" s="144"/>
      <c r="CF97" s="144"/>
      <c r="CG97" s="144"/>
      <c r="CH97" s="144"/>
      <c r="CI97" s="144"/>
      <c r="CJ97" s="144"/>
      <c r="CK97" s="144"/>
      <c r="CL97" s="144"/>
      <c r="CM97" s="144"/>
      <c r="CN97" s="144"/>
      <c r="CO97" s="144"/>
      <c r="CP97" s="144"/>
      <c r="CQ97" s="144"/>
      <c r="CR97" s="144"/>
      <c r="CS97" s="144"/>
      <c r="CT97" s="144"/>
      <c r="CU97" s="144"/>
      <c r="CV97" s="144"/>
      <c r="CW97" s="144"/>
      <c r="CX97" s="144"/>
      <c r="CY97" s="144"/>
      <c r="CZ97" s="144"/>
      <c r="DA97" s="144"/>
      <c r="DB97" s="144"/>
      <c r="DC97" s="144"/>
      <c r="DD97" s="144"/>
      <c r="DE97" s="144"/>
      <c r="DF97" s="144"/>
      <c r="DG97" s="144"/>
      <c r="DH97" s="144"/>
      <c r="DI97" s="144"/>
      <c r="DJ97" s="144"/>
      <c r="DK97" s="144"/>
      <c r="DL97" s="144"/>
      <c r="DM97" s="144"/>
      <c r="DN97" s="144"/>
      <c r="DO97" s="144"/>
      <c r="DP97" s="144"/>
      <c r="DQ97" s="144"/>
      <c r="DR97" s="144"/>
      <c r="DS97" s="144"/>
      <c r="DT97" s="144"/>
      <c r="DU97" s="144"/>
      <c r="DV97" s="144"/>
      <c r="DW97" s="144"/>
      <c r="DX97" s="144"/>
      <c r="DY97" s="144"/>
      <c r="DZ97" s="144"/>
      <c r="EA97" s="144"/>
      <c r="EB97" s="144"/>
      <c r="EC97" s="144"/>
      <c r="ED97" s="144"/>
      <c r="EE97" s="144"/>
      <c r="EF97" s="144"/>
      <c r="EG97" s="144"/>
      <c r="EH97" s="144"/>
      <c r="EI97" s="144"/>
      <c r="EJ97" s="144"/>
      <c r="EK97" s="144"/>
      <c r="EL97" s="144"/>
      <c r="EM97" s="144"/>
      <c r="EN97" s="144"/>
      <c r="EO97" s="144"/>
      <c r="EP97" s="144"/>
      <c r="EQ97" s="144"/>
      <c r="ER97" s="144"/>
      <c r="ES97" s="144"/>
      <c r="ET97" s="144"/>
      <c r="EU97" s="144"/>
      <c r="EV97" s="144"/>
      <c r="EW97" s="144"/>
      <c r="EX97" s="144"/>
      <c r="EY97" s="144"/>
      <c r="EZ97" s="144"/>
      <c r="FA97" s="144"/>
      <c r="FB97" s="144"/>
      <c r="FC97" s="144"/>
      <c r="FD97" s="144"/>
      <c r="FE97" s="144"/>
      <c r="FF97" s="144"/>
      <c r="FG97" s="144"/>
      <c r="FH97" s="144"/>
      <c r="FI97" s="144"/>
      <c r="FJ97" s="144"/>
      <c r="FK97" s="144"/>
      <c r="FL97" s="144"/>
      <c r="FM97" s="144"/>
      <c r="FN97" s="144"/>
      <c r="FO97" s="144"/>
      <c r="FP97" s="144"/>
      <c r="FQ97" s="144"/>
      <c r="FR97" s="144"/>
      <c r="FS97" s="144"/>
      <c r="FT97" s="144"/>
      <c r="FU97" s="144"/>
      <c r="FV97" s="144"/>
      <c r="FW97" s="144"/>
      <c r="FX97" s="144"/>
      <c r="FY97" s="144"/>
      <c r="FZ97" s="144"/>
      <c r="GA97" s="144"/>
      <c r="GB97" s="144"/>
      <c r="GC97" s="144"/>
      <c r="GD97" s="144"/>
      <c r="GE97" s="144"/>
      <c r="GF97" s="144"/>
      <c r="GG97" s="144"/>
      <c r="GH97" s="144"/>
      <c r="GI97" s="144"/>
      <c r="GJ97" s="144"/>
      <c r="GK97" s="144"/>
      <c r="GL97" s="144"/>
      <c r="GM97" s="144"/>
      <c r="GN97" s="144"/>
      <c r="GO97" s="144"/>
      <c r="GP97" s="144"/>
      <c r="GQ97" s="144"/>
      <c r="GR97" s="144"/>
      <c r="GS97" s="144"/>
      <c r="GT97" s="144"/>
      <c r="GU97" s="144"/>
      <c r="GV97" s="144"/>
      <c r="GW97" s="144"/>
      <c r="GX97" s="144"/>
      <c r="GY97" s="144"/>
      <c r="GZ97" s="144"/>
      <c r="HA97" s="144"/>
      <c r="HB97" s="144"/>
      <c r="HC97" s="144"/>
      <c r="HD97" s="144"/>
      <c r="HE97" s="144"/>
      <c r="HF97" s="144"/>
      <c r="HG97" s="144"/>
      <c r="HH97" s="144"/>
      <c r="HI97" s="144"/>
      <c r="HJ97" s="144"/>
      <c r="HK97" s="144"/>
      <c r="HL97" s="144"/>
      <c r="HM97" s="144"/>
      <c r="HN97" s="144"/>
      <c r="HO97" s="144"/>
      <c r="HP97" s="144"/>
      <c r="HQ97" s="144"/>
      <c r="HR97" s="144"/>
      <c r="HS97" s="144"/>
      <c r="HT97" s="144"/>
      <c r="HU97" s="144"/>
      <c r="HV97" s="144"/>
      <c r="HW97" s="144"/>
      <c r="HX97" s="144"/>
      <c r="HY97" s="144"/>
      <c r="HZ97" s="144"/>
      <c r="IA97" s="144"/>
      <c r="IB97" s="144"/>
      <c r="IC97" s="144"/>
      <c r="ID97" s="144"/>
      <c r="IE97" s="144"/>
      <c r="IF97" s="144"/>
      <c r="IG97" s="144"/>
    </row>
    <row r="98" spans="1:241" ht="14.15" customHeight="1">
      <c r="A98" s="144"/>
      <c r="B98" s="143"/>
      <c r="C98" s="143"/>
      <c r="D98" s="143"/>
      <c r="E98" s="143"/>
      <c r="F98" s="143"/>
      <c r="G98" s="143"/>
      <c r="H98" s="143"/>
      <c r="I98" s="143"/>
      <c r="J98" s="143"/>
      <c r="K98" s="143"/>
      <c r="M98" s="1120"/>
      <c r="N98" s="1120"/>
      <c r="O98" s="582"/>
      <c r="P98" s="582"/>
      <c r="Q98" s="582"/>
      <c r="R98" s="582"/>
      <c r="T98" s="583"/>
      <c r="U98" s="582"/>
      <c r="V98" s="582"/>
      <c r="W98" s="582"/>
      <c r="X98" s="582"/>
      <c r="Y98" s="582"/>
      <c r="Z98" s="582"/>
      <c r="AA98" s="582"/>
      <c r="AB98" s="582"/>
      <c r="AC98" s="582"/>
      <c r="AD98" s="582"/>
      <c r="AE98" s="582"/>
      <c r="AF98" s="582"/>
      <c r="AG98" s="582"/>
      <c r="AH98" s="582"/>
      <c r="AI98" s="582"/>
      <c r="AJ98" s="582"/>
      <c r="AK98" s="582"/>
      <c r="AL98" s="582"/>
      <c r="AM98" s="582"/>
      <c r="AN98" s="582"/>
      <c r="AO98" s="582"/>
      <c r="AP98" s="582"/>
      <c r="AQ98" s="144"/>
      <c r="AR98" s="144"/>
      <c r="AS98" s="144"/>
      <c r="AT98" s="144"/>
      <c r="AU98" s="144"/>
      <c r="AV98" s="144"/>
      <c r="AW98" s="144"/>
      <c r="AX98" s="144"/>
      <c r="AY98" s="144"/>
      <c r="AZ98" s="144"/>
      <c r="BA98" s="144"/>
      <c r="BB98" s="144"/>
      <c r="BC98" s="144"/>
      <c r="BD98" s="144"/>
      <c r="BE98" s="144"/>
      <c r="BF98" s="144"/>
      <c r="BG98" s="144"/>
      <c r="BH98" s="144"/>
      <c r="BI98" s="144"/>
      <c r="BJ98" s="144"/>
      <c r="BK98" s="144"/>
      <c r="BL98" s="144"/>
      <c r="BM98" s="144"/>
      <c r="BN98" s="144"/>
      <c r="BO98" s="144"/>
      <c r="BP98" s="144"/>
      <c r="BQ98" s="144"/>
      <c r="BR98" s="144"/>
      <c r="BS98" s="144"/>
      <c r="BT98" s="144"/>
      <c r="BU98" s="144"/>
      <c r="BV98" s="144"/>
      <c r="BW98" s="144"/>
      <c r="BX98" s="144"/>
      <c r="BY98" s="144"/>
      <c r="BZ98" s="144"/>
      <c r="CA98" s="144"/>
      <c r="CB98" s="144"/>
      <c r="CC98" s="144"/>
      <c r="CD98" s="144"/>
      <c r="CE98" s="144"/>
      <c r="CF98" s="144"/>
      <c r="CG98" s="144"/>
      <c r="CH98" s="144"/>
      <c r="CI98" s="144"/>
      <c r="CJ98" s="144"/>
      <c r="CK98" s="144"/>
      <c r="CL98" s="144"/>
      <c r="CM98" s="144"/>
      <c r="CN98" s="144"/>
      <c r="CO98" s="144"/>
      <c r="CP98" s="144"/>
      <c r="CQ98" s="144"/>
      <c r="CR98" s="144"/>
      <c r="CS98" s="144"/>
      <c r="CT98" s="144"/>
      <c r="CU98" s="144"/>
      <c r="CV98" s="144"/>
      <c r="CW98" s="144"/>
      <c r="CX98" s="144"/>
      <c r="CY98" s="144"/>
      <c r="CZ98" s="144"/>
      <c r="DA98" s="144"/>
      <c r="DB98" s="144"/>
      <c r="DC98" s="144"/>
      <c r="DD98" s="144"/>
      <c r="DE98" s="144"/>
      <c r="DF98" s="144"/>
      <c r="DG98" s="144"/>
      <c r="DH98" s="144"/>
      <c r="DI98" s="144"/>
      <c r="DJ98" s="144"/>
      <c r="DK98" s="144"/>
      <c r="DL98" s="144"/>
      <c r="DM98" s="144"/>
      <c r="DN98" s="144"/>
      <c r="DO98" s="144"/>
      <c r="DP98" s="144"/>
      <c r="DQ98" s="144"/>
      <c r="DR98" s="144"/>
      <c r="DS98" s="144"/>
      <c r="DT98" s="144"/>
      <c r="DU98" s="144"/>
      <c r="DV98" s="144"/>
      <c r="DW98" s="144"/>
      <c r="DX98" s="144"/>
      <c r="DY98" s="144"/>
      <c r="DZ98" s="144"/>
      <c r="EA98" s="144"/>
      <c r="EB98" s="144"/>
      <c r="EC98" s="144"/>
      <c r="ED98" s="144"/>
      <c r="EE98" s="144"/>
      <c r="EF98" s="144"/>
      <c r="EG98" s="144"/>
      <c r="EH98" s="144"/>
      <c r="EI98" s="144"/>
      <c r="EJ98" s="144"/>
      <c r="EK98" s="144"/>
      <c r="EL98" s="144"/>
      <c r="EM98" s="144"/>
      <c r="EN98" s="144"/>
      <c r="EO98" s="144"/>
      <c r="EP98" s="144"/>
      <c r="EQ98" s="144"/>
      <c r="ER98" s="144"/>
      <c r="ES98" s="144"/>
      <c r="ET98" s="144"/>
      <c r="EU98" s="144"/>
      <c r="EV98" s="144"/>
      <c r="EW98" s="144"/>
      <c r="EX98" s="144"/>
      <c r="EY98" s="144"/>
      <c r="EZ98" s="144"/>
      <c r="FA98" s="144"/>
      <c r="FB98" s="144"/>
      <c r="FC98" s="144"/>
      <c r="FD98" s="144"/>
      <c r="FE98" s="144"/>
      <c r="FF98" s="144"/>
      <c r="FG98" s="144"/>
      <c r="FH98" s="144"/>
      <c r="FI98" s="144"/>
      <c r="FJ98" s="144"/>
      <c r="FK98" s="144"/>
      <c r="FL98" s="144"/>
      <c r="FM98" s="144"/>
      <c r="FN98" s="144"/>
      <c r="FO98" s="144"/>
      <c r="FP98" s="144"/>
      <c r="FQ98" s="144"/>
      <c r="FR98" s="144"/>
      <c r="FS98" s="144"/>
      <c r="FT98" s="144"/>
      <c r="FU98" s="144"/>
      <c r="FV98" s="144"/>
      <c r="FW98" s="144"/>
      <c r="FX98" s="144"/>
      <c r="FY98" s="144"/>
      <c r="FZ98" s="144"/>
      <c r="GA98" s="144"/>
      <c r="GB98" s="144"/>
      <c r="GC98" s="144"/>
      <c r="GD98" s="144"/>
      <c r="GE98" s="144"/>
      <c r="GF98" s="144"/>
      <c r="GG98" s="144"/>
      <c r="GH98" s="144"/>
      <c r="GI98" s="144"/>
      <c r="GJ98" s="144"/>
      <c r="GK98" s="144"/>
      <c r="GL98" s="144"/>
      <c r="GM98" s="144"/>
      <c r="GN98" s="144"/>
      <c r="GO98" s="144"/>
      <c r="GP98" s="144"/>
      <c r="GQ98" s="144"/>
      <c r="GR98" s="144"/>
      <c r="GS98" s="144"/>
      <c r="GT98" s="144"/>
      <c r="GU98" s="144"/>
      <c r="GV98" s="144"/>
      <c r="GW98" s="144"/>
      <c r="GX98" s="144"/>
      <c r="GY98" s="144"/>
      <c r="GZ98" s="144"/>
      <c r="HA98" s="144"/>
      <c r="HB98" s="144"/>
      <c r="HC98" s="144"/>
      <c r="HD98" s="144"/>
      <c r="HE98" s="144"/>
      <c r="HF98" s="144"/>
      <c r="HG98" s="144"/>
      <c r="HH98" s="144"/>
      <c r="HI98" s="144"/>
      <c r="HJ98" s="144"/>
      <c r="HK98" s="144"/>
      <c r="HL98" s="144"/>
      <c r="HM98" s="144"/>
      <c r="HN98" s="144"/>
      <c r="HO98" s="144"/>
      <c r="HP98" s="144"/>
      <c r="HQ98" s="144"/>
      <c r="HR98" s="144"/>
      <c r="HS98" s="144"/>
      <c r="HT98" s="144"/>
      <c r="HU98" s="144"/>
      <c r="HV98" s="144"/>
      <c r="HW98" s="144"/>
      <c r="HX98" s="144"/>
      <c r="HY98" s="144"/>
      <c r="HZ98" s="144"/>
      <c r="IA98" s="144"/>
      <c r="IB98" s="144"/>
      <c r="IC98" s="144"/>
      <c r="ID98" s="144"/>
      <c r="IE98" s="144"/>
      <c r="IF98" s="144"/>
      <c r="IG98" s="144"/>
    </row>
    <row r="99" spans="1:241" ht="14.15" customHeight="1">
      <c r="A99" s="144"/>
      <c r="B99" s="143"/>
      <c r="C99" s="143"/>
      <c r="D99" s="143"/>
      <c r="E99" s="143"/>
      <c r="F99" s="143"/>
      <c r="G99" s="143"/>
      <c r="H99" s="143"/>
      <c r="I99" s="143"/>
      <c r="J99" s="143"/>
      <c r="K99" s="143"/>
      <c r="M99" s="1120"/>
      <c r="N99" s="1120"/>
      <c r="O99" s="582"/>
      <c r="P99" s="582"/>
      <c r="Q99" s="582"/>
      <c r="R99" s="582"/>
      <c r="T99" s="583"/>
      <c r="U99" s="582"/>
      <c r="V99" s="582"/>
      <c r="W99" s="582"/>
      <c r="X99" s="582"/>
      <c r="Y99" s="582"/>
      <c r="Z99" s="582"/>
      <c r="AA99" s="582"/>
      <c r="AB99" s="582"/>
      <c r="AC99" s="582"/>
      <c r="AD99" s="582"/>
      <c r="AE99" s="582"/>
      <c r="AF99" s="582"/>
      <c r="AG99" s="582"/>
      <c r="AH99" s="582"/>
      <c r="AI99" s="582"/>
      <c r="AJ99" s="582"/>
      <c r="AK99" s="582"/>
      <c r="AL99" s="582"/>
      <c r="AM99" s="582"/>
      <c r="AN99" s="582"/>
      <c r="AO99" s="582"/>
      <c r="AP99" s="582"/>
      <c r="AQ99" s="144"/>
      <c r="AR99" s="144"/>
      <c r="AS99" s="144"/>
      <c r="AT99" s="144"/>
      <c r="AU99" s="144"/>
      <c r="AV99" s="144"/>
      <c r="AW99" s="144"/>
      <c r="AX99" s="144"/>
      <c r="AY99" s="144"/>
      <c r="AZ99" s="144"/>
      <c r="BA99" s="144"/>
      <c r="BB99" s="144"/>
      <c r="BC99" s="144"/>
      <c r="BD99" s="144"/>
      <c r="BE99" s="144"/>
      <c r="BF99" s="144"/>
      <c r="BG99" s="144"/>
      <c r="BH99" s="144"/>
      <c r="BI99" s="144"/>
      <c r="BJ99" s="144"/>
      <c r="BK99" s="144"/>
      <c r="BL99" s="144"/>
      <c r="BM99" s="144"/>
      <c r="BN99" s="144"/>
      <c r="BO99" s="144"/>
      <c r="BP99" s="144"/>
      <c r="BQ99" s="144"/>
      <c r="BR99" s="144"/>
      <c r="BS99" s="144"/>
      <c r="BT99" s="144"/>
      <c r="BU99" s="144"/>
      <c r="BV99" s="144"/>
      <c r="BW99" s="144"/>
      <c r="BX99" s="144"/>
      <c r="BY99" s="144"/>
      <c r="BZ99" s="144"/>
      <c r="CA99" s="144"/>
      <c r="CB99" s="144"/>
      <c r="CC99" s="144"/>
      <c r="CD99" s="144"/>
      <c r="CE99" s="144"/>
      <c r="CF99" s="144"/>
      <c r="CG99" s="144"/>
      <c r="CH99" s="144"/>
      <c r="CI99" s="144"/>
      <c r="CJ99" s="144"/>
      <c r="CK99" s="144"/>
      <c r="CL99" s="144"/>
      <c r="CM99" s="144"/>
      <c r="CN99" s="144"/>
      <c r="CO99" s="144"/>
      <c r="CP99" s="144"/>
      <c r="CQ99" s="144"/>
      <c r="CR99" s="144"/>
      <c r="CS99" s="144"/>
      <c r="CT99" s="144"/>
      <c r="CU99" s="144"/>
      <c r="CV99" s="144"/>
      <c r="CW99" s="144"/>
      <c r="CX99" s="144"/>
      <c r="CY99" s="144"/>
      <c r="CZ99" s="144"/>
      <c r="DA99" s="144"/>
      <c r="DB99" s="144"/>
      <c r="DC99" s="144"/>
      <c r="DD99" s="144"/>
      <c r="DE99" s="144"/>
      <c r="DF99" s="144"/>
      <c r="DG99" s="144"/>
      <c r="DH99" s="144"/>
      <c r="DI99" s="144"/>
      <c r="DJ99" s="144"/>
      <c r="DK99" s="144"/>
      <c r="DL99" s="144"/>
      <c r="DM99" s="144"/>
      <c r="DN99" s="144"/>
      <c r="DO99" s="144"/>
      <c r="DP99" s="144"/>
      <c r="DQ99" s="144"/>
      <c r="DR99" s="144"/>
      <c r="DS99" s="144"/>
      <c r="DT99" s="144"/>
      <c r="DU99" s="144"/>
      <c r="DV99" s="144"/>
      <c r="DW99" s="144"/>
      <c r="DX99" s="144"/>
      <c r="DY99" s="144"/>
      <c r="DZ99" s="144"/>
      <c r="EA99" s="144"/>
      <c r="EB99" s="144"/>
      <c r="EC99" s="144"/>
      <c r="ED99" s="144"/>
      <c r="EE99" s="144"/>
      <c r="EF99" s="144"/>
      <c r="EG99" s="144"/>
      <c r="EH99" s="144"/>
      <c r="EI99" s="144"/>
      <c r="EJ99" s="144"/>
      <c r="EK99" s="144"/>
      <c r="EL99" s="144"/>
      <c r="EM99" s="144"/>
      <c r="EN99" s="144"/>
      <c r="EO99" s="144"/>
      <c r="EP99" s="144"/>
      <c r="EQ99" s="144"/>
      <c r="ER99" s="144"/>
      <c r="ES99" s="144"/>
      <c r="ET99" s="144"/>
      <c r="EU99" s="144"/>
      <c r="EV99" s="144"/>
      <c r="EW99" s="144"/>
      <c r="EX99" s="144"/>
      <c r="EY99" s="144"/>
      <c r="EZ99" s="144"/>
      <c r="FA99" s="144"/>
      <c r="FB99" s="144"/>
      <c r="FC99" s="144"/>
      <c r="FD99" s="144"/>
      <c r="FE99" s="144"/>
      <c r="FF99" s="144"/>
      <c r="FG99" s="144"/>
      <c r="FH99" s="144"/>
      <c r="FI99" s="144"/>
      <c r="FJ99" s="144"/>
      <c r="FK99" s="144"/>
      <c r="FL99" s="144"/>
      <c r="FM99" s="144"/>
      <c r="FN99" s="144"/>
      <c r="FO99" s="144"/>
      <c r="FP99" s="144"/>
      <c r="FQ99" s="144"/>
      <c r="FR99" s="144"/>
      <c r="FS99" s="144"/>
      <c r="FT99" s="144"/>
      <c r="FU99" s="144"/>
      <c r="FV99" s="144"/>
      <c r="FW99" s="144"/>
      <c r="FX99" s="144"/>
      <c r="FY99" s="144"/>
      <c r="FZ99" s="144"/>
      <c r="GA99" s="144"/>
      <c r="GB99" s="144"/>
      <c r="GC99" s="144"/>
      <c r="GD99" s="144"/>
      <c r="GE99" s="144"/>
      <c r="GF99" s="144"/>
      <c r="GG99" s="144"/>
      <c r="GH99" s="144"/>
      <c r="GI99" s="144"/>
      <c r="GJ99" s="144"/>
      <c r="GK99" s="144"/>
      <c r="GL99" s="144"/>
      <c r="GM99" s="144"/>
      <c r="GN99" s="144"/>
      <c r="GO99" s="144"/>
      <c r="GP99" s="144"/>
      <c r="GQ99" s="144"/>
      <c r="GR99" s="144"/>
      <c r="GS99" s="144"/>
      <c r="GT99" s="144"/>
      <c r="GU99" s="144"/>
      <c r="GV99" s="144"/>
      <c r="GW99" s="144"/>
      <c r="GX99" s="144"/>
      <c r="GY99" s="144"/>
      <c r="GZ99" s="144"/>
      <c r="HA99" s="144"/>
      <c r="HB99" s="144"/>
      <c r="HC99" s="144"/>
      <c r="HD99" s="144"/>
      <c r="HE99" s="144"/>
      <c r="HF99" s="144"/>
      <c r="HG99" s="144"/>
      <c r="HH99" s="144"/>
      <c r="HI99" s="144"/>
      <c r="HJ99" s="144"/>
      <c r="HK99" s="144"/>
      <c r="HL99" s="144"/>
      <c r="HM99" s="144"/>
      <c r="HN99" s="144"/>
      <c r="HO99" s="144"/>
      <c r="HP99" s="144"/>
      <c r="HQ99" s="144"/>
      <c r="HR99" s="144"/>
      <c r="HS99" s="144"/>
      <c r="HT99" s="144"/>
      <c r="HU99" s="144"/>
      <c r="HV99" s="144"/>
      <c r="HW99" s="144"/>
      <c r="HX99" s="144"/>
      <c r="HY99" s="144"/>
      <c r="HZ99" s="144"/>
      <c r="IA99" s="144"/>
      <c r="IB99" s="144"/>
      <c r="IC99" s="144"/>
      <c r="ID99" s="144"/>
      <c r="IE99" s="144"/>
      <c r="IF99" s="144"/>
      <c r="IG99" s="144"/>
    </row>
    <row r="100" spans="1:241" ht="14.15" customHeight="1">
      <c r="A100" s="144"/>
      <c r="B100" s="143"/>
      <c r="C100" s="143"/>
      <c r="D100" s="143"/>
      <c r="E100" s="143"/>
      <c r="F100" s="143"/>
      <c r="G100" s="143"/>
      <c r="H100" s="143"/>
      <c r="I100" s="143"/>
      <c r="J100" s="143"/>
      <c r="K100" s="143"/>
      <c r="M100" s="1120"/>
      <c r="N100" s="1120"/>
      <c r="O100" s="582"/>
      <c r="P100" s="582"/>
      <c r="Q100" s="582"/>
      <c r="R100" s="582"/>
      <c r="T100" s="583"/>
      <c r="U100" s="582"/>
      <c r="V100" s="582"/>
      <c r="W100" s="582"/>
      <c r="X100" s="582"/>
      <c r="Y100" s="582"/>
      <c r="Z100" s="582"/>
      <c r="AA100" s="582"/>
      <c r="AB100" s="582"/>
      <c r="AC100" s="582"/>
      <c r="AD100" s="582"/>
      <c r="AE100" s="582"/>
      <c r="AF100" s="582"/>
      <c r="AG100" s="582"/>
      <c r="AH100" s="582"/>
      <c r="AI100" s="582"/>
      <c r="AJ100" s="582"/>
      <c r="AK100" s="582"/>
      <c r="AL100" s="582"/>
      <c r="AM100" s="582"/>
      <c r="AN100" s="582"/>
      <c r="AO100" s="582"/>
      <c r="AP100" s="582"/>
      <c r="AQ100" s="144"/>
      <c r="AR100" s="144"/>
      <c r="AS100" s="144"/>
      <c r="AT100" s="144"/>
      <c r="AU100" s="144"/>
      <c r="AV100" s="144"/>
      <c r="AW100" s="144"/>
      <c r="AX100" s="144"/>
      <c r="AY100" s="144"/>
      <c r="AZ100" s="144"/>
      <c r="BA100" s="144"/>
      <c r="BB100" s="144"/>
      <c r="BC100" s="144"/>
      <c r="BD100" s="144"/>
      <c r="BE100" s="144"/>
      <c r="BF100" s="144"/>
      <c r="BG100" s="144"/>
      <c r="BH100" s="144"/>
      <c r="BI100" s="144"/>
      <c r="BJ100" s="144"/>
      <c r="BK100" s="144"/>
      <c r="BL100" s="144"/>
      <c r="BM100" s="144"/>
      <c r="BN100" s="144"/>
      <c r="BO100" s="144"/>
      <c r="BP100" s="144"/>
      <c r="BQ100" s="144"/>
      <c r="BR100" s="144"/>
      <c r="BS100" s="144"/>
      <c r="BT100" s="144"/>
      <c r="BU100" s="144"/>
      <c r="BV100" s="144"/>
      <c r="BW100" s="144"/>
      <c r="BX100" s="144"/>
      <c r="BY100" s="144"/>
      <c r="BZ100" s="144"/>
      <c r="CA100" s="144"/>
      <c r="CB100" s="144"/>
      <c r="CC100" s="144"/>
      <c r="CD100" s="144"/>
      <c r="CE100" s="144"/>
      <c r="CF100" s="144"/>
      <c r="CG100" s="144"/>
      <c r="CH100" s="144"/>
      <c r="CI100" s="144"/>
      <c r="CJ100" s="144"/>
      <c r="CK100" s="144"/>
      <c r="CL100" s="144"/>
      <c r="CM100" s="144"/>
      <c r="CN100" s="144"/>
      <c r="CO100" s="144"/>
      <c r="CP100" s="144"/>
      <c r="CQ100" s="144"/>
      <c r="CR100" s="144"/>
      <c r="CS100" s="144"/>
      <c r="CT100" s="144"/>
      <c r="CU100" s="144"/>
      <c r="CV100" s="144"/>
      <c r="CW100" s="144"/>
      <c r="CX100" s="144"/>
      <c r="CY100" s="144"/>
      <c r="CZ100" s="144"/>
      <c r="DA100" s="144"/>
      <c r="DB100" s="144"/>
      <c r="DC100" s="144"/>
      <c r="DD100" s="144"/>
      <c r="DE100" s="144"/>
      <c r="DF100" s="144"/>
      <c r="DG100" s="144"/>
      <c r="DH100" s="144"/>
      <c r="DI100" s="144"/>
      <c r="DJ100" s="144"/>
      <c r="DK100" s="144"/>
      <c r="DL100" s="144"/>
      <c r="DM100" s="144"/>
      <c r="DN100" s="144"/>
      <c r="DO100" s="144"/>
      <c r="DP100" s="144"/>
      <c r="DQ100" s="144"/>
      <c r="DR100" s="144"/>
      <c r="DS100" s="144"/>
      <c r="DT100" s="144"/>
      <c r="DU100" s="144"/>
      <c r="DV100" s="144"/>
      <c r="DW100" s="144"/>
      <c r="DX100" s="144"/>
      <c r="DY100" s="144"/>
      <c r="DZ100" s="144"/>
      <c r="EA100" s="144"/>
      <c r="EB100" s="144"/>
      <c r="EC100" s="144"/>
      <c r="ED100" s="144"/>
      <c r="EE100" s="144"/>
      <c r="EF100" s="144"/>
      <c r="EG100" s="144"/>
      <c r="EH100" s="144"/>
      <c r="EI100" s="144"/>
      <c r="EJ100" s="144"/>
      <c r="EK100" s="144"/>
      <c r="EL100" s="144"/>
      <c r="EM100" s="144"/>
      <c r="EN100" s="144"/>
      <c r="EO100" s="144"/>
      <c r="EP100" s="144"/>
      <c r="EQ100" s="144"/>
      <c r="ER100" s="144"/>
      <c r="ES100" s="144"/>
      <c r="ET100" s="144"/>
      <c r="EU100" s="144"/>
      <c r="EV100" s="144"/>
      <c r="EW100" s="144"/>
      <c r="EX100" s="144"/>
      <c r="EY100" s="144"/>
      <c r="EZ100" s="144"/>
      <c r="FA100" s="144"/>
      <c r="FB100" s="144"/>
      <c r="FC100" s="144"/>
      <c r="FD100" s="144"/>
      <c r="FE100" s="144"/>
      <c r="FF100" s="144"/>
      <c r="FG100" s="144"/>
      <c r="FH100" s="144"/>
      <c r="FI100" s="144"/>
      <c r="FJ100" s="144"/>
      <c r="FK100" s="144"/>
      <c r="FL100" s="144"/>
      <c r="FM100" s="144"/>
      <c r="FN100" s="144"/>
      <c r="FO100" s="144"/>
      <c r="FP100" s="144"/>
      <c r="FQ100" s="144"/>
      <c r="FR100" s="144"/>
      <c r="FS100" s="144"/>
      <c r="FT100" s="144"/>
      <c r="FU100" s="144"/>
      <c r="FV100" s="144"/>
      <c r="FW100" s="144"/>
      <c r="FX100" s="144"/>
      <c r="FY100" s="144"/>
      <c r="FZ100" s="144"/>
      <c r="GA100" s="144"/>
      <c r="GB100" s="144"/>
      <c r="GC100" s="144"/>
      <c r="GD100" s="144"/>
      <c r="GE100" s="144"/>
      <c r="GF100" s="144"/>
      <c r="GG100" s="144"/>
      <c r="GH100" s="144"/>
      <c r="GI100" s="144"/>
      <c r="GJ100" s="144"/>
      <c r="GK100" s="144"/>
      <c r="GL100" s="144"/>
      <c r="GM100" s="144"/>
      <c r="GN100" s="144"/>
      <c r="GO100" s="144"/>
      <c r="GP100" s="144"/>
      <c r="GQ100" s="144"/>
      <c r="GR100" s="144"/>
      <c r="GS100" s="144"/>
      <c r="GT100" s="144"/>
      <c r="GU100" s="144"/>
      <c r="GV100" s="144"/>
      <c r="GW100" s="144"/>
      <c r="GX100" s="144"/>
      <c r="GY100" s="144"/>
      <c r="GZ100" s="144"/>
      <c r="HA100" s="144"/>
      <c r="HB100" s="144"/>
      <c r="HC100" s="144"/>
      <c r="HD100" s="144"/>
      <c r="HE100" s="144"/>
      <c r="HF100" s="144"/>
      <c r="HG100" s="144"/>
      <c r="HH100" s="144"/>
      <c r="HI100" s="144"/>
      <c r="HJ100" s="144"/>
      <c r="HK100" s="144"/>
      <c r="HL100" s="144"/>
      <c r="HM100" s="144"/>
      <c r="HN100" s="144"/>
      <c r="HO100" s="144"/>
      <c r="HP100" s="144"/>
      <c r="HQ100" s="144"/>
      <c r="HR100" s="144"/>
      <c r="HS100" s="144"/>
      <c r="HT100" s="144"/>
      <c r="HU100" s="144"/>
      <c r="HV100" s="144"/>
      <c r="HW100" s="144"/>
      <c r="HX100" s="144"/>
      <c r="HY100" s="144"/>
      <c r="HZ100" s="144"/>
      <c r="IA100" s="144"/>
      <c r="IB100" s="144"/>
      <c r="IC100" s="144"/>
      <c r="ID100" s="144"/>
      <c r="IE100" s="144"/>
      <c r="IF100" s="144"/>
      <c r="IG100" s="144"/>
    </row>
    <row r="101" spans="1:241" ht="14.15" customHeight="1">
      <c r="A101" s="144"/>
      <c r="B101" s="143"/>
      <c r="C101" s="143"/>
      <c r="D101" s="143"/>
      <c r="E101" s="143"/>
      <c r="F101" s="143"/>
      <c r="G101" s="143"/>
      <c r="H101" s="143"/>
      <c r="I101" s="143"/>
      <c r="J101" s="143"/>
      <c r="K101" s="143"/>
      <c r="M101" s="1120"/>
      <c r="N101" s="1120"/>
      <c r="O101" s="582"/>
      <c r="P101" s="582"/>
      <c r="Q101" s="582"/>
      <c r="R101" s="582"/>
      <c r="T101" s="583"/>
      <c r="U101" s="582"/>
      <c r="V101" s="582"/>
      <c r="W101" s="582"/>
      <c r="X101" s="582"/>
      <c r="Y101" s="582"/>
      <c r="Z101" s="582"/>
      <c r="AA101" s="582"/>
      <c r="AB101" s="582"/>
      <c r="AC101" s="582"/>
      <c r="AD101" s="582"/>
      <c r="AE101" s="582"/>
      <c r="AF101" s="582"/>
      <c r="AG101" s="582"/>
      <c r="AH101" s="582"/>
      <c r="AI101" s="582"/>
      <c r="AJ101" s="582"/>
      <c r="AK101" s="582"/>
      <c r="AL101" s="582"/>
      <c r="AM101" s="582"/>
      <c r="AN101" s="582"/>
      <c r="AO101" s="582"/>
      <c r="AP101" s="582"/>
      <c r="AQ101" s="144"/>
      <c r="AR101" s="144"/>
      <c r="AS101" s="144"/>
      <c r="AT101" s="144"/>
      <c r="AU101" s="144"/>
      <c r="AV101" s="144"/>
      <c r="AW101" s="144"/>
      <c r="AX101" s="144"/>
      <c r="AY101" s="144"/>
      <c r="AZ101" s="144"/>
      <c r="BA101" s="144"/>
      <c r="BB101" s="144"/>
      <c r="BC101" s="144"/>
      <c r="BD101" s="144"/>
      <c r="BE101" s="144"/>
      <c r="BF101" s="144"/>
      <c r="BG101" s="144"/>
      <c r="BH101" s="144"/>
      <c r="BI101" s="144"/>
      <c r="BJ101" s="144"/>
      <c r="BK101" s="144"/>
      <c r="BL101" s="144"/>
      <c r="BM101" s="144"/>
      <c r="BN101" s="144"/>
      <c r="BO101" s="144"/>
      <c r="BP101" s="144"/>
      <c r="BQ101" s="144"/>
      <c r="BR101" s="144"/>
      <c r="BS101" s="144"/>
      <c r="BT101" s="144"/>
      <c r="BU101" s="144"/>
      <c r="BV101" s="144"/>
      <c r="BW101" s="144"/>
      <c r="BX101" s="144"/>
      <c r="BY101" s="144"/>
      <c r="BZ101" s="144"/>
      <c r="CA101" s="144"/>
      <c r="CB101" s="144"/>
      <c r="CC101" s="144"/>
      <c r="CD101" s="144"/>
      <c r="CE101" s="144"/>
      <c r="CF101" s="144"/>
      <c r="CG101" s="144"/>
      <c r="CH101" s="144"/>
      <c r="CI101" s="144"/>
      <c r="CJ101" s="144"/>
      <c r="CK101" s="144"/>
      <c r="CL101" s="144"/>
      <c r="CM101" s="144"/>
      <c r="CN101" s="144"/>
      <c r="CO101" s="144"/>
      <c r="CP101" s="144"/>
      <c r="CQ101" s="144"/>
      <c r="CR101" s="144"/>
      <c r="CS101" s="144"/>
      <c r="CT101" s="144"/>
      <c r="CU101" s="144"/>
      <c r="CV101" s="144"/>
      <c r="CW101" s="144"/>
      <c r="CX101" s="144"/>
      <c r="CY101" s="144"/>
      <c r="CZ101" s="144"/>
      <c r="DA101" s="144"/>
      <c r="DB101" s="144"/>
      <c r="DC101" s="144"/>
      <c r="DD101" s="144"/>
      <c r="DE101" s="144"/>
      <c r="DF101" s="144"/>
      <c r="DG101" s="144"/>
      <c r="DH101" s="144"/>
      <c r="DI101" s="144"/>
      <c r="DJ101" s="144"/>
      <c r="DK101" s="144"/>
      <c r="DL101" s="144"/>
      <c r="DM101" s="144"/>
      <c r="DN101" s="144"/>
      <c r="DO101" s="144"/>
      <c r="DP101" s="144"/>
      <c r="DQ101" s="144"/>
      <c r="DR101" s="144"/>
      <c r="DS101" s="144"/>
      <c r="DT101" s="144"/>
      <c r="DU101" s="144"/>
      <c r="DV101" s="144"/>
      <c r="DW101" s="144"/>
      <c r="DX101" s="144"/>
      <c r="DY101" s="144"/>
      <c r="DZ101" s="144"/>
      <c r="EA101" s="144"/>
      <c r="EB101" s="144"/>
      <c r="EC101" s="144"/>
      <c r="ED101" s="144"/>
      <c r="EE101" s="144"/>
      <c r="EF101" s="144"/>
      <c r="EG101" s="144"/>
      <c r="EH101" s="144"/>
      <c r="EI101" s="144"/>
      <c r="EJ101" s="144"/>
      <c r="EK101" s="144"/>
      <c r="EL101" s="144"/>
      <c r="EM101" s="144"/>
      <c r="EN101" s="144"/>
      <c r="EO101" s="144"/>
      <c r="EP101" s="144"/>
      <c r="EQ101" s="144"/>
      <c r="ER101" s="144"/>
      <c r="ES101" s="144"/>
      <c r="ET101" s="144"/>
      <c r="EU101" s="144"/>
      <c r="EV101" s="144"/>
      <c r="EW101" s="144"/>
      <c r="EX101" s="144"/>
      <c r="EY101" s="144"/>
      <c r="EZ101" s="144"/>
      <c r="FA101" s="144"/>
      <c r="FB101" s="144"/>
      <c r="FC101" s="144"/>
      <c r="FD101" s="144"/>
      <c r="FE101" s="144"/>
      <c r="FF101" s="144"/>
      <c r="FG101" s="144"/>
      <c r="FH101" s="144"/>
      <c r="FI101" s="144"/>
      <c r="FJ101" s="144"/>
      <c r="FK101" s="144"/>
      <c r="FL101" s="144"/>
      <c r="FM101" s="144"/>
      <c r="FN101" s="144"/>
      <c r="FO101" s="144"/>
      <c r="FP101" s="144"/>
      <c r="FQ101" s="144"/>
      <c r="FR101" s="144"/>
      <c r="FS101" s="144"/>
      <c r="FT101" s="144"/>
      <c r="FU101" s="144"/>
      <c r="FV101" s="144"/>
      <c r="FW101" s="144"/>
      <c r="FX101" s="144"/>
      <c r="FY101" s="144"/>
      <c r="FZ101" s="144"/>
      <c r="GA101" s="144"/>
      <c r="GB101" s="144"/>
      <c r="GC101" s="144"/>
      <c r="GD101" s="144"/>
      <c r="GE101" s="144"/>
      <c r="GF101" s="144"/>
      <c r="GG101" s="144"/>
      <c r="GH101" s="144"/>
      <c r="GI101" s="144"/>
      <c r="GJ101" s="144"/>
      <c r="GK101" s="144"/>
      <c r="GL101" s="144"/>
      <c r="GM101" s="144"/>
      <c r="GN101" s="144"/>
      <c r="GO101" s="144"/>
      <c r="GP101" s="144"/>
      <c r="GQ101" s="144"/>
      <c r="GR101" s="144"/>
      <c r="GS101" s="144"/>
      <c r="GT101" s="144"/>
      <c r="GU101" s="144"/>
      <c r="GV101" s="144"/>
      <c r="GW101" s="144"/>
      <c r="GX101" s="144"/>
      <c r="GY101" s="144"/>
      <c r="GZ101" s="144"/>
      <c r="HA101" s="144"/>
      <c r="HB101" s="144"/>
      <c r="HC101" s="144"/>
      <c r="HD101" s="144"/>
      <c r="HE101" s="144"/>
      <c r="HF101" s="144"/>
      <c r="HG101" s="144"/>
      <c r="HH101" s="144"/>
      <c r="HI101" s="144"/>
      <c r="HJ101" s="144"/>
      <c r="HK101" s="144"/>
      <c r="HL101" s="144"/>
      <c r="HM101" s="144"/>
      <c r="HN101" s="144"/>
      <c r="HO101" s="144"/>
      <c r="HP101" s="144"/>
      <c r="HQ101" s="144"/>
      <c r="HR101" s="144"/>
      <c r="HS101" s="144"/>
      <c r="HT101" s="144"/>
      <c r="HU101" s="144"/>
      <c r="HV101" s="144"/>
      <c r="HW101" s="144"/>
      <c r="HX101" s="144"/>
      <c r="HY101" s="144"/>
      <c r="HZ101" s="144"/>
      <c r="IA101" s="144"/>
      <c r="IB101" s="144"/>
      <c r="IC101" s="144"/>
      <c r="ID101" s="144"/>
      <c r="IE101" s="144"/>
      <c r="IF101" s="144"/>
      <c r="IG101" s="144"/>
    </row>
    <row r="102" spans="1:241" ht="14.15" customHeight="1">
      <c r="A102" s="144"/>
      <c r="B102" s="143"/>
      <c r="C102" s="143"/>
      <c r="D102" s="143"/>
      <c r="E102" s="143"/>
      <c r="F102" s="143"/>
      <c r="G102" s="143"/>
      <c r="H102" s="143"/>
      <c r="I102" s="143"/>
      <c r="J102" s="143"/>
      <c r="K102" s="143"/>
      <c r="M102" s="1120"/>
      <c r="N102" s="1120"/>
      <c r="O102" s="582"/>
      <c r="P102" s="582"/>
      <c r="Q102" s="582"/>
      <c r="R102" s="582"/>
      <c r="T102" s="583"/>
      <c r="U102" s="582"/>
      <c r="V102" s="582"/>
      <c r="W102" s="582"/>
      <c r="X102" s="582"/>
      <c r="Y102" s="582"/>
      <c r="Z102" s="582"/>
      <c r="AA102" s="582"/>
      <c r="AB102" s="582"/>
      <c r="AC102" s="582"/>
      <c r="AD102" s="582"/>
      <c r="AE102" s="582"/>
      <c r="AF102" s="582"/>
      <c r="AG102" s="582"/>
      <c r="AH102" s="582"/>
      <c r="AI102" s="582"/>
      <c r="AJ102" s="582"/>
      <c r="AK102" s="582"/>
      <c r="AL102" s="582"/>
      <c r="AM102" s="582"/>
      <c r="AN102" s="582"/>
      <c r="AO102" s="582"/>
      <c r="AP102" s="582"/>
      <c r="AQ102" s="144"/>
      <c r="AR102" s="144"/>
      <c r="AS102" s="144"/>
      <c r="AT102" s="144"/>
      <c r="AU102" s="144"/>
      <c r="AV102" s="144"/>
      <c r="AW102" s="144"/>
      <c r="AX102" s="144"/>
      <c r="AY102" s="144"/>
      <c r="AZ102" s="144"/>
      <c r="BA102" s="144"/>
      <c r="BB102" s="144"/>
      <c r="BC102" s="144"/>
      <c r="BD102" s="144"/>
      <c r="BE102" s="144"/>
      <c r="BF102" s="144"/>
      <c r="BG102" s="144"/>
      <c r="BH102" s="144"/>
      <c r="BI102" s="144"/>
      <c r="BJ102" s="144"/>
      <c r="BK102" s="144"/>
      <c r="BL102" s="144"/>
      <c r="BM102" s="144"/>
      <c r="BN102" s="144"/>
      <c r="BO102" s="144"/>
      <c r="BP102" s="144"/>
      <c r="BQ102" s="144"/>
      <c r="BR102" s="144"/>
      <c r="BS102" s="144"/>
      <c r="BT102" s="144"/>
      <c r="BU102" s="144"/>
      <c r="BV102" s="144"/>
      <c r="BW102" s="144"/>
      <c r="BX102" s="144"/>
      <c r="BY102" s="144"/>
      <c r="BZ102" s="144"/>
      <c r="CA102" s="144"/>
      <c r="CB102" s="144"/>
      <c r="CC102" s="144"/>
      <c r="CD102" s="144"/>
      <c r="CE102" s="144"/>
      <c r="CF102" s="144"/>
      <c r="CG102" s="144"/>
      <c r="CH102" s="144"/>
      <c r="CI102" s="144"/>
      <c r="CJ102" s="144"/>
      <c r="CK102" s="144"/>
      <c r="CL102" s="144"/>
      <c r="CM102" s="144"/>
      <c r="CN102" s="144"/>
      <c r="CO102" s="144"/>
      <c r="CP102" s="144"/>
      <c r="CQ102" s="144"/>
      <c r="CR102" s="144"/>
      <c r="CS102" s="144"/>
      <c r="CT102" s="144"/>
      <c r="CU102" s="144"/>
      <c r="CV102" s="144"/>
      <c r="CW102" s="144"/>
      <c r="CX102" s="144"/>
      <c r="CY102" s="144"/>
      <c r="CZ102" s="144"/>
      <c r="DA102" s="144"/>
      <c r="DB102" s="144"/>
      <c r="DC102" s="144"/>
      <c r="DD102" s="144"/>
      <c r="DE102" s="144"/>
      <c r="DF102" s="144"/>
      <c r="DG102" s="144"/>
      <c r="DH102" s="144"/>
      <c r="DI102" s="144"/>
      <c r="DJ102" s="144"/>
      <c r="DK102" s="144"/>
      <c r="DL102" s="144"/>
      <c r="DM102" s="144"/>
      <c r="DN102" s="144"/>
      <c r="DO102" s="144"/>
      <c r="DP102" s="144"/>
      <c r="DQ102" s="144"/>
      <c r="DR102" s="144"/>
      <c r="DS102" s="144"/>
      <c r="DT102" s="144"/>
      <c r="DU102" s="144"/>
      <c r="DV102" s="144"/>
      <c r="DW102" s="144"/>
      <c r="DX102" s="144"/>
      <c r="DY102" s="144"/>
      <c r="DZ102" s="144"/>
      <c r="EA102" s="144"/>
      <c r="EB102" s="144"/>
      <c r="EC102" s="144"/>
      <c r="ED102" s="144"/>
      <c r="EE102" s="144"/>
      <c r="EF102" s="144"/>
      <c r="EG102" s="144"/>
      <c r="EH102" s="144"/>
      <c r="EI102" s="144"/>
      <c r="EJ102" s="144"/>
      <c r="EK102" s="144"/>
      <c r="EL102" s="144"/>
      <c r="EM102" s="144"/>
      <c r="EN102" s="144"/>
      <c r="EO102" s="144"/>
      <c r="EP102" s="144"/>
      <c r="EQ102" s="144"/>
      <c r="ER102" s="144"/>
      <c r="ES102" s="144"/>
      <c r="ET102" s="144"/>
      <c r="EU102" s="144"/>
      <c r="EV102" s="144"/>
      <c r="EW102" s="144"/>
      <c r="EX102" s="144"/>
      <c r="EY102" s="144"/>
      <c r="EZ102" s="144"/>
      <c r="FA102" s="144"/>
      <c r="FB102" s="144"/>
      <c r="FC102" s="144"/>
      <c r="FD102" s="144"/>
      <c r="FE102" s="144"/>
      <c r="FF102" s="144"/>
      <c r="FG102" s="144"/>
      <c r="FH102" s="144"/>
      <c r="FI102" s="144"/>
      <c r="FJ102" s="144"/>
      <c r="FK102" s="144"/>
      <c r="FL102" s="144"/>
      <c r="FM102" s="144"/>
      <c r="FN102" s="144"/>
      <c r="FO102" s="144"/>
      <c r="FP102" s="144"/>
      <c r="FQ102" s="144"/>
      <c r="FR102" s="144"/>
      <c r="FS102" s="144"/>
      <c r="FT102" s="144"/>
      <c r="FU102" s="144"/>
      <c r="FV102" s="144"/>
      <c r="FW102" s="144"/>
      <c r="FX102" s="144"/>
      <c r="FY102" s="144"/>
      <c r="FZ102" s="144"/>
      <c r="GA102" s="144"/>
      <c r="GB102" s="144"/>
      <c r="GC102" s="144"/>
      <c r="GD102" s="144"/>
      <c r="GE102" s="144"/>
      <c r="GF102" s="144"/>
      <c r="GG102" s="144"/>
      <c r="GH102" s="144"/>
      <c r="GI102" s="144"/>
      <c r="GJ102" s="144"/>
      <c r="GK102" s="144"/>
      <c r="GL102" s="144"/>
      <c r="GM102" s="144"/>
      <c r="GN102" s="144"/>
      <c r="GO102" s="144"/>
      <c r="GP102" s="144"/>
      <c r="GQ102" s="144"/>
      <c r="GR102" s="144"/>
      <c r="GS102" s="144"/>
      <c r="GT102" s="144"/>
      <c r="GU102" s="144"/>
      <c r="GV102" s="144"/>
      <c r="GW102" s="144"/>
      <c r="GX102" s="144"/>
      <c r="GY102" s="144"/>
      <c r="GZ102" s="144"/>
      <c r="HA102" s="144"/>
      <c r="HB102" s="144"/>
      <c r="HC102" s="144"/>
      <c r="HD102" s="144"/>
      <c r="HE102" s="144"/>
      <c r="HF102" s="144"/>
      <c r="HG102" s="144"/>
      <c r="HH102" s="144"/>
      <c r="HI102" s="144"/>
      <c r="HJ102" s="144"/>
      <c r="HK102" s="144"/>
      <c r="HL102" s="144"/>
      <c r="HM102" s="144"/>
      <c r="HN102" s="144"/>
      <c r="HO102" s="144"/>
      <c r="HP102" s="144"/>
      <c r="HQ102" s="144"/>
      <c r="HR102" s="144"/>
      <c r="HS102" s="144"/>
      <c r="HT102" s="144"/>
      <c r="HU102" s="144"/>
      <c r="HV102" s="144"/>
      <c r="HW102" s="144"/>
      <c r="HX102" s="144"/>
      <c r="HY102" s="144"/>
      <c r="HZ102" s="144"/>
      <c r="IA102" s="144"/>
      <c r="IB102" s="144"/>
      <c r="IC102" s="144"/>
      <c r="ID102" s="144"/>
      <c r="IE102" s="144"/>
      <c r="IF102" s="144"/>
      <c r="IG102" s="144"/>
    </row>
    <row r="103" spans="1:241" ht="14.15" customHeight="1">
      <c r="A103" s="144"/>
      <c r="B103" s="143"/>
      <c r="C103" s="143"/>
      <c r="D103" s="143"/>
      <c r="E103" s="143"/>
      <c r="F103" s="143"/>
      <c r="G103" s="143"/>
      <c r="H103" s="143"/>
      <c r="I103" s="143"/>
      <c r="J103" s="143"/>
      <c r="K103" s="143"/>
      <c r="M103" s="1120"/>
      <c r="N103" s="1120"/>
      <c r="O103" s="582"/>
      <c r="P103" s="582"/>
      <c r="Q103" s="582"/>
      <c r="R103" s="582"/>
      <c r="T103" s="583"/>
      <c r="U103" s="582"/>
      <c r="V103" s="582"/>
      <c r="W103" s="582"/>
      <c r="X103" s="582"/>
      <c r="Y103" s="582"/>
      <c r="Z103" s="582"/>
      <c r="AA103" s="582"/>
      <c r="AB103" s="582"/>
      <c r="AC103" s="582"/>
      <c r="AD103" s="582"/>
      <c r="AE103" s="582"/>
      <c r="AF103" s="582"/>
      <c r="AG103" s="582"/>
      <c r="AH103" s="582"/>
      <c r="AI103" s="582"/>
      <c r="AJ103" s="582"/>
      <c r="AK103" s="582"/>
      <c r="AL103" s="582"/>
      <c r="AM103" s="582"/>
      <c r="AN103" s="582"/>
      <c r="AO103" s="582"/>
      <c r="AP103" s="582"/>
      <c r="AQ103" s="144"/>
      <c r="AR103" s="144"/>
      <c r="AS103" s="144"/>
      <c r="AT103" s="144"/>
      <c r="AU103" s="144"/>
      <c r="AV103" s="144"/>
      <c r="AW103" s="144"/>
      <c r="AX103" s="144"/>
      <c r="AY103" s="144"/>
      <c r="AZ103" s="144"/>
      <c r="BA103" s="144"/>
      <c r="BB103" s="144"/>
      <c r="BC103" s="144"/>
      <c r="BD103" s="144"/>
      <c r="BE103" s="144"/>
      <c r="BF103" s="144"/>
      <c r="BG103" s="144"/>
      <c r="BH103" s="144"/>
      <c r="BI103" s="144"/>
      <c r="BJ103" s="144"/>
      <c r="BK103" s="144"/>
      <c r="BL103" s="144"/>
      <c r="BM103" s="144"/>
      <c r="BN103" s="144"/>
      <c r="BO103" s="144"/>
      <c r="BP103" s="144"/>
      <c r="BQ103" s="144"/>
      <c r="BR103" s="144"/>
      <c r="BS103" s="144"/>
      <c r="BT103" s="144"/>
      <c r="BU103" s="144"/>
      <c r="BV103" s="144"/>
      <c r="BW103" s="144"/>
      <c r="BX103" s="144"/>
      <c r="BY103" s="144"/>
      <c r="BZ103" s="144"/>
      <c r="CA103" s="144"/>
      <c r="CB103" s="144"/>
      <c r="CC103" s="144"/>
      <c r="CD103" s="144"/>
      <c r="CE103" s="144"/>
      <c r="CF103" s="144"/>
      <c r="CG103" s="144"/>
      <c r="CH103" s="144"/>
      <c r="CI103" s="144"/>
      <c r="CJ103" s="144"/>
      <c r="CK103" s="144"/>
      <c r="CL103" s="144"/>
      <c r="CM103" s="144"/>
      <c r="CN103" s="144"/>
      <c r="CO103" s="144"/>
      <c r="CP103" s="144"/>
      <c r="CQ103" s="144"/>
      <c r="CR103" s="144"/>
      <c r="CS103" s="144"/>
      <c r="CT103" s="144"/>
      <c r="CU103" s="144"/>
      <c r="CV103" s="144"/>
      <c r="CW103" s="144"/>
      <c r="CX103" s="144"/>
      <c r="CY103" s="144"/>
      <c r="CZ103" s="144"/>
      <c r="DA103" s="144"/>
      <c r="DB103" s="144"/>
      <c r="DC103" s="144"/>
      <c r="DD103" s="144"/>
      <c r="DE103" s="144"/>
      <c r="DF103" s="144"/>
      <c r="DG103" s="144"/>
      <c r="DH103" s="144"/>
      <c r="DI103" s="144"/>
      <c r="DJ103" s="144"/>
      <c r="DK103" s="144"/>
      <c r="DL103" s="144"/>
      <c r="DM103" s="144"/>
      <c r="DN103" s="144"/>
      <c r="DO103" s="144"/>
      <c r="DP103" s="144"/>
      <c r="DQ103" s="144"/>
      <c r="DR103" s="144"/>
      <c r="DS103" s="144"/>
      <c r="DT103" s="144"/>
      <c r="DU103" s="144"/>
      <c r="DV103" s="144"/>
      <c r="DW103" s="144"/>
      <c r="DX103" s="144"/>
      <c r="DY103" s="144"/>
      <c r="DZ103" s="144"/>
      <c r="EA103" s="144"/>
      <c r="EB103" s="144"/>
      <c r="EC103" s="144"/>
      <c r="ED103" s="144"/>
      <c r="EE103" s="144"/>
      <c r="EF103" s="144"/>
      <c r="EG103" s="144"/>
      <c r="EH103" s="144"/>
      <c r="EI103" s="144"/>
      <c r="EJ103" s="144"/>
      <c r="EK103" s="144"/>
      <c r="EL103" s="144"/>
      <c r="EM103" s="144"/>
      <c r="EN103" s="144"/>
      <c r="EO103" s="144"/>
      <c r="EP103" s="144"/>
      <c r="EQ103" s="144"/>
      <c r="ER103" s="144"/>
      <c r="ES103" s="144"/>
      <c r="ET103" s="144"/>
      <c r="EU103" s="144"/>
      <c r="EV103" s="144"/>
      <c r="EW103" s="144"/>
      <c r="EX103" s="144"/>
      <c r="EY103" s="144"/>
      <c r="EZ103" s="144"/>
      <c r="FA103" s="144"/>
      <c r="FB103" s="144"/>
      <c r="FC103" s="144"/>
      <c r="FD103" s="144"/>
      <c r="FE103" s="144"/>
      <c r="FF103" s="144"/>
      <c r="FG103" s="144"/>
      <c r="FH103" s="144"/>
      <c r="FI103" s="144"/>
      <c r="FJ103" s="144"/>
      <c r="FK103" s="144"/>
      <c r="FL103" s="144"/>
      <c r="FM103" s="144"/>
      <c r="FN103" s="144"/>
      <c r="FO103" s="144"/>
      <c r="FP103" s="144"/>
      <c r="FQ103" s="144"/>
      <c r="FR103" s="144"/>
      <c r="FS103" s="144"/>
      <c r="FT103" s="144"/>
      <c r="FU103" s="144"/>
      <c r="FV103" s="144"/>
      <c r="FW103" s="144"/>
      <c r="FX103" s="144"/>
      <c r="FY103" s="144"/>
      <c r="FZ103" s="144"/>
      <c r="GA103" s="144"/>
      <c r="GB103" s="144"/>
      <c r="GC103" s="144"/>
      <c r="GD103" s="144"/>
      <c r="GE103" s="144"/>
      <c r="GF103" s="144"/>
      <c r="GG103" s="144"/>
      <c r="GH103" s="144"/>
      <c r="GI103" s="144"/>
      <c r="GJ103" s="144"/>
      <c r="GK103" s="144"/>
      <c r="GL103" s="144"/>
      <c r="GM103" s="144"/>
      <c r="GN103" s="144"/>
      <c r="GO103" s="144"/>
      <c r="GP103" s="144"/>
      <c r="GQ103" s="144"/>
      <c r="GR103" s="144"/>
      <c r="GS103" s="144"/>
      <c r="GT103" s="144"/>
      <c r="GU103" s="144"/>
      <c r="GV103" s="144"/>
      <c r="GW103" s="144"/>
      <c r="GX103" s="144"/>
      <c r="GY103" s="144"/>
      <c r="GZ103" s="144"/>
      <c r="HA103" s="144"/>
      <c r="HB103" s="144"/>
      <c r="HC103" s="144"/>
      <c r="HD103" s="144"/>
      <c r="HE103" s="144"/>
      <c r="HF103" s="144"/>
      <c r="HG103" s="144"/>
      <c r="HH103" s="144"/>
      <c r="HI103" s="144"/>
      <c r="HJ103" s="144"/>
      <c r="HK103" s="144"/>
      <c r="HL103" s="144"/>
      <c r="HM103" s="144"/>
      <c r="HN103" s="144"/>
      <c r="HO103" s="144"/>
      <c r="HP103" s="144"/>
      <c r="HQ103" s="144"/>
      <c r="HR103" s="144"/>
      <c r="HS103" s="144"/>
      <c r="HT103" s="144"/>
      <c r="HU103" s="144"/>
      <c r="HV103" s="144"/>
      <c r="HW103" s="144"/>
      <c r="HX103" s="144"/>
      <c r="HY103" s="144"/>
      <c r="HZ103" s="144"/>
      <c r="IA103" s="144"/>
      <c r="IB103" s="144"/>
      <c r="IC103" s="144"/>
      <c r="ID103" s="144"/>
      <c r="IE103" s="144"/>
      <c r="IF103" s="144"/>
      <c r="IG103" s="144"/>
    </row>
    <row r="104" spans="1:241" ht="14.15" customHeight="1">
      <c r="A104" s="144"/>
      <c r="B104" s="143"/>
      <c r="C104" s="143"/>
      <c r="D104" s="143"/>
      <c r="E104" s="143"/>
      <c r="F104" s="143"/>
      <c r="G104" s="143"/>
      <c r="H104" s="143"/>
      <c r="I104" s="143"/>
      <c r="J104" s="143"/>
      <c r="K104" s="143"/>
      <c r="M104" s="1120"/>
      <c r="N104" s="1120"/>
      <c r="O104" s="582"/>
      <c r="P104" s="582"/>
      <c r="Q104" s="582"/>
      <c r="R104" s="582"/>
      <c r="T104" s="583"/>
      <c r="U104" s="582"/>
      <c r="V104" s="582"/>
      <c r="W104" s="582"/>
      <c r="X104" s="582"/>
      <c r="Y104" s="582"/>
      <c r="Z104" s="582"/>
      <c r="AA104" s="582"/>
      <c r="AB104" s="582"/>
      <c r="AC104" s="582"/>
      <c r="AD104" s="582"/>
      <c r="AE104" s="582"/>
      <c r="AF104" s="582"/>
      <c r="AG104" s="582"/>
      <c r="AH104" s="582"/>
      <c r="AI104" s="582"/>
      <c r="AJ104" s="582"/>
      <c r="AK104" s="582"/>
      <c r="AL104" s="582"/>
      <c r="AM104" s="582"/>
      <c r="AN104" s="582"/>
      <c r="AO104" s="582"/>
      <c r="AP104" s="582"/>
      <c r="AQ104" s="144"/>
      <c r="AR104" s="144"/>
      <c r="AS104" s="144"/>
      <c r="AT104" s="144"/>
      <c r="AU104" s="144"/>
      <c r="AV104" s="144"/>
      <c r="AW104" s="144"/>
      <c r="AX104" s="144"/>
      <c r="AY104" s="144"/>
      <c r="AZ104" s="144"/>
      <c r="BA104" s="144"/>
      <c r="BB104" s="144"/>
      <c r="BC104" s="144"/>
      <c r="BD104" s="144"/>
      <c r="BE104" s="144"/>
      <c r="BF104" s="144"/>
      <c r="BG104" s="144"/>
      <c r="BH104" s="144"/>
      <c r="BI104" s="144"/>
      <c r="BJ104" s="144"/>
      <c r="BK104" s="144"/>
      <c r="BL104" s="144"/>
      <c r="BM104" s="144"/>
      <c r="BN104" s="144"/>
      <c r="BO104" s="144"/>
      <c r="BP104" s="144"/>
      <c r="BQ104" s="144"/>
      <c r="BR104" s="144"/>
      <c r="BS104" s="144"/>
      <c r="BT104" s="144"/>
      <c r="BU104" s="144"/>
      <c r="BV104" s="144"/>
      <c r="BW104" s="144"/>
      <c r="BX104" s="144"/>
      <c r="BY104" s="144"/>
      <c r="BZ104" s="144"/>
      <c r="CA104" s="144"/>
      <c r="CB104" s="144"/>
      <c r="CC104" s="144"/>
      <c r="CD104" s="144"/>
      <c r="CE104" s="144"/>
      <c r="CF104" s="144"/>
      <c r="CG104" s="144"/>
      <c r="CH104" s="144"/>
      <c r="CI104" s="144"/>
      <c r="CJ104" s="144"/>
      <c r="CK104" s="144"/>
      <c r="CL104" s="144"/>
      <c r="CM104" s="144"/>
      <c r="CN104" s="144"/>
      <c r="CO104" s="144"/>
      <c r="CP104" s="144"/>
      <c r="CQ104" s="144"/>
      <c r="CR104" s="144"/>
      <c r="CS104" s="144"/>
      <c r="CT104" s="144"/>
      <c r="CU104" s="144"/>
      <c r="CV104" s="144"/>
      <c r="CW104" s="144"/>
      <c r="CX104" s="144"/>
      <c r="CY104" s="144"/>
      <c r="CZ104" s="144"/>
      <c r="DA104" s="144"/>
      <c r="DB104" s="144"/>
      <c r="DC104" s="144"/>
      <c r="DD104" s="144"/>
      <c r="DE104" s="144"/>
      <c r="DF104" s="144"/>
      <c r="DG104" s="144"/>
      <c r="DH104" s="144"/>
      <c r="DI104" s="144"/>
      <c r="DJ104" s="144"/>
      <c r="DK104" s="144"/>
      <c r="DL104" s="144"/>
      <c r="DM104" s="144"/>
      <c r="DN104" s="144"/>
      <c r="DO104" s="144"/>
      <c r="DP104" s="144"/>
      <c r="DQ104" s="144"/>
      <c r="DR104" s="144"/>
      <c r="DS104" s="144"/>
      <c r="DT104" s="144"/>
      <c r="DU104" s="144"/>
      <c r="DV104" s="144"/>
      <c r="DW104" s="144"/>
      <c r="DX104" s="144"/>
      <c r="DY104" s="144"/>
      <c r="DZ104" s="144"/>
      <c r="EA104" s="144"/>
      <c r="EB104" s="144"/>
      <c r="EC104" s="144"/>
      <c r="ED104" s="144"/>
      <c r="EE104" s="144"/>
      <c r="EF104" s="144"/>
      <c r="EG104" s="144"/>
      <c r="EH104" s="144"/>
      <c r="EI104" s="144"/>
      <c r="EJ104" s="144"/>
      <c r="EK104" s="144"/>
      <c r="EL104" s="144"/>
      <c r="EM104" s="144"/>
      <c r="EN104" s="144"/>
      <c r="EO104" s="144"/>
      <c r="EP104" s="144"/>
      <c r="EQ104" s="144"/>
      <c r="ER104" s="144"/>
      <c r="ES104" s="144"/>
      <c r="ET104" s="144"/>
      <c r="EU104" s="144"/>
      <c r="EV104" s="144"/>
      <c r="EW104" s="144"/>
      <c r="EX104" s="144"/>
      <c r="EY104" s="144"/>
      <c r="EZ104" s="144"/>
      <c r="FA104" s="144"/>
      <c r="FB104" s="144"/>
      <c r="FC104" s="144"/>
      <c r="FD104" s="144"/>
      <c r="FE104" s="144"/>
      <c r="FF104" s="144"/>
      <c r="FG104" s="144"/>
      <c r="FH104" s="144"/>
      <c r="FI104" s="144"/>
      <c r="FJ104" s="144"/>
      <c r="FK104" s="144"/>
      <c r="FL104" s="144"/>
      <c r="FM104" s="144"/>
      <c r="FN104" s="144"/>
      <c r="FO104" s="144"/>
      <c r="FP104" s="144"/>
      <c r="FQ104" s="144"/>
      <c r="FR104" s="144"/>
      <c r="FS104" s="144"/>
      <c r="FT104" s="144"/>
      <c r="FU104" s="144"/>
      <c r="FV104" s="144"/>
      <c r="FW104" s="144"/>
      <c r="FX104" s="144"/>
      <c r="FY104" s="144"/>
      <c r="FZ104" s="144"/>
      <c r="GA104" s="144"/>
      <c r="GB104" s="144"/>
      <c r="GC104" s="144"/>
      <c r="GD104" s="144"/>
      <c r="GE104" s="144"/>
      <c r="GF104" s="144"/>
      <c r="GG104" s="144"/>
      <c r="GH104" s="144"/>
      <c r="GI104" s="144"/>
      <c r="GJ104" s="144"/>
      <c r="GK104" s="144"/>
      <c r="GL104" s="144"/>
      <c r="GM104" s="144"/>
      <c r="GN104" s="144"/>
      <c r="GO104" s="144"/>
      <c r="GP104" s="144"/>
      <c r="GQ104" s="144"/>
      <c r="GR104" s="144"/>
      <c r="GS104" s="144"/>
      <c r="GT104" s="144"/>
      <c r="GU104" s="144"/>
      <c r="GV104" s="144"/>
      <c r="GW104" s="144"/>
      <c r="GX104" s="144"/>
      <c r="GY104" s="144"/>
      <c r="GZ104" s="144"/>
      <c r="HA104" s="144"/>
      <c r="HB104" s="144"/>
      <c r="HC104" s="144"/>
      <c r="HD104" s="144"/>
      <c r="HE104" s="144"/>
      <c r="HF104" s="144"/>
      <c r="HG104" s="144"/>
      <c r="HH104" s="144"/>
      <c r="HI104" s="144"/>
      <c r="HJ104" s="144"/>
      <c r="HK104" s="144"/>
      <c r="HL104" s="144"/>
      <c r="HM104" s="144"/>
      <c r="HN104" s="144"/>
      <c r="HO104" s="144"/>
      <c r="HP104" s="144"/>
      <c r="HQ104" s="144"/>
      <c r="HR104" s="144"/>
      <c r="HS104" s="144"/>
      <c r="HT104" s="144"/>
      <c r="HU104" s="144"/>
      <c r="HV104" s="144"/>
      <c r="HW104" s="144"/>
      <c r="HX104" s="144"/>
      <c r="HY104" s="144"/>
      <c r="HZ104" s="144"/>
      <c r="IA104" s="144"/>
      <c r="IB104" s="144"/>
      <c r="IC104" s="144"/>
      <c r="ID104" s="144"/>
      <c r="IE104" s="144"/>
      <c r="IF104" s="144"/>
      <c r="IG104" s="144"/>
    </row>
    <row r="105" spans="1:241" ht="14.15" customHeight="1">
      <c r="A105" s="144"/>
      <c r="B105" s="143"/>
      <c r="C105" s="143"/>
      <c r="D105" s="143"/>
      <c r="E105" s="143"/>
      <c r="F105" s="143"/>
      <c r="G105" s="143"/>
      <c r="H105" s="143"/>
      <c r="I105" s="143"/>
      <c r="J105" s="143"/>
      <c r="K105" s="143"/>
      <c r="M105" s="1120"/>
      <c r="N105" s="1120"/>
      <c r="O105" s="582"/>
      <c r="P105" s="582"/>
      <c r="Q105" s="582"/>
      <c r="R105" s="582"/>
      <c r="T105" s="583"/>
      <c r="U105" s="582"/>
      <c r="V105" s="582"/>
      <c r="W105" s="582"/>
      <c r="X105" s="582"/>
      <c r="Y105" s="582"/>
      <c r="Z105" s="582"/>
      <c r="AA105" s="582"/>
      <c r="AB105" s="582"/>
      <c r="AC105" s="582"/>
      <c r="AD105" s="582"/>
      <c r="AE105" s="582"/>
      <c r="AF105" s="582"/>
      <c r="AG105" s="582"/>
      <c r="AH105" s="582"/>
      <c r="AI105" s="582"/>
      <c r="AJ105" s="582"/>
      <c r="AK105" s="582"/>
      <c r="AL105" s="582"/>
      <c r="AM105" s="582"/>
      <c r="AN105" s="582"/>
      <c r="AO105" s="582"/>
      <c r="AP105" s="582"/>
      <c r="AQ105" s="144"/>
      <c r="AR105" s="144"/>
      <c r="AS105" s="144"/>
      <c r="AT105" s="144"/>
      <c r="AU105" s="144"/>
      <c r="AV105" s="144"/>
      <c r="AW105" s="144"/>
      <c r="AX105" s="144"/>
      <c r="AY105" s="144"/>
      <c r="AZ105" s="144"/>
      <c r="BA105" s="144"/>
      <c r="BB105" s="144"/>
      <c r="BC105" s="144"/>
      <c r="BD105" s="144"/>
      <c r="BE105" s="144"/>
      <c r="BF105" s="144"/>
      <c r="BG105" s="144"/>
      <c r="BH105" s="144"/>
      <c r="BI105" s="144"/>
      <c r="BJ105" s="144"/>
      <c r="BK105" s="144"/>
      <c r="BL105" s="144"/>
      <c r="BM105" s="144"/>
      <c r="BN105" s="144"/>
      <c r="BO105" s="144"/>
      <c r="BP105" s="144"/>
      <c r="BQ105" s="144"/>
      <c r="BR105" s="144"/>
      <c r="BS105" s="144"/>
      <c r="BT105" s="144"/>
      <c r="BU105" s="144"/>
      <c r="BV105" s="144"/>
      <c r="BW105" s="144"/>
      <c r="BX105" s="144"/>
      <c r="BY105" s="144"/>
      <c r="BZ105" s="144"/>
      <c r="CA105" s="144"/>
      <c r="CB105" s="144"/>
      <c r="CC105" s="144"/>
      <c r="CD105" s="144"/>
      <c r="CE105" s="144"/>
      <c r="CF105" s="144"/>
      <c r="CG105" s="144"/>
      <c r="CH105" s="144"/>
      <c r="CI105" s="144"/>
      <c r="CJ105" s="144"/>
      <c r="CK105" s="144"/>
      <c r="CL105" s="144"/>
      <c r="CM105" s="144"/>
      <c r="CN105" s="144"/>
      <c r="CO105" s="144"/>
      <c r="CP105" s="144"/>
      <c r="CQ105" s="144"/>
      <c r="CR105" s="144"/>
      <c r="CS105" s="144"/>
      <c r="CT105" s="144"/>
      <c r="CU105" s="144"/>
      <c r="CV105" s="144"/>
      <c r="CW105" s="144"/>
      <c r="CX105" s="144"/>
      <c r="CY105" s="144"/>
      <c r="CZ105" s="144"/>
      <c r="DA105" s="144"/>
      <c r="DB105" s="144"/>
      <c r="DC105" s="144"/>
      <c r="DD105" s="144"/>
      <c r="DE105" s="144"/>
      <c r="DF105" s="144"/>
      <c r="DG105" s="144"/>
      <c r="DH105" s="144"/>
      <c r="DI105" s="144"/>
      <c r="DJ105" s="144"/>
      <c r="DK105" s="144"/>
      <c r="DL105" s="144"/>
      <c r="DM105" s="144"/>
      <c r="DN105" s="144"/>
      <c r="DO105" s="144"/>
      <c r="DP105" s="144"/>
      <c r="DQ105" s="144"/>
      <c r="DR105" s="144"/>
      <c r="DS105" s="144"/>
      <c r="DT105" s="144"/>
      <c r="DU105" s="144"/>
      <c r="DV105" s="144"/>
      <c r="DW105" s="144"/>
      <c r="DX105" s="144"/>
      <c r="DY105" s="144"/>
      <c r="DZ105" s="144"/>
      <c r="EA105" s="144"/>
      <c r="EB105" s="144"/>
      <c r="EC105" s="144"/>
      <c r="ED105" s="144"/>
      <c r="EE105" s="144"/>
      <c r="EF105" s="144"/>
      <c r="EG105" s="144"/>
      <c r="EH105" s="144"/>
      <c r="EI105" s="144"/>
      <c r="EJ105" s="144"/>
      <c r="EK105" s="144"/>
      <c r="EL105" s="144"/>
      <c r="EM105" s="144"/>
      <c r="EN105" s="144"/>
      <c r="EO105" s="144"/>
      <c r="EP105" s="144"/>
      <c r="EQ105" s="144"/>
      <c r="ER105" s="144"/>
      <c r="ES105" s="144"/>
      <c r="ET105" s="144"/>
      <c r="EU105" s="144"/>
      <c r="EV105" s="144"/>
      <c r="EW105" s="144"/>
      <c r="EX105" s="144"/>
      <c r="EY105" s="144"/>
      <c r="EZ105" s="144"/>
      <c r="FA105" s="144"/>
      <c r="FB105" s="144"/>
      <c r="FC105" s="144"/>
      <c r="FD105" s="144"/>
      <c r="FE105" s="144"/>
      <c r="FF105" s="144"/>
      <c r="FG105" s="144"/>
      <c r="FH105" s="144"/>
      <c r="FI105" s="144"/>
      <c r="FJ105" s="144"/>
      <c r="FK105" s="144"/>
      <c r="FL105" s="144"/>
      <c r="FM105" s="144"/>
      <c r="FN105" s="144"/>
      <c r="FO105" s="144"/>
      <c r="FP105" s="144"/>
      <c r="FQ105" s="144"/>
      <c r="FR105" s="144"/>
      <c r="FS105" s="144"/>
      <c r="FT105" s="144"/>
      <c r="FU105" s="144"/>
      <c r="FV105" s="144"/>
      <c r="FW105" s="144"/>
      <c r="FX105" s="144"/>
      <c r="FY105" s="144"/>
      <c r="FZ105" s="144"/>
      <c r="GA105" s="144"/>
      <c r="GB105" s="144"/>
      <c r="GC105" s="144"/>
      <c r="GD105" s="144"/>
      <c r="GE105" s="144"/>
      <c r="GF105" s="144"/>
      <c r="GG105" s="144"/>
      <c r="GH105" s="144"/>
      <c r="GI105" s="144"/>
      <c r="GJ105" s="144"/>
      <c r="GK105" s="144"/>
      <c r="GL105" s="144"/>
      <c r="GM105" s="144"/>
      <c r="GN105" s="144"/>
      <c r="GO105" s="144"/>
      <c r="GP105" s="144"/>
      <c r="GQ105" s="144"/>
      <c r="GR105" s="144"/>
      <c r="GS105" s="144"/>
      <c r="GT105" s="144"/>
      <c r="GU105" s="144"/>
      <c r="GV105" s="144"/>
      <c r="GW105" s="144"/>
      <c r="GX105" s="144"/>
      <c r="GY105" s="144"/>
      <c r="GZ105" s="144"/>
      <c r="HA105" s="144"/>
      <c r="HB105" s="144"/>
      <c r="HC105" s="144"/>
      <c r="HD105" s="144"/>
      <c r="HE105" s="144"/>
      <c r="HF105" s="144"/>
      <c r="HG105" s="144"/>
      <c r="HH105" s="144"/>
      <c r="HI105" s="144"/>
      <c r="HJ105" s="144"/>
      <c r="HK105" s="144"/>
      <c r="HL105" s="144"/>
      <c r="HM105" s="144"/>
      <c r="HN105" s="144"/>
      <c r="HO105" s="144"/>
      <c r="HP105" s="144"/>
      <c r="HQ105" s="144"/>
      <c r="HR105" s="144"/>
      <c r="HS105" s="144"/>
      <c r="HT105" s="144"/>
      <c r="HU105" s="144"/>
      <c r="HV105" s="144"/>
      <c r="HW105" s="144"/>
      <c r="HX105" s="144"/>
      <c r="HY105" s="144"/>
      <c r="HZ105" s="144"/>
      <c r="IA105" s="144"/>
      <c r="IB105" s="144"/>
      <c r="IC105" s="144"/>
      <c r="ID105" s="144"/>
      <c r="IE105" s="144"/>
      <c r="IF105" s="144"/>
      <c r="IG105" s="144"/>
    </row>
    <row r="106" spans="1:241" ht="14.15" customHeight="1">
      <c r="A106" s="144"/>
      <c r="B106" s="143"/>
      <c r="C106" s="143"/>
      <c r="D106" s="143"/>
      <c r="E106" s="143"/>
      <c r="F106" s="143"/>
      <c r="G106" s="143"/>
      <c r="H106" s="143"/>
      <c r="I106" s="143"/>
      <c r="J106" s="143"/>
      <c r="K106" s="143"/>
      <c r="M106" s="1120"/>
      <c r="N106" s="1120"/>
      <c r="O106" s="582"/>
      <c r="P106" s="582"/>
      <c r="Q106" s="582"/>
      <c r="R106" s="582"/>
      <c r="T106" s="583"/>
      <c r="U106" s="582"/>
      <c r="V106" s="582"/>
      <c r="W106" s="582"/>
      <c r="X106" s="582"/>
      <c r="Y106" s="582"/>
      <c r="Z106" s="582"/>
      <c r="AA106" s="582"/>
      <c r="AB106" s="582"/>
      <c r="AC106" s="582"/>
      <c r="AD106" s="582"/>
      <c r="AE106" s="582"/>
      <c r="AF106" s="582"/>
      <c r="AG106" s="582"/>
      <c r="AH106" s="582"/>
      <c r="AI106" s="582"/>
      <c r="AJ106" s="582"/>
      <c r="AK106" s="582"/>
      <c r="AL106" s="582"/>
      <c r="AM106" s="582"/>
      <c r="AN106" s="582"/>
      <c r="AO106" s="582"/>
      <c r="AP106" s="582"/>
      <c r="AQ106" s="144"/>
      <c r="AR106" s="144"/>
      <c r="AS106" s="144"/>
      <c r="AT106" s="144"/>
      <c r="AU106" s="144"/>
      <c r="AV106" s="144"/>
      <c r="AW106" s="144"/>
      <c r="AX106" s="144"/>
      <c r="AY106" s="144"/>
      <c r="AZ106" s="144"/>
      <c r="BA106" s="144"/>
      <c r="BB106" s="144"/>
      <c r="BC106" s="144"/>
      <c r="BD106" s="144"/>
      <c r="BE106" s="144"/>
      <c r="BF106" s="144"/>
      <c r="BG106" s="144"/>
      <c r="BH106" s="144"/>
      <c r="BI106" s="144"/>
      <c r="BJ106" s="144"/>
      <c r="BK106" s="144"/>
      <c r="BL106" s="144"/>
      <c r="BM106" s="144"/>
      <c r="BN106" s="144"/>
      <c r="BO106" s="144"/>
      <c r="BP106" s="144"/>
      <c r="BQ106" s="144"/>
      <c r="BR106" s="144"/>
      <c r="BS106" s="144"/>
      <c r="BT106" s="144"/>
      <c r="BU106" s="144"/>
      <c r="BV106" s="144"/>
      <c r="BW106" s="144"/>
      <c r="BX106" s="144"/>
      <c r="BY106" s="144"/>
      <c r="BZ106" s="144"/>
      <c r="CA106" s="144"/>
      <c r="CB106" s="144"/>
      <c r="CC106" s="144"/>
      <c r="CD106" s="144"/>
      <c r="CE106" s="144"/>
      <c r="CF106" s="144"/>
      <c r="CG106" s="144"/>
      <c r="CH106" s="144"/>
      <c r="CI106" s="144"/>
      <c r="CJ106" s="144"/>
      <c r="CK106" s="144"/>
      <c r="CL106" s="144"/>
      <c r="CM106" s="144"/>
      <c r="CN106" s="144"/>
      <c r="CO106" s="144"/>
      <c r="CP106" s="144"/>
      <c r="CQ106" s="144"/>
      <c r="CR106" s="144"/>
      <c r="CS106" s="144"/>
      <c r="CT106" s="144"/>
      <c r="CU106" s="144"/>
      <c r="CV106" s="144"/>
      <c r="CW106" s="144"/>
      <c r="CX106" s="144"/>
      <c r="CY106" s="144"/>
      <c r="CZ106" s="144"/>
      <c r="DA106" s="144"/>
      <c r="DB106" s="144"/>
      <c r="DC106" s="144"/>
      <c r="DD106" s="144"/>
      <c r="DE106" s="144"/>
      <c r="DF106" s="144"/>
      <c r="DG106" s="144"/>
      <c r="DH106" s="144"/>
      <c r="DI106" s="144"/>
      <c r="DJ106" s="144"/>
      <c r="DK106" s="144"/>
      <c r="DL106" s="144"/>
      <c r="DM106" s="144"/>
      <c r="DN106" s="144"/>
      <c r="DO106" s="144"/>
      <c r="DP106" s="144"/>
      <c r="DQ106" s="144"/>
      <c r="DR106" s="144"/>
      <c r="DS106" s="144"/>
      <c r="DT106" s="144"/>
      <c r="DU106" s="144"/>
      <c r="DV106" s="144"/>
      <c r="DW106" s="144"/>
      <c r="DX106" s="144"/>
      <c r="DY106" s="144"/>
      <c r="DZ106" s="144"/>
      <c r="EA106" s="144"/>
      <c r="EB106" s="144"/>
      <c r="EC106" s="144"/>
      <c r="ED106" s="144"/>
      <c r="EE106" s="144"/>
      <c r="EF106" s="144"/>
      <c r="EG106" s="144"/>
      <c r="EH106" s="144"/>
      <c r="EI106" s="144"/>
      <c r="EJ106" s="144"/>
      <c r="EK106" s="144"/>
      <c r="EL106" s="144"/>
      <c r="EM106" s="144"/>
      <c r="EN106" s="144"/>
      <c r="EO106" s="144"/>
      <c r="EP106" s="144"/>
      <c r="EQ106" s="144"/>
      <c r="ER106" s="144"/>
      <c r="ES106" s="144"/>
      <c r="ET106" s="144"/>
      <c r="EU106" s="144"/>
      <c r="EV106" s="144"/>
      <c r="EW106" s="144"/>
      <c r="EX106" s="144"/>
      <c r="EY106" s="144"/>
      <c r="EZ106" s="144"/>
      <c r="FA106" s="144"/>
      <c r="FB106" s="144"/>
      <c r="FC106" s="144"/>
      <c r="FD106" s="144"/>
      <c r="FE106" s="144"/>
      <c r="FF106" s="144"/>
      <c r="FG106" s="144"/>
      <c r="FH106" s="144"/>
      <c r="FI106" s="144"/>
      <c r="FJ106" s="144"/>
      <c r="FK106" s="144"/>
      <c r="FL106" s="144"/>
      <c r="FM106" s="144"/>
      <c r="FN106" s="144"/>
      <c r="FO106" s="144"/>
      <c r="FP106" s="144"/>
      <c r="FQ106" s="144"/>
      <c r="FR106" s="144"/>
      <c r="FS106" s="144"/>
      <c r="FT106" s="144"/>
      <c r="FU106" s="144"/>
      <c r="FV106" s="144"/>
      <c r="FW106" s="144"/>
      <c r="FX106" s="144"/>
      <c r="FY106" s="144"/>
      <c r="FZ106" s="144"/>
      <c r="GA106" s="144"/>
      <c r="GB106" s="144"/>
      <c r="GC106" s="144"/>
      <c r="GD106" s="144"/>
      <c r="GE106" s="144"/>
      <c r="GF106" s="144"/>
      <c r="GG106" s="144"/>
      <c r="GH106" s="144"/>
      <c r="GI106" s="144"/>
      <c r="GJ106" s="144"/>
      <c r="GK106" s="144"/>
      <c r="GL106" s="144"/>
      <c r="GM106" s="144"/>
      <c r="GN106" s="144"/>
      <c r="GO106" s="144"/>
      <c r="GP106" s="144"/>
      <c r="GQ106" s="144"/>
      <c r="GR106" s="144"/>
      <c r="GS106" s="144"/>
      <c r="GT106" s="144"/>
      <c r="GU106" s="144"/>
      <c r="GV106" s="144"/>
      <c r="GW106" s="144"/>
      <c r="GX106" s="144"/>
      <c r="GY106" s="144"/>
      <c r="GZ106" s="144"/>
      <c r="HA106" s="144"/>
      <c r="HB106" s="144"/>
      <c r="HC106" s="144"/>
      <c r="HD106" s="144"/>
      <c r="HE106" s="144"/>
      <c r="HF106" s="144"/>
      <c r="HG106" s="144"/>
      <c r="HH106" s="144"/>
      <c r="HI106" s="144"/>
      <c r="HJ106" s="144"/>
      <c r="HK106" s="144"/>
      <c r="HL106" s="144"/>
      <c r="HM106" s="144"/>
      <c r="HN106" s="144"/>
      <c r="HO106" s="144"/>
      <c r="HP106" s="144"/>
      <c r="HQ106" s="144"/>
      <c r="HR106" s="144"/>
      <c r="HS106" s="144"/>
      <c r="HT106" s="144"/>
      <c r="HU106" s="144"/>
      <c r="HV106" s="144"/>
      <c r="HW106" s="144"/>
      <c r="HX106" s="144"/>
      <c r="HY106" s="144"/>
      <c r="HZ106" s="144"/>
      <c r="IA106" s="144"/>
      <c r="IB106" s="144"/>
      <c r="IC106" s="144"/>
      <c r="ID106" s="144"/>
      <c r="IE106" s="144"/>
      <c r="IF106" s="144"/>
      <c r="IG106" s="144"/>
    </row>
    <row r="107" spans="1:241" ht="14.15" customHeight="1">
      <c r="A107" s="144"/>
      <c r="B107" s="143"/>
      <c r="C107" s="143"/>
      <c r="D107" s="143"/>
      <c r="E107" s="143"/>
      <c r="F107" s="143"/>
      <c r="G107" s="143"/>
      <c r="H107" s="143"/>
      <c r="I107" s="143"/>
      <c r="J107" s="143"/>
      <c r="K107" s="143"/>
      <c r="M107" s="1120"/>
      <c r="N107" s="1120"/>
      <c r="O107" s="582"/>
      <c r="P107" s="582"/>
      <c r="Q107" s="582"/>
      <c r="R107" s="582"/>
      <c r="T107" s="583"/>
      <c r="U107" s="582"/>
      <c r="V107" s="582"/>
      <c r="W107" s="582"/>
      <c r="X107" s="582"/>
      <c r="Y107" s="582"/>
      <c r="Z107" s="582"/>
      <c r="AA107" s="582"/>
      <c r="AB107" s="582"/>
      <c r="AC107" s="582"/>
      <c r="AD107" s="582"/>
      <c r="AE107" s="582"/>
      <c r="AF107" s="582"/>
      <c r="AG107" s="582"/>
      <c r="AH107" s="582"/>
      <c r="AI107" s="582"/>
      <c r="AJ107" s="582"/>
      <c r="AK107" s="582"/>
      <c r="AL107" s="582"/>
      <c r="AM107" s="582"/>
      <c r="AN107" s="582"/>
      <c r="AO107" s="582"/>
      <c r="AP107" s="582"/>
      <c r="AQ107" s="144"/>
      <c r="AR107" s="144"/>
      <c r="AS107" s="144"/>
      <c r="AT107" s="144"/>
      <c r="AU107" s="144"/>
      <c r="AV107" s="144"/>
      <c r="AW107" s="144"/>
      <c r="AX107" s="144"/>
      <c r="AY107" s="144"/>
      <c r="AZ107" s="144"/>
      <c r="BA107" s="144"/>
      <c r="BB107" s="144"/>
      <c r="BC107" s="144"/>
      <c r="BD107" s="144"/>
      <c r="BE107" s="144"/>
      <c r="BF107" s="144"/>
      <c r="BG107" s="144"/>
      <c r="BH107" s="144"/>
      <c r="BI107" s="144"/>
      <c r="BJ107" s="144"/>
      <c r="BK107" s="144"/>
      <c r="BL107" s="144"/>
      <c r="BM107" s="144"/>
      <c r="BN107" s="144"/>
      <c r="BO107" s="144"/>
      <c r="BP107" s="144"/>
      <c r="BQ107" s="144"/>
      <c r="BR107" s="144"/>
      <c r="BS107" s="144"/>
      <c r="BT107" s="144"/>
      <c r="BU107" s="144"/>
      <c r="BV107" s="144"/>
      <c r="BW107" s="144"/>
      <c r="BX107" s="144"/>
      <c r="BY107" s="144"/>
      <c r="BZ107" s="144"/>
      <c r="CA107" s="144"/>
      <c r="CB107" s="144"/>
      <c r="CC107" s="144"/>
      <c r="CD107" s="144"/>
      <c r="CE107" s="144"/>
      <c r="CF107" s="144"/>
      <c r="CG107" s="144"/>
      <c r="CH107" s="144"/>
      <c r="CI107" s="144"/>
      <c r="CJ107" s="144"/>
      <c r="CK107" s="144"/>
      <c r="CL107" s="144"/>
      <c r="CM107" s="144"/>
      <c r="CN107" s="144"/>
      <c r="CO107" s="144"/>
      <c r="CP107" s="144"/>
      <c r="CQ107" s="144"/>
      <c r="CR107" s="144"/>
      <c r="CS107" s="144"/>
      <c r="CT107" s="144"/>
      <c r="CU107" s="144"/>
      <c r="CV107" s="144"/>
      <c r="CW107" s="144"/>
      <c r="CX107" s="144"/>
      <c r="CY107" s="144"/>
      <c r="CZ107" s="144"/>
      <c r="DA107" s="144"/>
      <c r="DB107" s="144"/>
      <c r="DC107" s="144"/>
      <c r="DD107" s="144"/>
      <c r="DE107" s="144"/>
      <c r="DF107" s="144"/>
      <c r="DG107" s="144"/>
      <c r="DH107" s="144"/>
      <c r="DI107" s="144"/>
      <c r="DJ107" s="144"/>
      <c r="DK107" s="144"/>
      <c r="DL107" s="144"/>
      <c r="DM107" s="144"/>
      <c r="DN107" s="144"/>
      <c r="DO107" s="144"/>
      <c r="DP107" s="144"/>
      <c r="DQ107" s="144"/>
      <c r="DR107" s="144"/>
      <c r="DS107" s="144"/>
      <c r="DT107" s="144"/>
      <c r="DU107" s="144"/>
      <c r="DV107" s="144"/>
      <c r="DW107" s="144"/>
      <c r="DX107" s="144"/>
      <c r="DY107" s="144"/>
      <c r="DZ107" s="144"/>
      <c r="EA107" s="144"/>
      <c r="EB107" s="144"/>
      <c r="EC107" s="144"/>
      <c r="ED107" s="144"/>
      <c r="EE107" s="144"/>
      <c r="EF107" s="144"/>
      <c r="EG107" s="144"/>
      <c r="EH107" s="144"/>
      <c r="EI107" s="144"/>
      <c r="EJ107" s="144"/>
      <c r="EK107" s="144"/>
      <c r="EL107" s="144"/>
      <c r="EM107" s="144"/>
      <c r="EN107" s="144"/>
      <c r="EO107" s="144"/>
      <c r="EP107" s="144"/>
      <c r="EQ107" s="144"/>
      <c r="ER107" s="144"/>
      <c r="ES107" s="144"/>
      <c r="ET107" s="144"/>
      <c r="EU107" s="144"/>
      <c r="EV107" s="144"/>
      <c r="EW107" s="144"/>
      <c r="EX107" s="144"/>
      <c r="EY107" s="144"/>
      <c r="EZ107" s="144"/>
      <c r="FA107" s="144"/>
      <c r="FB107" s="144"/>
      <c r="FC107" s="144"/>
      <c r="FD107" s="144"/>
      <c r="FE107" s="144"/>
      <c r="FF107" s="144"/>
      <c r="FG107" s="144"/>
      <c r="FH107" s="144"/>
      <c r="FI107" s="144"/>
      <c r="FJ107" s="144"/>
      <c r="FK107" s="144"/>
      <c r="FL107" s="144"/>
      <c r="FM107" s="144"/>
      <c r="FN107" s="144"/>
      <c r="FO107" s="144"/>
      <c r="FP107" s="144"/>
      <c r="FQ107" s="144"/>
      <c r="FR107" s="144"/>
      <c r="FS107" s="144"/>
      <c r="FT107" s="144"/>
      <c r="FU107" s="144"/>
      <c r="FV107" s="144"/>
      <c r="FW107" s="144"/>
      <c r="FX107" s="144"/>
      <c r="FY107" s="144"/>
      <c r="FZ107" s="144"/>
      <c r="GA107" s="144"/>
      <c r="GB107" s="144"/>
      <c r="GC107" s="144"/>
      <c r="GD107" s="144"/>
      <c r="GE107" s="144"/>
      <c r="GF107" s="144"/>
      <c r="GG107" s="144"/>
      <c r="GH107" s="144"/>
      <c r="GI107" s="144"/>
      <c r="GJ107" s="144"/>
      <c r="GK107" s="144"/>
      <c r="GL107" s="144"/>
      <c r="GM107" s="144"/>
      <c r="GN107" s="144"/>
      <c r="GO107" s="144"/>
      <c r="GP107" s="144"/>
      <c r="GQ107" s="144"/>
      <c r="GR107" s="144"/>
      <c r="GS107" s="144"/>
      <c r="GT107" s="144"/>
      <c r="GU107" s="144"/>
      <c r="GV107" s="144"/>
      <c r="GW107" s="144"/>
      <c r="GX107" s="144"/>
      <c r="GY107" s="144"/>
      <c r="GZ107" s="144"/>
      <c r="HA107" s="144"/>
      <c r="HB107" s="144"/>
      <c r="HC107" s="144"/>
      <c r="HD107" s="144"/>
      <c r="HE107" s="144"/>
      <c r="HF107" s="144"/>
      <c r="HG107" s="144"/>
      <c r="HH107" s="144"/>
      <c r="HI107" s="144"/>
      <c r="HJ107" s="144"/>
      <c r="HK107" s="144"/>
      <c r="HL107" s="144"/>
      <c r="HM107" s="144"/>
      <c r="HN107" s="144"/>
      <c r="HO107" s="144"/>
      <c r="HP107" s="144"/>
      <c r="HQ107" s="144"/>
      <c r="HR107" s="144"/>
      <c r="HS107" s="144"/>
      <c r="HT107" s="144"/>
      <c r="HU107" s="144"/>
      <c r="HV107" s="144"/>
      <c r="HW107" s="144"/>
      <c r="HX107" s="144"/>
      <c r="HY107" s="144"/>
      <c r="HZ107" s="144"/>
      <c r="IA107" s="144"/>
      <c r="IB107" s="144"/>
      <c r="IC107" s="144"/>
      <c r="ID107" s="144"/>
      <c r="IE107" s="144"/>
      <c r="IF107" s="144"/>
      <c r="IG107" s="144"/>
    </row>
    <row r="108" spans="1:241" ht="14.15" customHeight="1">
      <c r="A108" s="144"/>
      <c r="B108" s="143"/>
      <c r="C108" s="143"/>
      <c r="D108" s="143"/>
      <c r="E108" s="143"/>
      <c r="F108" s="143"/>
      <c r="G108" s="143"/>
      <c r="H108" s="143"/>
      <c r="I108" s="143"/>
      <c r="J108" s="143"/>
      <c r="K108" s="143"/>
      <c r="M108" s="1120"/>
      <c r="N108" s="1120"/>
      <c r="O108" s="582"/>
      <c r="P108" s="582"/>
      <c r="Q108" s="582"/>
      <c r="R108" s="582"/>
      <c r="T108" s="583"/>
      <c r="U108" s="582"/>
      <c r="V108" s="582"/>
      <c r="W108" s="582"/>
      <c r="X108" s="582"/>
      <c r="Y108" s="582"/>
      <c r="Z108" s="582"/>
      <c r="AA108" s="582"/>
      <c r="AB108" s="582"/>
      <c r="AC108" s="582"/>
      <c r="AD108" s="582"/>
      <c r="AE108" s="582"/>
      <c r="AF108" s="582"/>
      <c r="AG108" s="582"/>
      <c r="AH108" s="582"/>
      <c r="AI108" s="582"/>
      <c r="AJ108" s="582"/>
      <c r="AK108" s="582"/>
      <c r="AL108" s="582"/>
      <c r="AM108" s="582"/>
      <c r="AN108" s="582"/>
      <c r="AO108" s="582"/>
      <c r="AP108" s="582"/>
      <c r="AQ108" s="144"/>
      <c r="AR108" s="144"/>
      <c r="AS108" s="144"/>
      <c r="AT108" s="144"/>
      <c r="AU108" s="144"/>
      <c r="AV108" s="144"/>
      <c r="AW108" s="144"/>
      <c r="AX108" s="144"/>
      <c r="AY108" s="144"/>
      <c r="AZ108" s="144"/>
      <c r="BA108" s="144"/>
      <c r="BB108" s="144"/>
      <c r="BC108" s="144"/>
      <c r="BD108" s="144"/>
      <c r="BE108" s="144"/>
      <c r="BF108" s="144"/>
      <c r="BG108" s="144"/>
      <c r="BH108" s="144"/>
      <c r="BI108" s="144"/>
      <c r="BJ108" s="144"/>
      <c r="BK108" s="144"/>
      <c r="BL108" s="144"/>
      <c r="BM108" s="144"/>
      <c r="BN108" s="144"/>
      <c r="BO108" s="144"/>
      <c r="BP108" s="144"/>
      <c r="BQ108" s="144"/>
      <c r="BR108" s="144"/>
      <c r="BS108" s="144"/>
      <c r="BT108" s="144"/>
      <c r="BU108" s="144"/>
      <c r="BV108" s="144"/>
      <c r="BW108" s="144"/>
      <c r="BX108" s="144"/>
      <c r="BY108" s="144"/>
      <c r="BZ108" s="144"/>
      <c r="CA108" s="144"/>
      <c r="CB108" s="144"/>
      <c r="CC108" s="144"/>
      <c r="CD108" s="144"/>
      <c r="CE108" s="144"/>
      <c r="CF108" s="144"/>
      <c r="CG108" s="144"/>
      <c r="CH108" s="144"/>
      <c r="CI108" s="144"/>
      <c r="CJ108" s="144"/>
      <c r="CK108" s="144"/>
      <c r="CL108" s="144"/>
      <c r="CM108" s="144"/>
      <c r="CN108" s="144"/>
      <c r="CO108" s="144"/>
      <c r="CP108" s="144"/>
      <c r="CQ108" s="144"/>
      <c r="CR108" s="144"/>
      <c r="CS108" s="144"/>
      <c r="CT108" s="144"/>
      <c r="CU108" s="144"/>
      <c r="CV108" s="144"/>
      <c r="CW108" s="144"/>
      <c r="CX108" s="144"/>
      <c r="CY108" s="144"/>
      <c r="CZ108" s="144"/>
      <c r="DA108" s="144"/>
      <c r="DB108" s="144"/>
      <c r="DC108" s="144"/>
      <c r="DD108" s="144"/>
      <c r="DE108" s="144"/>
      <c r="DF108" s="144"/>
      <c r="DG108" s="144"/>
      <c r="DH108" s="144"/>
      <c r="DI108" s="144"/>
      <c r="DJ108" s="144"/>
      <c r="DK108" s="144"/>
      <c r="DL108" s="144"/>
      <c r="DM108" s="144"/>
      <c r="DN108" s="144"/>
      <c r="DO108" s="144"/>
      <c r="DP108" s="144"/>
      <c r="DQ108" s="144"/>
      <c r="DR108" s="144"/>
      <c r="DS108" s="144"/>
      <c r="DT108" s="144"/>
      <c r="DU108" s="144"/>
      <c r="DV108" s="144"/>
      <c r="DW108" s="144"/>
      <c r="DX108" s="144"/>
      <c r="DY108" s="144"/>
      <c r="DZ108" s="144"/>
      <c r="EA108" s="144"/>
      <c r="EB108" s="144"/>
      <c r="EC108" s="144"/>
      <c r="ED108" s="144"/>
      <c r="EE108" s="144"/>
      <c r="EF108" s="144"/>
      <c r="EG108" s="144"/>
      <c r="EH108" s="144"/>
      <c r="EI108" s="144"/>
      <c r="EJ108" s="144"/>
      <c r="EK108" s="144"/>
      <c r="EL108" s="144"/>
      <c r="EM108" s="144"/>
      <c r="EN108" s="144"/>
      <c r="EO108" s="144"/>
      <c r="EP108" s="144"/>
      <c r="EQ108" s="144"/>
      <c r="ER108" s="144"/>
      <c r="ES108" s="144"/>
      <c r="ET108" s="144"/>
      <c r="EU108" s="144"/>
      <c r="EV108" s="144"/>
      <c r="EW108" s="144"/>
      <c r="EX108" s="144"/>
      <c r="EY108" s="144"/>
      <c r="EZ108" s="144"/>
      <c r="FA108" s="144"/>
      <c r="FB108" s="144"/>
      <c r="FC108" s="144"/>
      <c r="FD108" s="144"/>
      <c r="FE108" s="144"/>
      <c r="FF108" s="144"/>
      <c r="FG108" s="144"/>
      <c r="FH108" s="144"/>
      <c r="FI108" s="144"/>
      <c r="FJ108" s="144"/>
      <c r="FK108" s="144"/>
      <c r="FL108" s="144"/>
      <c r="FM108" s="144"/>
      <c r="FN108" s="144"/>
      <c r="FO108" s="144"/>
      <c r="FP108" s="144"/>
      <c r="FQ108" s="144"/>
      <c r="FR108" s="144"/>
      <c r="FS108" s="144"/>
      <c r="FT108" s="144"/>
      <c r="FU108" s="144"/>
      <c r="FV108" s="144"/>
      <c r="FW108" s="144"/>
      <c r="FX108" s="144"/>
      <c r="FY108" s="144"/>
      <c r="FZ108" s="144"/>
      <c r="GA108" s="144"/>
      <c r="GB108" s="144"/>
      <c r="GC108" s="144"/>
      <c r="GD108" s="144"/>
      <c r="GE108" s="144"/>
      <c r="GF108" s="144"/>
      <c r="GG108" s="144"/>
      <c r="GH108" s="144"/>
      <c r="GI108" s="144"/>
      <c r="GJ108" s="144"/>
      <c r="GK108" s="144"/>
      <c r="GL108" s="144"/>
      <c r="GM108" s="144"/>
      <c r="GN108" s="144"/>
      <c r="GO108" s="144"/>
      <c r="GP108" s="144"/>
      <c r="GQ108" s="144"/>
      <c r="GR108" s="144"/>
      <c r="GS108" s="144"/>
      <c r="GT108" s="144"/>
      <c r="GU108" s="144"/>
      <c r="GV108" s="144"/>
      <c r="GW108" s="144"/>
      <c r="GX108" s="144"/>
      <c r="GY108" s="144"/>
      <c r="GZ108" s="144"/>
      <c r="HA108" s="144"/>
      <c r="HB108" s="144"/>
      <c r="HC108" s="144"/>
      <c r="HD108" s="144"/>
      <c r="HE108" s="144"/>
      <c r="HF108" s="144"/>
      <c r="HG108" s="144"/>
      <c r="HH108" s="144"/>
      <c r="HI108" s="144"/>
      <c r="HJ108" s="144"/>
      <c r="HK108" s="144"/>
      <c r="HL108" s="144"/>
      <c r="HM108" s="144"/>
      <c r="HN108" s="144"/>
      <c r="HO108" s="144"/>
      <c r="HP108" s="144"/>
      <c r="HQ108" s="144"/>
      <c r="HR108" s="144"/>
      <c r="HS108" s="144"/>
      <c r="HT108" s="144"/>
      <c r="HU108" s="144"/>
      <c r="HV108" s="144"/>
      <c r="HW108" s="144"/>
      <c r="HX108" s="144"/>
      <c r="HY108" s="144"/>
      <c r="HZ108" s="144"/>
      <c r="IA108" s="144"/>
      <c r="IB108" s="144"/>
      <c r="IC108" s="144"/>
      <c r="ID108" s="144"/>
      <c r="IE108" s="144"/>
      <c r="IF108" s="144"/>
      <c r="IG108" s="144"/>
    </row>
    <row r="109" spans="1:241" ht="14.15" customHeight="1">
      <c r="A109" s="144"/>
      <c r="B109" s="143"/>
      <c r="C109" s="143"/>
      <c r="D109" s="143"/>
      <c r="E109" s="143"/>
      <c r="F109" s="143"/>
      <c r="G109" s="143"/>
      <c r="H109" s="143"/>
      <c r="I109" s="143"/>
      <c r="J109" s="143"/>
      <c r="K109" s="143"/>
      <c r="M109" s="1120"/>
      <c r="N109" s="1120"/>
      <c r="O109" s="582"/>
      <c r="P109" s="582"/>
      <c r="Q109" s="582"/>
      <c r="R109" s="582"/>
      <c r="T109" s="583"/>
      <c r="U109" s="582"/>
      <c r="V109" s="582"/>
      <c r="W109" s="582"/>
      <c r="X109" s="582"/>
      <c r="Y109" s="582"/>
      <c r="Z109" s="582"/>
      <c r="AA109" s="582"/>
      <c r="AB109" s="582"/>
      <c r="AC109" s="582"/>
      <c r="AD109" s="582"/>
      <c r="AE109" s="582"/>
      <c r="AF109" s="582"/>
      <c r="AG109" s="582"/>
      <c r="AH109" s="582"/>
      <c r="AI109" s="582"/>
      <c r="AJ109" s="582"/>
      <c r="AK109" s="582"/>
      <c r="AL109" s="582"/>
      <c r="AM109" s="582"/>
      <c r="AN109" s="582"/>
      <c r="AO109" s="582"/>
      <c r="AP109" s="582"/>
      <c r="AQ109" s="144"/>
      <c r="AR109" s="144"/>
      <c r="AS109" s="144"/>
      <c r="AT109" s="144"/>
      <c r="AU109" s="144"/>
      <c r="AV109" s="144"/>
      <c r="AW109" s="144"/>
      <c r="AX109" s="144"/>
      <c r="AY109" s="144"/>
      <c r="AZ109" s="144"/>
      <c r="BA109" s="144"/>
      <c r="BB109" s="144"/>
      <c r="BC109" s="144"/>
      <c r="BD109" s="144"/>
      <c r="BE109" s="144"/>
      <c r="BF109" s="144"/>
      <c r="BG109" s="144"/>
      <c r="BH109" s="144"/>
      <c r="BI109" s="144"/>
      <c r="BJ109" s="144"/>
      <c r="BK109" s="144"/>
      <c r="BL109" s="144"/>
      <c r="BM109" s="144"/>
      <c r="BN109" s="144"/>
      <c r="BO109" s="144"/>
      <c r="BP109" s="144"/>
      <c r="BQ109" s="144"/>
      <c r="BR109" s="144"/>
      <c r="BS109" s="144"/>
      <c r="BT109" s="144"/>
      <c r="BU109" s="144"/>
      <c r="BV109" s="144"/>
      <c r="BW109" s="144"/>
      <c r="BX109" s="144"/>
      <c r="BY109" s="144"/>
      <c r="BZ109" s="144"/>
      <c r="CA109" s="144"/>
      <c r="CB109" s="144"/>
      <c r="CC109" s="144"/>
      <c r="CD109" s="144"/>
      <c r="CE109" s="144"/>
      <c r="CF109" s="144"/>
      <c r="CG109" s="144"/>
      <c r="CH109" s="144"/>
      <c r="CI109" s="144"/>
      <c r="CJ109" s="144"/>
      <c r="CK109" s="144"/>
      <c r="CL109" s="144"/>
      <c r="CM109" s="144"/>
      <c r="CN109" s="144"/>
      <c r="CO109" s="144"/>
      <c r="CP109" s="144"/>
      <c r="CQ109" s="144"/>
      <c r="CR109" s="144"/>
      <c r="CS109" s="144"/>
      <c r="CT109" s="144"/>
      <c r="CU109" s="144"/>
      <c r="CV109" s="144"/>
      <c r="CW109" s="144"/>
      <c r="CX109" s="144"/>
      <c r="CY109" s="144"/>
      <c r="CZ109" s="144"/>
      <c r="DA109" s="144"/>
      <c r="DB109" s="144"/>
      <c r="DC109" s="144"/>
      <c r="DD109" s="144"/>
      <c r="DE109" s="144"/>
      <c r="DF109" s="144"/>
      <c r="DG109" s="144"/>
      <c r="DH109" s="144"/>
      <c r="DI109" s="144"/>
      <c r="DJ109" s="144"/>
      <c r="DK109" s="144"/>
      <c r="DL109" s="144"/>
      <c r="DM109" s="144"/>
      <c r="DN109" s="144"/>
      <c r="DO109" s="144"/>
      <c r="DP109" s="144"/>
      <c r="DQ109" s="144"/>
      <c r="DR109" s="144"/>
      <c r="DS109" s="144"/>
      <c r="DT109" s="144"/>
      <c r="DU109" s="144"/>
      <c r="DV109" s="144"/>
      <c r="DW109" s="144"/>
      <c r="DX109" s="144"/>
      <c r="DY109" s="144"/>
      <c r="DZ109" s="144"/>
      <c r="EA109" s="144"/>
      <c r="EB109" s="144"/>
      <c r="EC109" s="144"/>
      <c r="ED109" s="144"/>
      <c r="EE109" s="144"/>
      <c r="EF109" s="144"/>
      <c r="EG109" s="144"/>
      <c r="EH109" s="144"/>
      <c r="EI109" s="144"/>
      <c r="EJ109" s="144"/>
      <c r="EK109" s="144"/>
      <c r="EL109" s="144"/>
      <c r="EM109" s="144"/>
      <c r="EN109" s="144"/>
      <c r="EO109" s="144"/>
      <c r="EP109" s="144"/>
      <c r="EQ109" s="144"/>
      <c r="ER109" s="144"/>
      <c r="ES109" s="144"/>
      <c r="ET109" s="144"/>
      <c r="EU109" s="144"/>
      <c r="EV109" s="144"/>
      <c r="EW109" s="144"/>
      <c r="EX109" s="144"/>
      <c r="EY109" s="144"/>
      <c r="EZ109" s="144"/>
      <c r="FA109" s="144"/>
      <c r="FB109" s="144"/>
      <c r="FC109" s="144"/>
      <c r="FD109" s="144"/>
      <c r="FE109" s="144"/>
      <c r="FF109" s="144"/>
      <c r="FG109" s="144"/>
      <c r="FH109" s="144"/>
      <c r="FI109" s="144"/>
      <c r="FJ109" s="144"/>
      <c r="FK109" s="144"/>
      <c r="FL109" s="144"/>
      <c r="FM109" s="144"/>
      <c r="FN109" s="144"/>
      <c r="FO109" s="144"/>
      <c r="FP109" s="144"/>
      <c r="FQ109" s="144"/>
      <c r="FR109" s="144"/>
      <c r="FS109" s="144"/>
      <c r="FT109" s="144"/>
      <c r="FU109" s="144"/>
      <c r="FV109" s="144"/>
      <c r="FW109" s="144"/>
      <c r="FX109" s="144"/>
      <c r="FY109" s="144"/>
      <c r="FZ109" s="144"/>
      <c r="GA109" s="144"/>
      <c r="GB109" s="144"/>
      <c r="GC109" s="144"/>
      <c r="GD109" s="144"/>
      <c r="GE109" s="144"/>
      <c r="GF109" s="144"/>
      <c r="GG109" s="144"/>
      <c r="GH109" s="144"/>
      <c r="GI109" s="144"/>
      <c r="GJ109" s="144"/>
      <c r="GK109" s="144"/>
      <c r="GL109" s="144"/>
      <c r="GM109" s="144"/>
      <c r="GN109" s="144"/>
      <c r="GO109" s="144"/>
      <c r="GP109" s="144"/>
      <c r="GQ109" s="144"/>
      <c r="GR109" s="144"/>
      <c r="GS109" s="144"/>
      <c r="GT109" s="144"/>
      <c r="GU109" s="144"/>
      <c r="GV109" s="144"/>
      <c r="GW109" s="144"/>
      <c r="GX109" s="144"/>
      <c r="GY109" s="144"/>
      <c r="GZ109" s="144"/>
      <c r="HA109" s="144"/>
      <c r="HB109" s="144"/>
      <c r="HC109" s="144"/>
      <c r="HD109" s="144"/>
      <c r="HE109" s="144"/>
      <c r="HF109" s="144"/>
      <c r="HG109" s="144"/>
      <c r="HH109" s="144"/>
      <c r="HI109" s="144"/>
      <c r="HJ109" s="144"/>
      <c r="HK109" s="144"/>
      <c r="HL109" s="144"/>
      <c r="HM109" s="144"/>
      <c r="HN109" s="144"/>
      <c r="HO109" s="144"/>
      <c r="HP109" s="144"/>
      <c r="HQ109" s="144"/>
      <c r="HR109" s="144"/>
      <c r="HS109" s="144"/>
      <c r="HT109" s="144"/>
      <c r="HU109" s="144"/>
      <c r="HV109" s="144"/>
      <c r="HW109" s="144"/>
      <c r="HX109" s="144"/>
      <c r="HY109" s="144"/>
      <c r="HZ109" s="144"/>
      <c r="IA109" s="144"/>
      <c r="IB109" s="144"/>
      <c r="IC109" s="144"/>
      <c r="ID109" s="144"/>
      <c r="IE109" s="144"/>
      <c r="IF109" s="144"/>
      <c r="IG109" s="144"/>
    </row>
    <row r="110" spans="1:241" ht="14.15" customHeight="1">
      <c r="A110" s="144"/>
      <c r="B110" s="143"/>
      <c r="C110" s="143"/>
      <c r="D110" s="143"/>
      <c r="E110" s="143"/>
      <c r="F110" s="143"/>
      <c r="G110" s="143"/>
      <c r="H110" s="143"/>
      <c r="I110" s="143"/>
      <c r="J110" s="143"/>
      <c r="K110" s="143"/>
      <c r="M110" s="1120"/>
      <c r="N110" s="1120"/>
      <c r="O110" s="582"/>
      <c r="P110" s="582"/>
      <c r="Q110" s="582"/>
      <c r="R110" s="582"/>
      <c r="T110" s="583"/>
      <c r="U110" s="582"/>
      <c r="V110" s="582"/>
      <c r="W110" s="582"/>
      <c r="X110" s="582"/>
      <c r="Y110" s="582"/>
      <c r="Z110" s="582"/>
      <c r="AA110" s="582"/>
      <c r="AB110" s="582"/>
      <c r="AC110" s="582"/>
      <c r="AD110" s="582"/>
      <c r="AE110" s="582"/>
      <c r="AF110" s="582"/>
      <c r="AG110" s="582"/>
      <c r="AH110" s="582"/>
      <c r="AI110" s="582"/>
      <c r="AJ110" s="582"/>
      <c r="AK110" s="582"/>
      <c r="AL110" s="582"/>
      <c r="AM110" s="582"/>
      <c r="AN110" s="582"/>
      <c r="AO110" s="582"/>
      <c r="AP110" s="582"/>
      <c r="AQ110" s="144"/>
      <c r="AR110" s="144"/>
      <c r="AS110" s="144"/>
      <c r="AT110" s="144"/>
      <c r="AU110" s="144"/>
      <c r="AV110" s="144"/>
      <c r="AW110" s="144"/>
      <c r="AX110" s="144"/>
      <c r="AY110" s="144"/>
      <c r="AZ110" s="144"/>
      <c r="BA110" s="144"/>
      <c r="BB110" s="144"/>
      <c r="BC110" s="144"/>
      <c r="BD110" s="144"/>
      <c r="BE110" s="144"/>
      <c r="BF110" s="144"/>
      <c r="BG110" s="144"/>
      <c r="BH110" s="144"/>
      <c r="BI110" s="144"/>
      <c r="BJ110" s="144"/>
      <c r="BK110" s="144"/>
      <c r="BL110" s="144"/>
      <c r="BM110" s="144"/>
      <c r="BN110" s="144"/>
      <c r="BO110" s="144"/>
      <c r="BP110" s="144"/>
      <c r="BQ110" s="144"/>
      <c r="BR110" s="144"/>
      <c r="BS110" s="144"/>
      <c r="BT110" s="144"/>
      <c r="BU110" s="144"/>
      <c r="BV110" s="144"/>
      <c r="BW110" s="144"/>
      <c r="BX110" s="144"/>
      <c r="BY110" s="144"/>
      <c r="BZ110" s="144"/>
      <c r="CA110" s="144"/>
      <c r="CB110" s="144"/>
      <c r="CC110" s="144"/>
      <c r="CD110" s="144"/>
      <c r="CE110" s="144"/>
      <c r="CF110" s="144"/>
      <c r="CG110" s="144"/>
      <c r="CH110" s="144"/>
      <c r="CI110" s="144"/>
      <c r="CJ110" s="144"/>
      <c r="CK110" s="144"/>
      <c r="CL110" s="144"/>
      <c r="CM110" s="144"/>
      <c r="CN110" s="144"/>
      <c r="CO110" s="144"/>
      <c r="CP110" s="144"/>
      <c r="CQ110" s="144"/>
      <c r="CR110" s="144"/>
      <c r="CS110" s="144"/>
      <c r="CT110" s="144"/>
      <c r="CU110" s="144"/>
      <c r="CV110" s="144"/>
      <c r="CW110" s="144"/>
      <c r="CX110" s="144"/>
      <c r="CY110" s="144"/>
      <c r="CZ110" s="144"/>
      <c r="DA110" s="144"/>
      <c r="DB110" s="144"/>
      <c r="DC110" s="144"/>
      <c r="DD110" s="144"/>
      <c r="DE110" s="144"/>
      <c r="DF110" s="144"/>
      <c r="DG110" s="144"/>
      <c r="DH110" s="144"/>
      <c r="DI110" s="144"/>
      <c r="DJ110" s="144"/>
      <c r="DK110" s="144"/>
      <c r="DL110" s="144"/>
      <c r="DM110" s="144"/>
      <c r="DN110" s="144"/>
      <c r="DO110" s="144"/>
      <c r="DP110" s="144"/>
      <c r="DQ110" s="144"/>
      <c r="DR110" s="144"/>
      <c r="DS110" s="144"/>
      <c r="DT110" s="144"/>
      <c r="DU110" s="144"/>
      <c r="DV110" s="144"/>
      <c r="DW110" s="144"/>
      <c r="DX110" s="144"/>
      <c r="DY110" s="144"/>
      <c r="DZ110" s="144"/>
      <c r="EA110" s="144"/>
      <c r="EB110" s="144"/>
      <c r="EC110" s="144"/>
      <c r="ED110" s="144"/>
      <c r="EE110" s="144"/>
      <c r="EF110" s="144"/>
      <c r="EG110" s="144"/>
      <c r="EH110" s="144"/>
      <c r="EI110" s="144"/>
      <c r="EJ110" s="144"/>
      <c r="EK110" s="144"/>
      <c r="EL110" s="144"/>
      <c r="EM110" s="144"/>
      <c r="EN110" s="144"/>
      <c r="EO110" s="144"/>
      <c r="EP110" s="144"/>
      <c r="EQ110" s="144"/>
      <c r="ER110" s="144"/>
      <c r="ES110" s="144"/>
      <c r="ET110" s="144"/>
      <c r="EU110" s="144"/>
      <c r="EV110" s="144"/>
      <c r="EW110" s="144"/>
      <c r="EX110" s="144"/>
      <c r="EY110" s="144"/>
      <c r="EZ110" s="144"/>
      <c r="FA110" s="144"/>
      <c r="FB110" s="144"/>
      <c r="FC110" s="144"/>
      <c r="FD110" s="144"/>
      <c r="FE110" s="144"/>
      <c r="FF110" s="144"/>
      <c r="FG110" s="144"/>
      <c r="FH110" s="144"/>
      <c r="FI110" s="144"/>
      <c r="FJ110" s="144"/>
      <c r="FK110" s="144"/>
      <c r="FL110" s="144"/>
      <c r="FM110" s="144"/>
      <c r="FN110" s="144"/>
      <c r="FO110" s="144"/>
      <c r="FP110" s="144"/>
      <c r="FQ110" s="144"/>
      <c r="FR110" s="144"/>
      <c r="FS110" s="144"/>
      <c r="FT110" s="144"/>
      <c r="FU110" s="144"/>
      <c r="FV110" s="144"/>
      <c r="FW110" s="144"/>
      <c r="FX110" s="144"/>
      <c r="FY110" s="144"/>
      <c r="FZ110" s="144"/>
      <c r="GA110" s="144"/>
      <c r="GB110" s="144"/>
      <c r="GC110" s="144"/>
      <c r="GD110" s="144"/>
      <c r="GE110" s="144"/>
      <c r="GF110" s="144"/>
      <c r="GG110" s="144"/>
      <c r="GH110" s="144"/>
      <c r="GI110" s="144"/>
      <c r="GJ110" s="144"/>
      <c r="GK110" s="144"/>
      <c r="GL110" s="144"/>
      <c r="GM110" s="144"/>
      <c r="GN110" s="144"/>
      <c r="GO110" s="144"/>
      <c r="GP110" s="144"/>
      <c r="GQ110" s="144"/>
      <c r="GR110" s="144"/>
      <c r="GS110" s="144"/>
      <c r="GT110" s="144"/>
      <c r="GU110" s="144"/>
      <c r="GV110" s="144"/>
      <c r="GW110" s="144"/>
      <c r="GX110" s="144"/>
      <c r="GY110" s="144"/>
      <c r="GZ110" s="144"/>
      <c r="HA110" s="144"/>
      <c r="HB110" s="144"/>
      <c r="HC110" s="144"/>
      <c r="HD110" s="144"/>
      <c r="HE110" s="144"/>
      <c r="HF110" s="144"/>
      <c r="HG110" s="144"/>
      <c r="HH110" s="144"/>
      <c r="HI110" s="144"/>
      <c r="HJ110" s="144"/>
      <c r="HK110" s="144"/>
      <c r="HL110" s="144"/>
      <c r="HM110" s="144"/>
      <c r="HN110" s="144"/>
      <c r="HO110" s="144"/>
      <c r="HP110" s="144"/>
      <c r="HQ110" s="144"/>
      <c r="HR110" s="144"/>
      <c r="HS110" s="144"/>
      <c r="HT110" s="144"/>
      <c r="HU110" s="144"/>
      <c r="HV110" s="144"/>
      <c r="HW110" s="144"/>
      <c r="HX110" s="144"/>
      <c r="HY110" s="144"/>
      <c r="HZ110" s="144"/>
      <c r="IA110" s="144"/>
      <c r="IB110" s="144"/>
      <c r="IC110" s="144"/>
      <c r="ID110" s="144"/>
      <c r="IE110" s="144"/>
      <c r="IF110" s="144"/>
      <c r="IG110" s="144"/>
    </row>
    <row r="111" spans="1:241" ht="14.15" customHeight="1">
      <c r="A111" s="144"/>
      <c r="B111" s="143"/>
      <c r="C111" s="143"/>
      <c r="D111" s="143"/>
      <c r="E111" s="143"/>
      <c r="F111" s="143"/>
      <c r="G111" s="143"/>
      <c r="H111" s="143"/>
      <c r="I111" s="143"/>
      <c r="J111" s="143"/>
      <c r="K111" s="143"/>
      <c r="M111" s="1120"/>
      <c r="N111" s="1120"/>
      <c r="O111" s="582"/>
      <c r="P111" s="582"/>
      <c r="Q111" s="582"/>
      <c r="R111" s="582"/>
      <c r="T111" s="583"/>
      <c r="U111" s="582"/>
      <c r="V111" s="582"/>
      <c r="W111" s="582"/>
      <c r="X111" s="582"/>
      <c r="Y111" s="582"/>
      <c r="Z111" s="582"/>
      <c r="AA111" s="582"/>
      <c r="AB111" s="582"/>
      <c r="AC111" s="582"/>
      <c r="AD111" s="582"/>
      <c r="AE111" s="582"/>
      <c r="AF111" s="582"/>
      <c r="AG111" s="582"/>
      <c r="AH111" s="582"/>
      <c r="AI111" s="582"/>
      <c r="AJ111" s="582"/>
      <c r="AK111" s="582"/>
      <c r="AL111" s="582"/>
      <c r="AM111" s="582"/>
      <c r="AN111" s="582"/>
      <c r="AO111" s="582"/>
      <c r="AP111" s="582"/>
      <c r="AQ111" s="144"/>
      <c r="AR111" s="144"/>
      <c r="AS111" s="144"/>
      <c r="AT111" s="144"/>
      <c r="AU111" s="144"/>
      <c r="AV111" s="144"/>
      <c r="AW111" s="144"/>
      <c r="AX111" s="144"/>
      <c r="AY111" s="144"/>
      <c r="AZ111" s="144"/>
      <c r="BA111" s="144"/>
      <c r="BB111" s="144"/>
      <c r="BC111" s="144"/>
      <c r="BD111" s="144"/>
      <c r="BE111" s="144"/>
      <c r="BF111" s="144"/>
      <c r="BG111" s="144"/>
      <c r="BH111" s="144"/>
      <c r="BI111" s="144"/>
      <c r="BJ111" s="144"/>
      <c r="BK111" s="144"/>
      <c r="BL111" s="144"/>
      <c r="BM111" s="144"/>
      <c r="BN111" s="144"/>
      <c r="BO111" s="144"/>
      <c r="BP111" s="144"/>
      <c r="BQ111" s="144"/>
      <c r="BR111" s="144"/>
      <c r="BS111" s="144"/>
      <c r="BT111" s="144"/>
      <c r="BU111" s="144"/>
      <c r="BV111" s="144"/>
      <c r="BW111" s="144"/>
      <c r="BX111" s="144"/>
      <c r="BY111" s="144"/>
      <c r="BZ111" s="144"/>
      <c r="CA111" s="144"/>
      <c r="CB111" s="144"/>
      <c r="CC111" s="144"/>
      <c r="CD111" s="144"/>
      <c r="CE111" s="144"/>
      <c r="CF111" s="144"/>
      <c r="CG111" s="144"/>
      <c r="CH111" s="144"/>
      <c r="CI111" s="144"/>
      <c r="CJ111" s="144"/>
      <c r="CK111" s="144"/>
      <c r="CL111" s="144"/>
      <c r="CM111" s="144"/>
      <c r="CN111" s="144"/>
      <c r="CO111" s="144"/>
      <c r="CP111" s="144"/>
      <c r="CQ111" s="144"/>
      <c r="CR111" s="144"/>
      <c r="CS111" s="144"/>
      <c r="CT111" s="144"/>
      <c r="CU111" s="144"/>
      <c r="CV111" s="144"/>
      <c r="CW111" s="144"/>
      <c r="CX111" s="144"/>
      <c r="CY111" s="144"/>
      <c r="CZ111" s="144"/>
      <c r="DA111" s="144"/>
      <c r="DB111" s="144"/>
      <c r="DC111" s="144"/>
      <c r="DD111" s="144"/>
      <c r="DE111" s="144"/>
      <c r="DF111" s="144"/>
      <c r="DG111" s="144"/>
      <c r="DH111" s="144"/>
      <c r="DI111" s="144"/>
      <c r="DJ111" s="144"/>
      <c r="DK111" s="144"/>
      <c r="DL111" s="144"/>
      <c r="DM111" s="144"/>
      <c r="DN111" s="144"/>
      <c r="DO111" s="144"/>
      <c r="DP111" s="144"/>
      <c r="DQ111" s="144"/>
      <c r="DR111" s="144"/>
      <c r="DS111" s="144"/>
      <c r="DT111" s="144"/>
      <c r="DU111" s="144"/>
      <c r="DV111" s="144"/>
      <c r="DW111" s="144"/>
      <c r="DX111" s="144"/>
      <c r="DY111" s="144"/>
      <c r="DZ111" s="144"/>
      <c r="EA111" s="144"/>
      <c r="EB111" s="144"/>
      <c r="EC111" s="144"/>
      <c r="ED111" s="144"/>
      <c r="EE111" s="144"/>
      <c r="EF111" s="144"/>
      <c r="EG111" s="144"/>
      <c r="EH111" s="144"/>
      <c r="EI111" s="144"/>
      <c r="EJ111" s="144"/>
      <c r="EK111" s="144"/>
      <c r="EL111" s="144"/>
      <c r="EM111" s="144"/>
      <c r="EN111" s="144"/>
      <c r="EO111" s="144"/>
      <c r="EP111" s="144"/>
      <c r="EQ111" s="144"/>
      <c r="ER111" s="144"/>
      <c r="ES111" s="144"/>
      <c r="ET111" s="144"/>
      <c r="EU111" s="144"/>
      <c r="EV111" s="144"/>
      <c r="EW111" s="144"/>
      <c r="EX111" s="144"/>
      <c r="EY111" s="144"/>
      <c r="EZ111" s="144"/>
      <c r="FA111" s="144"/>
      <c r="FB111" s="144"/>
      <c r="FC111" s="144"/>
      <c r="FD111" s="144"/>
      <c r="FE111" s="144"/>
      <c r="FF111" s="144"/>
      <c r="FG111" s="144"/>
      <c r="FH111" s="144"/>
      <c r="FI111" s="144"/>
      <c r="FJ111" s="144"/>
      <c r="FK111" s="144"/>
      <c r="FL111" s="144"/>
      <c r="FM111" s="144"/>
      <c r="FN111" s="144"/>
      <c r="FO111" s="144"/>
      <c r="FP111" s="144"/>
      <c r="FQ111" s="144"/>
      <c r="FR111" s="144"/>
      <c r="FS111" s="144"/>
      <c r="FT111" s="144"/>
      <c r="FU111" s="144"/>
      <c r="FV111" s="144"/>
      <c r="FW111" s="144"/>
      <c r="FX111" s="144"/>
      <c r="FY111" s="144"/>
      <c r="FZ111" s="144"/>
      <c r="GA111" s="144"/>
      <c r="GB111" s="144"/>
      <c r="GC111" s="144"/>
      <c r="GD111" s="144"/>
      <c r="GE111" s="144"/>
      <c r="GF111" s="144"/>
      <c r="GG111" s="144"/>
      <c r="GH111" s="144"/>
      <c r="GI111" s="144"/>
      <c r="GJ111" s="144"/>
      <c r="GK111" s="144"/>
      <c r="GL111" s="144"/>
      <c r="GM111" s="144"/>
      <c r="GN111" s="144"/>
      <c r="GO111" s="144"/>
      <c r="GP111" s="144"/>
      <c r="GQ111" s="144"/>
      <c r="GR111" s="144"/>
      <c r="GS111" s="144"/>
      <c r="GT111" s="144"/>
      <c r="GU111" s="144"/>
      <c r="GV111" s="144"/>
      <c r="GW111" s="144"/>
      <c r="GX111" s="144"/>
      <c r="GY111" s="144"/>
      <c r="GZ111" s="144"/>
      <c r="HA111" s="144"/>
      <c r="HB111" s="144"/>
      <c r="HC111" s="144"/>
      <c r="HD111" s="144"/>
      <c r="HE111" s="144"/>
      <c r="HF111" s="144"/>
      <c r="HG111" s="144"/>
      <c r="HH111" s="144"/>
      <c r="HI111" s="144"/>
      <c r="HJ111" s="144"/>
      <c r="HK111" s="144"/>
      <c r="HL111" s="144"/>
      <c r="HM111" s="144"/>
      <c r="HN111" s="144"/>
      <c r="HO111" s="144"/>
      <c r="HP111" s="144"/>
      <c r="HQ111" s="144"/>
      <c r="HR111" s="144"/>
      <c r="HS111" s="144"/>
      <c r="HT111" s="144"/>
      <c r="HU111" s="144"/>
      <c r="HV111" s="144"/>
      <c r="HW111" s="144"/>
      <c r="HX111" s="144"/>
      <c r="HY111" s="144"/>
      <c r="HZ111" s="144"/>
      <c r="IA111" s="144"/>
      <c r="IB111" s="144"/>
      <c r="IC111" s="144"/>
      <c r="ID111" s="144"/>
      <c r="IE111" s="144"/>
      <c r="IF111" s="144"/>
      <c r="IG111" s="144"/>
    </row>
    <row r="112" spans="1:241" ht="14.15" customHeight="1">
      <c r="O112" s="582"/>
      <c r="P112" s="582"/>
      <c r="Q112" s="582"/>
      <c r="R112" s="582"/>
      <c r="T112" s="583"/>
      <c r="U112" s="582"/>
      <c r="V112" s="582"/>
      <c r="W112" s="582"/>
      <c r="X112" s="582"/>
      <c r="Y112" s="582"/>
      <c r="Z112" s="582"/>
      <c r="AA112" s="582"/>
      <c r="AB112" s="582"/>
      <c r="AC112" s="582"/>
      <c r="AD112" s="582"/>
      <c r="AE112" s="582"/>
      <c r="AF112" s="582"/>
      <c r="AG112" s="582"/>
      <c r="AH112" s="582"/>
      <c r="AI112" s="582"/>
      <c r="AJ112" s="582"/>
      <c r="AK112" s="582"/>
      <c r="AL112" s="582"/>
      <c r="AM112" s="582"/>
      <c r="AN112" s="582"/>
      <c r="AO112" s="582"/>
      <c r="AP112" s="582"/>
      <c r="AQ112" s="144"/>
      <c r="AR112" s="144"/>
      <c r="AS112" s="144"/>
      <c r="AT112" s="144"/>
      <c r="AU112" s="144"/>
      <c r="AV112" s="144"/>
      <c r="AW112" s="144"/>
      <c r="AX112" s="144"/>
      <c r="AY112" s="144"/>
      <c r="AZ112" s="144"/>
      <c r="BA112" s="144"/>
      <c r="BB112" s="144"/>
      <c r="BC112" s="144"/>
      <c r="BD112" s="144"/>
      <c r="BE112" s="144"/>
      <c r="BF112" s="144"/>
      <c r="BG112" s="144"/>
      <c r="BH112" s="144"/>
      <c r="BI112" s="144"/>
      <c r="BJ112" s="144"/>
      <c r="BK112" s="144"/>
      <c r="BL112" s="144"/>
      <c r="BM112" s="144"/>
      <c r="BN112" s="144"/>
      <c r="BO112" s="144"/>
      <c r="BP112" s="144"/>
      <c r="BQ112" s="144"/>
      <c r="BR112" s="144"/>
      <c r="BS112" s="144"/>
      <c r="BT112" s="144"/>
      <c r="BU112" s="144"/>
      <c r="BV112" s="144"/>
      <c r="BW112" s="144"/>
      <c r="BX112" s="144"/>
      <c r="BY112" s="144"/>
      <c r="BZ112" s="144"/>
      <c r="CA112" s="144"/>
      <c r="CB112" s="144"/>
      <c r="CC112" s="144"/>
      <c r="CD112" s="144"/>
      <c r="CE112" s="144"/>
      <c r="CF112" s="144"/>
      <c r="CG112" s="144"/>
      <c r="CH112" s="144"/>
      <c r="CI112" s="144"/>
      <c r="CJ112" s="144"/>
      <c r="CK112" s="144"/>
      <c r="CL112" s="144"/>
      <c r="CM112" s="144"/>
      <c r="CN112" s="144"/>
      <c r="CO112" s="144"/>
      <c r="CP112" s="144"/>
      <c r="CQ112" s="144"/>
      <c r="CR112" s="144"/>
      <c r="CS112" s="144"/>
      <c r="CT112" s="144"/>
      <c r="CU112" s="144"/>
      <c r="CV112" s="144"/>
      <c r="CW112" s="144"/>
      <c r="CX112" s="144"/>
      <c r="CY112" s="144"/>
      <c r="CZ112" s="144"/>
      <c r="DA112" s="144"/>
      <c r="DB112" s="144"/>
      <c r="DC112" s="144"/>
      <c r="DD112" s="144"/>
      <c r="DE112" s="144"/>
      <c r="DF112" s="144"/>
      <c r="DG112" s="144"/>
      <c r="DH112" s="144"/>
      <c r="DI112" s="144"/>
      <c r="DJ112" s="144"/>
      <c r="DK112" s="144"/>
      <c r="DL112" s="144"/>
      <c r="DM112" s="144"/>
      <c r="DN112" s="144"/>
      <c r="DO112" s="144"/>
      <c r="DP112" s="144"/>
      <c r="DQ112" s="144"/>
      <c r="DR112" s="144"/>
      <c r="DS112" s="144"/>
      <c r="DT112" s="144"/>
      <c r="DU112" s="144"/>
      <c r="DV112" s="144"/>
      <c r="DW112" s="144"/>
      <c r="DX112" s="144"/>
      <c r="DY112" s="144"/>
      <c r="DZ112" s="144"/>
      <c r="EA112" s="144"/>
      <c r="EB112" s="144"/>
      <c r="EC112" s="144"/>
      <c r="ED112" s="144"/>
      <c r="EE112" s="144"/>
      <c r="EF112" s="144"/>
      <c r="EG112" s="144"/>
      <c r="EH112" s="144"/>
      <c r="EI112" s="144"/>
      <c r="EJ112" s="144"/>
      <c r="EK112" s="144"/>
      <c r="EL112" s="144"/>
      <c r="EM112" s="144"/>
      <c r="EN112" s="144"/>
      <c r="EO112" s="144"/>
      <c r="EP112" s="144"/>
      <c r="EQ112" s="144"/>
      <c r="ER112" s="144"/>
      <c r="ES112" s="144"/>
      <c r="ET112" s="144"/>
      <c r="EU112" s="144"/>
      <c r="EV112" s="144"/>
      <c r="EW112" s="144"/>
      <c r="EX112" s="144"/>
      <c r="EY112" s="144"/>
      <c r="EZ112" s="144"/>
      <c r="FA112" s="144"/>
      <c r="FB112" s="144"/>
      <c r="FC112" s="144"/>
      <c r="FD112" s="144"/>
      <c r="FE112" s="144"/>
      <c r="FF112" s="144"/>
      <c r="FG112" s="144"/>
      <c r="FH112" s="144"/>
      <c r="FI112" s="144"/>
      <c r="FJ112" s="144"/>
      <c r="FK112" s="144"/>
      <c r="FL112" s="144"/>
      <c r="FM112" s="144"/>
      <c r="FN112" s="144"/>
      <c r="FO112" s="144"/>
      <c r="FP112" s="144"/>
      <c r="FQ112" s="144"/>
      <c r="FR112" s="144"/>
      <c r="FS112" s="144"/>
      <c r="FT112" s="144"/>
      <c r="FU112" s="144"/>
      <c r="FV112" s="144"/>
      <c r="FW112" s="144"/>
      <c r="FX112" s="144"/>
      <c r="FY112" s="144"/>
      <c r="FZ112" s="144"/>
      <c r="GA112" s="144"/>
      <c r="GB112" s="144"/>
      <c r="GC112" s="144"/>
      <c r="GD112" s="144"/>
      <c r="GE112" s="144"/>
      <c r="GF112" s="144"/>
      <c r="GG112" s="144"/>
      <c r="GH112" s="144"/>
      <c r="GI112" s="144"/>
      <c r="GJ112" s="144"/>
      <c r="GK112" s="144"/>
      <c r="GL112" s="144"/>
      <c r="GM112" s="144"/>
      <c r="GN112" s="144"/>
      <c r="GO112" s="144"/>
      <c r="GP112" s="144"/>
      <c r="GQ112" s="144"/>
      <c r="GR112" s="144"/>
      <c r="GS112" s="144"/>
      <c r="GT112" s="144"/>
      <c r="GU112" s="144"/>
      <c r="GV112" s="144"/>
      <c r="GW112" s="144"/>
      <c r="GX112" s="144"/>
      <c r="GY112" s="144"/>
      <c r="GZ112" s="144"/>
      <c r="HA112" s="144"/>
      <c r="HB112" s="144"/>
      <c r="HC112" s="144"/>
      <c r="HD112" s="144"/>
      <c r="HE112" s="144"/>
      <c r="HF112" s="144"/>
      <c r="HG112" s="144"/>
      <c r="HH112" s="144"/>
      <c r="HI112" s="144"/>
      <c r="HJ112" s="144"/>
      <c r="HK112" s="144"/>
      <c r="HL112" s="144"/>
      <c r="HM112" s="144"/>
      <c r="HN112" s="144"/>
      <c r="HO112" s="144"/>
      <c r="HP112" s="144"/>
      <c r="HQ112" s="144"/>
      <c r="HR112" s="144"/>
      <c r="HS112" s="144"/>
      <c r="HT112" s="144"/>
      <c r="HU112" s="144"/>
      <c r="HV112" s="144"/>
      <c r="HW112" s="144"/>
      <c r="HX112" s="144"/>
      <c r="HY112" s="144"/>
      <c r="HZ112" s="144"/>
      <c r="IA112" s="144"/>
      <c r="IB112" s="144"/>
      <c r="IC112" s="144"/>
      <c r="ID112" s="144"/>
      <c r="IE112" s="144"/>
      <c r="IF112" s="144"/>
      <c r="IG112" s="144"/>
    </row>
    <row r="113" spans="15:241" ht="14.15" customHeight="1">
      <c r="O113" s="582"/>
      <c r="P113" s="582"/>
      <c r="Q113" s="582"/>
      <c r="R113" s="582"/>
      <c r="T113" s="583"/>
      <c r="U113" s="582"/>
      <c r="V113" s="582"/>
      <c r="W113" s="582"/>
      <c r="X113" s="582"/>
      <c r="Y113" s="582"/>
      <c r="Z113" s="582"/>
      <c r="AA113" s="582"/>
      <c r="AB113" s="582"/>
      <c r="AC113" s="582"/>
      <c r="AD113" s="582"/>
      <c r="AE113" s="582"/>
      <c r="AF113" s="582"/>
      <c r="AG113" s="582"/>
      <c r="AH113" s="582"/>
      <c r="AI113" s="582"/>
      <c r="AJ113" s="582"/>
      <c r="AK113" s="582"/>
      <c r="AL113" s="582"/>
      <c r="AM113" s="582"/>
      <c r="AN113" s="582"/>
      <c r="AO113" s="582"/>
      <c r="AP113" s="582"/>
      <c r="AQ113" s="144"/>
      <c r="AR113" s="144"/>
      <c r="AS113" s="144"/>
      <c r="AT113" s="144"/>
      <c r="AU113" s="144"/>
      <c r="AV113" s="144"/>
      <c r="AW113" s="144"/>
      <c r="AX113" s="144"/>
      <c r="AY113" s="144"/>
      <c r="AZ113" s="144"/>
      <c r="BA113" s="144"/>
      <c r="BB113" s="144"/>
      <c r="BC113" s="144"/>
      <c r="BD113" s="144"/>
      <c r="BE113" s="144"/>
      <c r="BF113" s="144"/>
      <c r="BG113" s="144"/>
      <c r="BH113" s="144"/>
      <c r="BI113" s="144"/>
      <c r="BJ113" s="144"/>
      <c r="BK113" s="144"/>
      <c r="BL113" s="144"/>
      <c r="BM113" s="144"/>
      <c r="BN113" s="144"/>
      <c r="BO113" s="144"/>
      <c r="BP113" s="144"/>
      <c r="BQ113" s="144"/>
      <c r="BR113" s="144"/>
      <c r="BS113" s="144"/>
      <c r="BT113" s="144"/>
      <c r="BU113" s="144"/>
      <c r="BV113" s="144"/>
      <c r="BW113" s="144"/>
      <c r="BX113" s="144"/>
      <c r="BY113" s="144"/>
      <c r="BZ113" s="144"/>
      <c r="CA113" s="144"/>
      <c r="CB113" s="144"/>
      <c r="CC113" s="144"/>
      <c r="CD113" s="144"/>
      <c r="CE113" s="144"/>
      <c r="CF113" s="144"/>
      <c r="CG113" s="144"/>
      <c r="CH113" s="144"/>
      <c r="CI113" s="144"/>
      <c r="CJ113" s="144"/>
      <c r="CK113" s="144"/>
      <c r="CL113" s="144"/>
      <c r="CM113" s="144"/>
      <c r="CN113" s="144"/>
      <c r="CO113" s="144"/>
      <c r="CP113" s="144"/>
      <c r="CQ113" s="144"/>
      <c r="CR113" s="144"/>
      <c r="CS113" s="144"/>
      <c r="CT113" s="144"/>
      <c r="CU113" s="144"/>
      <c r="CV113" s="144"/>
      <c r="CW113" s="144"/>
      <c r="CX113" s="144"/>
      <c r="CY113" s="144"/>
      <c r="CZ113" s="144"/>
      <c r="DA113" s="144"/>
      <c r="DB113" s="144"/>
      <c r="DC113" s="144"/>
      <c r="DD113" s="144"/>
      <c r="DE113" s="144"/>
      <c r="DF113" s="144"/>
      <c r="DG113" s="144"/>
      <c r="DH113" s="144"/>
      <c r="DI113" s="144"/>
      <c r="DJ113" s="144"/>
      <c r="DK113" s="144"/>
      <c r="DL113" s="144"/>
      <c r="DM113" s="144"/>
      <c r="DN113" s="144"/>
      <c r="DO113" s="144"/>
      <c r="DP113" s="144"/>
      <c r="DQ113" s="144"/>
      <c r="DR113" s="144"/>
      <c r="DS113" s="144"/>
      <c r="DT113" s="144"/>
      <c r="DU113" s="144"/>
      <c r="DV113" s="144"/>
      <c r="DW113" s="144"/>
      <c r="DX113" s="144"/>
      <c r="DY113" s="144"/>
      <c r="DZ113" s="144"/>
      <c r="EA113" s="144"/>
      <c r="EB113" s="144"/>
      <c r="EC113" s="144"/>
      <c r="ED113" s="144"/>
      <c r="EE113" s="144"/>
      <c r="EF113" s="144"/>
      <c r="EG113" s="144"/>
      <c r="EH113" s="144"/>
      <c r="EI113" s="144"/>
      <c r="EJ113" s="144"/>
      <c r="EK113" s="144"/>
      <c r="EL113" s="144"/>
      <c r="EM113" s="144"/>
      <c r="EN113" s="144"/>
      <c r="EO113" s="144"/>
      <c r="EP113" s="144"/>
      <c r="EQ113" s="144"/>
      <c r="ER113" s="144"/>
      <c r="ES113" s="144"/>
      <c r="ET113" s="144"/>
      <c r="EU113" s="144"/>
      <c r="EV113" s="144"/>
      <c r="EW113" s="144"/>
      <c r="EX113" s="144"/>
      <c r="EY113" s="144"/>
      <c r="EZ113" s="144"/>
      <c r="FA113" s="144"/>
      <c r="FB113" s="144"/>
      <c r="FC113" s="144"/>
      <c r="FD113" s="144"/>
      <c r="FE113" s="144"/>
      <c r="FF113" s="144"/>
      <c r="FG113" s="144"/>
      <c r="FH113" s="144"/>
      <c r="FI113" s="144"/>
      <c r="FJ113" s="144"/>
      <c r="FK113" s="144"/>
      <c r="FL113" s="144"/>
      <c r="FM113" s="144"/>
      <c r="FN113" s="144"/>
      <c r="FO113" s="144"/>
      <c r="FP113" s="144"/>
      <c r="FQ113" s="144"/>
      <c r="FR113" s="144"/>
      <c r="FS113" s="144"/>
      <c r="FT113" s="144"/>
      <c r="FU113" s="144"/>
      <c r="FV113" s="144"/>
      <c r="FW113" s="144"/>
      <c r="FX113" s="144"/>
      <c r="FY113" s="144"/>
      <c r="FZ113" s="144"/>
      <c r="GA113" s="144"/>
      <c r="GB113" s="144"/>
      <c r="GC113" s="144"/>
      <c r="GD113" s="144"/>
      <c r="GE113" s="144"/>
      <c r="GF113" s="144"/>
      <c r="GG113" s="144"/>
      <c r="GH113" s="144"/>
      <c r="GI113" s="144"/>
      <c r="GJ113" s="144"/>
      <c r="GK113" s="144"/>
      <c r="GL113" s="144"/>
      <c r="GM113" s="144"/>
      <c r="GN113" s="144"/>
      <c r="GO113" s="144"/>
      <c r="GP113" s="144"/>
      <c r="GQ113" s="144"/>
      <c r="GR113" s="144"/>
      <c r="GS113" s="144"/>
      <c r="GT113" s="144"/>
      <c r="GU113" s="144"/>
      <c r="GV113" s="144"/>
      <c r="GW113" s="144"/>
      <c r="GX113" s="144"/>
      <c r="GY113" s="144"/>
      <c r="GZ113" s="144"/>
      <c r="HA113" s="144"/>
      <c r="HB113" s="144"/>
      <c r="HC113" s="144"/>
      <c r="HD113" s="144"/>
      <c r="HE113" s="144"/>
      <c r="HF113" s="144"/>
      <c r="HG113" s="144"/>
      <c r="HH113" s="144"/>
      <c r="HI113" s="144"/>
      <c r="HJ113" s="144"/>
      <c r="HK113" s="144"/>
      <c r="HL113" s="144"/>
      <c r="HM113" s="144"/>
      <c r="HN113" s="144"/>
      <c r="HO113" s="144"/>
      <c r="HP113" s="144"/>
      <c r="HQ113" s="144"/>
      <c r="HR113" s="144"/>
      <c r="HS113" s="144"/>
      <c r="HT113" s="144"/>
      <c r="HU113" s="144"/>
      <c r="HV113" s="144"/>
      <c r="HW113" s="144"/>
      <c r="HX113" s="144"/>
      <c r="HY113" s="144"/>
      <c r="HZ113" s="144"/>
      <c r="IA113" s="144"/>
      <c r="IB113" s="144"/>
      <c r="IC113" s="144"/>
      <c r="ID113" s="144"/>
      <c r="IE113" s="144"/>
      <c r="IF113" s="144"/>
      <c r="IG113" s="144"/>
    </row>
  </sheetData>
  <customSheetViews>
    <customSheetView guid="{E6BBE5A7-0B25-4EE8-BA45-5EA5DBAF3AD4}" showPageBreaks="1" printArea="1" topLeftCell="A19">
      <selection activeCell="C9" sqref="C9"/>
      <rowBreaks count="1" manualBreakCount="1">
        <brk id="47" max="9" man="1"/>
      </rowBreaks>
      <pageMargins left="0.5" right="0.5" top="1" bottom="1" header="0.5" footer="0.5"/>
      <printOptions horizontalCentered="1"/>
      <pageSetup scale="62" orientation="landscape" r:id="rId1"/>
      <headerFooter alignWithMargins="0"/>
    </customSheetView>
  </customSheetViews>
  <phoneticPr fontId="216" type="noConversion"/>
  <hyperlinks>
    <hyperlink ref="T1" location="TOC!A1" display="Back" xr:uid="{00000000-0004-0000-0300-000000000000}"/>
  </hyperlinks>
  <printOptions horizontalCentered="1"/>
  <pageMargins left="0.4" right="0.25" top="0.5" bottom="0.25" header="0.25" footer="0"/>
  <pageSetup scale="70" orientation="landscape" r:id="rId2"/>
  <headerFooter scaleWithDoc="0">
    <oddHeader>&amp;R&amp;P</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V59"/>
  <sheetViews>
    <sheetView zoomScaleNormal="100" workbookViewId="0"/>
  </sheetViews>
  <sheetFormatPr defaultColWidth="12.453125" defaultRowHeight="12.5"/>
  <cols>
    <col min="1" max="1" width="18.7265625" customWidth="1"/>
    <col min="2" max="2" width="3.7265625" customWidth="1"/>
    <col min="3" max="3" width="18.7265625" customWidth="1"/>
    <col min="4" max="4" width="3.7265625" customWidth="1"/>
    <col min="5" max="5" width="85.7265625" customWidth="1"/>
    <col min="6" max="19" width="12.453125" customWidth="1"/>
    <col min="20" max="20" width="12.453125" style="6" customWidth="1"/>
    <col min="21" max="21" width="24.453125" style="6" customWidth="1"/>
  </cols>
  <sheetData>
    <row r="1" spans="1:48" ht="18">
      <c r="A1" s="77" t="s">
        <v>292</v>
      </c>
      <c r="F1" s="855" t="s">
        <v>984</v>
      </c>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row>
    <row r="2" spans="1:48" ht="15.5">
      <c r="A2" s="7" t="s">
        <v>293</v>
      </c>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row>
    <row r="3" spans="1:48" ht="15.5">
      <c r="A3" s="7"/>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row>
    <row r="4" spans="1:48" ht="16" thickBot="1">
      <c r="A4" s="7"/>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row>
    <row r="5" spans="1:48">
      <c r="A5" s="78"/>
      <c r="B5" s="78"/>
      <c r="C5" s="78"/>
      <c r="D5" s="78"/>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row>
    <row r="6" spans="1:48" ht="15.5">
      <c r="A6" s="79" t="s">
        <v>294</v>
      </c>
      <c r="B6" s="80"/>
      <c r="C6" s="831" t="s">
        <v>19</v>
      </c>
      <c r="D6" s="80"/>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row>
    <row r="7" spans="1:48" ht="15.5" hidden="1">
      <c r="A7" s="81"/>
      <c r="C7" s="82"/>
      <c r="F7" s="81"/>
      <c r="S7" s="238"/>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row>
    <row r="8" spans="1:48" hidden="1">
      <c r="A8" s="81">
        <v>2006</v>
      </c>
      <c r="C8" s="234">
        <v>9132261251</v>
      </c>
      <c r="S8" s="238"/>
      <c r="V8" s="184"/>
      <c r="W8" s="425"/>
      <c r="X8" s="425"/>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row>
    <row r="9" spans="1:48" hidden="1">
      <c r="A9" s="81">
        <v>2007</v>
      </c>
      <c r="C9" s="83">
        <v>9601762403.6699944</v>
      </c>
      <c r="S9" s="238"/>
      <c r="V9" s="184"/>
      <c r="W9" s="425"/>
      <c r="X9" s="425"/>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row>
    <row r="10" spans="1:48" hidden="1">
      <c r="A10" s="81">
        <v>2008</v>
      </c>
      <c r="C10" s="83">
        <v>9201320075.0499992</v>
      </c>
      <c r="S10" s="238"/>
      <c r="V10" s="184"/>
      <c r="W10" s="425"/>
      <c r="X10" s="425"/>
      <c r="Y10" s="184"/>
      <c r="Z10" s="184"/>
      <c r="AA10" s="184"/>
      <c r="AB10" s="184"/>
      <c r="AC10" s="184"/>
      <c r="AD10" s="184"/>
    </row>
    <row r="11" spans="1:48" ht="24.75" hidden="1" customHeight="1">
      <c r="A11" s="832">
        <v>2009</v>
      </c>
      <c r="C11" s="234">
        <v>8838405972.0000038</v>
      </c>
      <c r="S11" s="238"/>
      <c r="V11" s="184"/>
      <c r="W11" s="425"/>
      <c r="X11" s="425"/>
      <c r="Y11" s="184"/>
      <c r="Z11" s="184"/>
      <c r="AA11" s="184"/>
      <c r="AB11" s="184"/>
      <c r="AC11" s="184"/>
      <c r="AD11" s="184"/>
    </row>
    <row r="12" spans="1:48" ht="21" customHeight="1">
      <c r="A12" s="832">
        <v>2010</v>
      </c>
      <c r="C12" s="83">
        <v>9537700528</v>
      </c>
      <c r="S12" s="238"/>
      <c r="V12" s="184"/>
      <c r="W12" s="425"/>
      <c r="X12" s="425"/>
      <c r="Y12" s="184"/>
      <c r="Z12" s="184"/>
      <c r="AA12" s="184"/>
      <c r="AB12" s="184"/>
      <c r="AC12" s="184"/>
      <c r="AD12" s="184"/>
    </row>
    <row r="13" spans="1:48">
      <c r="A13" s="832">
        <v>2011</v>
      </c>
      <c r="C13" s="83">
        <v>9846787045</v>
      </c>
      <c r="S13" s="238"/>
      <c r="V13" s="184"/>
      <c r="W13" s="425"/>
      <c r="X13" s="425"/>
      <c r="Y13" s="184"/>
      <c r="Z13" s="184"/>
      <c r="AA13" s="184"/>
      <c r="AB13" s="184"/>
      <c r="AC13" s="184"/>
      <c r="AD13" s="184"/>
    </row>
    <row r="14" spans="1:48">
      <c r="A14" s="832">
        <v>2012</v>
      </c>
      <c r="C14" s="83">
        <v>10527113882</v>
      </c>
      <c r="S14" s="238"/>
      <c r="V14" s="184"/>
      <c r="W14" s="425"/>
      <c r="X14" s="425"/>
      <c r="Y14" s="184"/>
      <c r="Z14" s="184"/>
      <c r="AA14" s="184"/>
      <c r="AB14" s="184"/>
      <c r="AC14" s="184"/>
      <c r="AD14" s="184"/>
    </row>
    <row r="15" spans="1:48">
      <c r="A15" s="832">
        <v>2013</v>
      </c>
      <c r="C15" s="83">
        <v>10586343685</v>
      </c>
      <c r="S15" s="238"/>
      <c r="V15" s="184"/>
      <c r="W15" s="425"/>
      <c r="X15" s="425"/>
      <c r="Y15" s="184"/>
      <c r="Z15" s="184"/>
      <c r="AA15" s="184"/>
      <c r="AB15" s="184"/>
      <c r="AC15" s="184"/>
      <c r="AD15" s="184"/>
    </row>
    <row r="16" spans="1:48">
      <c r="A16" s="832">
        <v>2014</v>
      </c>
      <c r="C16" s="83">
        <v>11623977320</v>
      </c>
      <c r="S16" s="238"/>
      <c r="V16" s="184"/>
      <c r="W16" s="425"/>
      <c r="X16" s="425"/>
      <c r="Y16" s="184"/>
      <c r="Z16" s="184"/>
      <c r="AA16" s="184"/>
      <c r="AB16" s="184"/>
      <c r="AC16" s="184"/>
      <c r="AD16" s="184"/>
    </row>
    <row r="17" spans="1:30">
      <c r="A17" s="832">
        <v>2015</v>
      </c>
      <c r="C17" s="83">
        <v>12071058964</v>
      </c>
      <c r="S17" s="238"/>
      <c r="V17" s="184"/>
      <c r="W17" s="425"/>
      <c r="X17" s="425"/>
      <c r="Y17" s="184"/>
      <c r="Z17" s="184"/>
      <c r="AA17" s="184"/>
      <c r="AB17" s="184"/>
      <c r="AC17" s="184"/>
      <c r="AD17" s="184"/>
    </row>
    <row r="18" spans="1:30">
      <c r="A18" s="832">
        <v>2016</v>
      </c>
      <c r="C18" s="83">
        <v>11800977144.559999</v>
      </c>
      <c r="E18" s="361"/>
      <c r="S18" s="238"/>
      <c r="V18" s="184"/>
      <c r="W18" s="425"/>
      <c r="X18" s="425"/>
      <c r="Y18" s="184"/>
      <c r="Z18" s="184"/>
      <c r="AA18" s="184"/>
      <c r="AB18" s="184"/>
      <c r="AC18" s="184"/>
      <c r="AD18" s="184"/>
    </row>
    <row r="19" spans="1:30">
      <c r="A19" s="832">
        <v>2017</v>
      </c>
      <c r="C19" s="83">
        <v>12342418241.27</v>
      </c>
      <c r="E19" s="479"/>
      <c r="F19" s="84"/>
      <c r="S19" s="238"/>
      <c r="V19" s="184"/>
      <c r="W19" s="425"/>
      <c r="X19" s="425"/>
      <c r="Y19" s="184"/>
      <c r="Z19" s="184"/>
      <c r="AA19" s="184"/>
      <c r="AB19" s="184"/>
      <c r="AC19" s="184"/>
      <c r="AD19" s="184"/>
    </row>
    <row r="20" spans="1:30">
      <c r="A20" s="832">
        <v>2018</v>
      </c>
      <c r="C20" s="83">
        <v>14112424787.530001</v>
      </c>
      <c r="E20" s="520">
        <f>C20/C19-1</f>
        <v>0.14340840762805573</v>
      </c>
      <c r="F20" s="84"/>
      <c r="S20" s="238"/>
      <c r="V20" s="184"/>
      <c r="W20" s="425"/>
      <c r="X20" s="425"/>
      <c r="Y20" s="184"/>
      <c r="Z20" s="184"/>
      <c r="AA20" s="184"/>
      <c r="AB20" s="184"/>
      <c r="AC20" s="184"/>
      <c r="AD20" s="184"/>
    </row>
    <row r="21" spans="1:30">
      <c r="A21" s="832">
        <v>2019</v>
      </c>
      <c r="C21" s="83">
        <v>14172033140.65</v>
      </c>
      <c r="E21" s="520"/>
      <c r="F21" s="81"/>
      <c r="S21" s="238"/>
      <c r="V21" s="184"/>
      <c r="W21" s="425"/>
      <c r="X21" s="425"/>
      <c r="Y21" s="184"/>
      <c r="Z21" s="184"/>
      <c r="AA21" s="184"/>
      <c r="AB21" s="184"/>
      <c r="AC21" s="184"/>
      <c r="AD21" s="184"/>
    </row>
    <row r="22" spans="1:30">
      <c r="A22" s="832" t="s">
        <v>1324</v>
      </c>
      <c r="B22" s="85"/>
      <c r="C22" s="83">
        <v>14728931857.1</v>
      </c>
      <c r="D22" s="85"/>
      <c r="E22" s="361"/>
      <c r="F22" s="81"/>
      <c r="S22" s="238"/>
      <c r="V22" s="184"/>
      <c r="W22" s="425"/>
      <c r="X22" s="425"/>
      <c r="Y22" s="184"/>
      <c r="Z22" s="184"/>
      <c r="AA22" s="184"/>
      <c r="AB22" s="184"/>
      <c r="AC22" s="184"/>
      <c r="AD22" s="184"/>
    </row>
    <row r="23" spans="1:30">
      <c r="A23" s="832" t="s">
        <v>1024</v>
      </c>
      <c r="B23" s="85"/>
      <c r="C23" s="83">
        <v>18548295256.189999</v>
      </c>
      <c r="D23" s="85"/>
      <c r="E23" s="361"/>
      <c r="F23" s="81"/>
      <c r="S23" s="238"/>
      <c r="V23" s="184"/>
      <c r="W23" s="425"/>
      <c r="X23" s="425"/>
      <c r="Y23" s="184"/>
      <c r="Z23" s="184"/>
      <c r="AA23" s="184"/>
      <c r="AB23" s="184"/>
      <c r="AC23" s="184"/>
      <c r="AD23" s="184"/>
    </row>
    <row r="24" spans="1:30">
      <c r="A24" s="832"/>
      <c r="B24" s="85"/>
      <c r="C24" s="83"/>
      <c r="D24" s="85"/>
      <c r="E24" s="361"/>
      <c r="F24" s="81"/>
      <c r="S24" s="238"/>
      <c r="V24" s="184"/>
      <c r="W24" s="425"/>
      <c r="X24" s="425"/>
      <c r="Y24" s="184"/>
      <c r="Z24" s="184"/>
      <c r="AA24" s="184"/>
      <c r="AB24" s="184"/>
      <c r="AC24" s="184"/>
      <c r="AD24" s="184"/>
    </row>
    <row r="25" spans="1:30">
      <c r="B25" s="85"/>
      <c r="C25" s="83"/>
      <c r="D25" s="85"/>
      <c r="E25" s="361"/>
      <c r="F25" s="81"/>
      <c r="S25" s="238"/>
      <c r="V25" s="184"/>
      <c r="W25" s="425"/>
      <c r="X25" s="425"/>
      <c r="Y25" s="184"/>
      <c r="Z25" s="184"/>
      <c r="AA25" s="184"/>
      <c r="AB25" s="184"/>
      <c r="AC25" s="184"/>
      <c r="AD25" s="184"/>
    </row>
    <row r="26" spans="1:30">
      <c r="B26" s="85"/>
      <c r="C26" s="471"/>
      <c r="D26" s="85"/>
      <c r="E26" s="361"/>
      <c r="F26" s="81"/>
      <c r="S26" s="238"/>
      <c r="V26" s="184"/>
      <c r="W26" s="425"/>
      <c r="X26" s="425"/>
      <c r="Y26" s="184"/>
      <c r="Z26" s="184"/>
      <c r="AA26" s="184"/>
      <c r="AB26" s="184"/>
      <c r="AC26" s="184"/>
      <c r="AD26" s="184"/>
    </row>
    <row r="27" spans="1:30" s="1180" customFormat="1" ht="10" customHeight="1">
      <c r="A27" s="1178" t="s">
        <v>18</v>
      </c>
      <c r="B27" s="1181"/>
      <c r="D27" s="1181"/>
      <c r="F27" s="1182"/>
      <c r="S27" s="1183"/>
      <c r="V27" s="1184"/>
      <c r="W27" s="1185"/>
      <c r="X27" s="1186"/>
      <c r="Y27" s="1184"/>
      <c r="Z27" s="1184"/>
      <c r="AA27" s="1184"/>
      <c r="AB27" s="1184"/>
      <c r="AC27" s="1184"/>
      <c r="AD27" s="1184"/>
    </row>
    <row r="28" spans="1:30" s="1180" customFormat="1" ht="10" customHeight="1">
      <c r="A28" s="1178" t="s">
        <v>768</v>
      </c>
      <c r="B28" s="1181"/>
      <c r="D28" s="1181"/>
      <c r="F28" s="1182"/>
      <c r="T28" s="1187"/>
      <c r="V28" s="1184"/>
      <c r="W28" s="1184"/>
      <c r="X28" s="1184"/>
      <c r="Y28" s="1184"/>
      <c r="Z28" s="1184"/>
      <c r="AA28" s="1184"/>
      <c r="AB28" s="1184"/>
      <c r="AC28" s="1184"/>
      <c r="AD28" s="1184"/>
    </row>
    <row r="29" spans="1:30" ht="13">
      <c r="A29" s="788" t="s">
        <v>958</v>
      </c>
      <c r="B29" s="85"/>
      <c r="D29" s="85"/>
      <c r="F29" s="81"/>
      <c r="T29" s="528"/>
      <c r="V29" s="184"/>
      <c r="W29" s="184"/>
      <c r="X29" s="184"/>
      <c r="Y29" s="184"/>
      <c r="Z29" s="184"/>
      <c r="AA29" s="184"/>
      <c r="AB29" s="184"/>
      <c r="AC29" s="184"/>
      <c r="AD29" s="184"/>
    </row>
    <row r="30" spans="1:30">
      <c r="A30" s="4"/>
      <c r="B30" s="85"/>
      <c r="D30" s="85"/>
      <c r="F30" s="81"/>
      <c r="T30" s="528"/>
      <c r="V30" s="184"/>
      <c r="W30" s="184"/>
      <c r="X30" s="184"/>
      <c r="Y30" s="184"/>
      <c r="Z30" s="184"/>
      <c r="AA30" s="184"/>
      <c r="AB30" s="184"/>
      <c r="AC30" s="184"/>
      <c r="AD30" s="184"/>
    </row>
    <row r="31" spans="1:30">
      <c r="A31" s="81"/>
      <c r="B31" s="86"/>
      <c r="D31" s="86"/>
      <c r="V31" s="184"/>
      <c r="W31" s="184"/>
      <c r="X31" s="184"/>
      <c r="Y31" s="184"/>
      <c r="Z31" s="184"/>
      <c r="AA31" s="184"/>
      <c r="AB31" s="184"/>
      <c r="AC31" s="184"/>
      <c r="AD31" s="184"/>
    </row>
    <row r="32" spans="1:30">
      <c r="A32" s="81"/>
      <c r="B32" s="86"/>
      <c r="D32" s="86"/>
      <c r="V32" s="184"/>
      <c r="W32" s="184"/>
      <c r="X32" s="184"/>
      <c r="Y32" s="184"/>
      <c r="Z32" s="184"/>
      <c r="AA32" s="184"/>
      <c r="AB32" s="184"/>
      <c r="AC32" s="184"/>
      <c r="AD32" s="184"/>
    </row>
    <row r="33" spans="1:30">
      <c r="A33" s="81"/>
      <c r="B33" s="86"/>
      <c r="D33" s="86"/>
      <c r="V33" s="184"/>
      <c r="W33" s="184"/>
      <c r="X33" s="184"/>
      <c r="Y33" s="184"/>
      <c r="Z33" s="184"/>
      <c r="AA33" s="184"/>
      <c r="AB33" s="184"/>
      <c r="AC33" s="184"/>
      <c r="AD33" s="184"/>
    </row>
    <row r="34" spans="1:30">
      <c r="A34" s="81"/>
      <c r="B34" s="86"/>
      <c r="D34" s="86"/>
      <c r="V34" s="184"/>
      <c r="W34" s="184"/>
      <c r="X34" s="184"/>
      <c r="Y34" s="184"/>
      <c r="Z34" s="184"/>
      <c r="AA34" s="184"/>
      <c r="AB34" s="184"/>
      <c r="AC34" s="184"/>
      <c r="AD34" s="184"/>
    </row>
    <row r="35" spans="1:30">
      <c r="A35" s="81"/>
      <c r="B35" s="86"/>
      <c r="D35" s="86"/>
      <c r="V35" s="184"/>
      <c r="W35" s="184"/>
      <c r="X35" s="184"/>
      <c r="Y35" s="184"/>
      <c r="Z35" s="184"/>
      <c r="AA35" s="184"/>
      <c r="AB35" s="184"/>
      <c r="AC35" s="184"/>
      <c r="AD35" s="184"/>
    </row>
    <row r="36" spans="1:30">
      <c r="A36" s="81"/>
      <c r="B36" s="86"/>
      <c r="D36" s="86"/>
      <c r="V36" s="184"/>
      <c r="W36" s="184"/>
      <c r="X36" s="184"/>
      <c r="Y36" s="184"/>
      <c r="Z36" s="184"/>
      <c r="AA36" s="184"/>
      <c r="AB36" s="184"/>
      <c r="AC36" s="184"/>
      <c r="AD36" s="184"/>
    </row>
    <row r="37" spans="1:30">
      <c r="A37" s="81"/>
      <c r="B37" s="86"/>
      <c r="D37" s="86"/>
      <c r="V37" s="184"/>
      <c r="W37" s="184"/>
      <c r="X37" s="184"/>
      <c r="Y37" s="184"/>
      <c r="Z37" s="184"/>
      <c r="AA37" s="184"/>
      <c r="AB37" s="184"/>
      <c r="AC37" s="184"/>
      <c r="AD37" s="184"/>
    </row>
    <row r="38" spans="1:30">
      <c r="A38" s="81"/>
      <c r="B38" s="86"/>
      <c r="D38" s="86"/>
      <c r="V38" s="184"/>
      <c r="W38" s="184"/>
      <c r="X38" s="184"/>
      <c r="Y38" s="184"/>
      <c r="Z38" s="184"/>
      <c r="AA38" s="184"/>
      <c r="AB38" s="184"/>
      <c r="AC38" s="184"/>
      <c r="AD38" s="184"/>
    </row>
    <row r="39" spans="1:30">
      <c r="A39" s="81"/>
      <c r="B39" s="86"/>
      <c r="D39" s="86"/>
      <c r="V39" s="184"/>
      <c r="W39" s="184"/>
      <c r="X39" s="184"/>
      <c r="Y39" s="184"/>
      <c r="Z39" s="184"/>
      <c r="AA39" s="184"/>
      <c r="AB39" s="184"/>
      <c r="AC39" s="184"/>
      <c r="AD39" s="184"/>
    </row>
    <row r="40" spans="1:30">
      <c r="A40" s="81"/>
      <c r="B40" s="86"/>
      <c r="D40" s="86"/>
    </row>
    <row r="41" spans="1:30">
      <c r="A41" s="81"/>
      <c r="B41" s="86"/>
      <c r="D41" s="86"/>
    </row>
    <row r="42" spans="1:30">
      <c r="A42" s="81"/>
      <c r="B42" s="86"/>
      <c r="D42" s="86"/>
    </row>
    <row r="43" spans="1:30">
      <c r="A43" s="81"/>
      <c r="B43" s="86"/>
      <c r="D43" s="86"/>
    </row>
    <row r="51" spans="1:5" s="705" customFormat="1" ht="12.75" customHeight="1">
      <c r="B51" s="706"/>
      <c r="C51" s="706"/>
      <c r="D51" s="706"/>
      <c r="E51" s="707"/>
    </row>
    <row r="57" spans="1:5" ht="15.5">
      <c r="A57" s="2"/>
      <c r="B57" s="2"/>
      <c r="D57" s="2"/>
    </row>
    <row r="58" spans="1:5" ht="15.5">
      <c r="A58" s="2"/>
      <c r="B58" s="2"/>
      <c r="C58" s="2"/>
      <c r="D58" s="2"/>
      <c r="E58" s="2"/>
    </row>
    <row r="59" spans="1:5" ht="15.5">
      <c r="C59" s="2"/>
      <c r="E59" s="2"/>
    </row>
  </sheetData>
  <customSheetViews>
    <customSheetView guid="{E6BBE5A7-0B25-4EE8-BA45-5EA5DBAF3AD4}" showPageBreaks="1" printArea="1">
      <pageMargins left="0.5" right="0.5" top="1" bottom="1" header="0.5" footer="0.5"/>
      <printOptions horizontalCentered="1"/>
      <pageSetup scale="78" firstPageNumber="3" orientation="landscape" useFirstPageNumber="1" r:id="rId1"/>
    </customSheetView>
  </customSheetViews>
  <hyperlinks>
    <hyperlink ref="F1" location="TOC!A1" display="Back" xr:uid="{00000000-0004-0000-0400-000000000000}"/>
  </hyperlinks>
  <pageMargins left="0.6" right="0.25" top="0.5" bottom="0.25" header="0.25" footer="0"/>
  <pageSetup firstPageNumber="3" orientation="landscape" r:id="rId2"/>
  <headerFooter scaleWithDoc="0">
    <oddHeader>&amp;R&amp;P</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J46"/>
  <sheetViews>
    <sheetView zoomScale="95" zoomScaleNormal="95" workbookViewId="0"/>
  </sheetViews>
  <sheetFormatPr defaultColWidth="9.1796875" defaultRowHeight="12.5"/>
  <cols>
    <col min="1" max="1" width="10.7265625" style="241" customWidth="1"/>
    <col min="2" max="2" width="4.7265625" style="241" customWidth="1"/>
    <col min="3" max="3" width="8" style="241" customWidth="1"/>
    <col min="4" max="4" width="18.7265625" style="241" customWidth="1"/>
    <col min="5" max="5" width="16.7265625" style="241" customWidth="1"/>
    <col min="6" max="8" width="17.7265625" style="241" customWidth="1"/>
    <col min="9" max="9" width="18.7265625" style="241" customWidth="1"/>
    <col min="10" max="10" width="17.7265625" style="241" customWidth="1"/>
    <col min="11" max="11" width="11.7265625" style="795" customWidth="1"/>
    <col min="12" max="16384" width="9.1796875" style="241"/>
  </cols>
  <sheetData>
    <row r="1" spans="1:12" ht="18">
      <c r="A1" s="239" t="s">
        <v>309</v>
      </c>
      <c r="B1" s="239"/>
      <c r="C1" s="239"/>
      <c r="D1" s="240"/>
      <c r="E1" s="153"/>
      <c r="F1" s="240"/>
      <c r="G1" s="240"/>
      <c r="H1" s="240"/>
      <c r="I1" s="240"/>
      <c r="J1" s="154"/>
      <c r="K1" s="154"/>
      <c r="L1" s="855" t="s">
        <v>984</v>
      </c>
    </row>
    <row r="2" spans="1:12" ht="15.5">
      <c r="A2" s="489" t="s">
        <v>746</v>
      </c>
      <c r="B2" s="489"/>
      <c r="C2" s="489"/>
      <c r="D2" s="489"/>
      <c r="E2" s="489"/>
      <c r="F2" s="489"/>
      <c r="G2" s="489"/>
      <c r="H2" s="489"/>
      <c r="I2" s="489"/>
      <c r="J2" s="489"/>
      <c r="K2" s="489"/>
      <c r="L2" s="489"/>
    </row>
    <row r="3" spans="1:12" ht="15" customHeight="1">
      <c r="A3" s="489" t="s">
        <v>1325</v>
      </c>
      <c r="B3" s="489"/>
      <c r="C3" s="489"/>
      <c r="D3" s="240"/>
      <c r="E3" s="153"/>
      <c r="F3" s="240"/>
      <c r="G3" s="240"/>
      <c r="H3" s="240"/>
      <c r="I3" s="240"/>
      <c r="J3" s="154"/>
      <c r="K3" s="154"/>
      <c r="L3" s="240"/>
    </row>
    <row r="4" spans="1:12" ht="6" customHeight="1" thickBot="1">
      <c r="B4" s="242"/>
      <c r="C4" s="243"/>
      <c r="D4" s="242"/>
      <c r="E4" s="242"/>
      <c r="F4" s="242"/>
      <c r="G4" s="242"/>
      <c r="H4" s="242"/>
      <c r="I4" s="242"/>
      <c r="J4" s="242"/>
      <c r="K4" s="242"/>
    </row>
    <row r="5" spans="1:12" ht="62">
      <c r="A5" s="1105" t="s">
        <v>1190</v>
      </c>
      <c r="B5" s="1105"/>
      <c r="C5" s="1106"/>
      <c r="D5" s="1107" t="s">
        <v>1189</v>
      </c>
      <c r="E5" s="1107" t="s">
        <v>1191</v>
      </c>
      <c r="F5" s="1107" t="s">
        <v>1192</v>
      </c>
      <c r="G5" s="1107" t="s">
        <v>1193</v>
      </c>
      <c r="H5" s="1107" t="s">
        <v>1194</v>
      </c>
      <c r="I5" s="1107" t="s">
        <v>1195</v>
      </c>
      <c r="J5" s="1107" t="s">
        <v>1196</v>
      </c>
      <c r="K5" s="1107" t="s">
        <v>1197</v>
      </c>
    </row>
    <row r="6" spans="1:12" ht="21" customHeight="1">
      <c r="A6" s="155">
        <v>0</v>
      </c>
      <c r="B6" s="154" t="s">
        <v>303</v>
      </c>
      <c r="C6" s="156">
        <v>999</v>
      </c>
      <c r="D6" s="1112">
        <v>27018496.120000001</v>
      </c>
      <c r="E6" s="1112">
        <v>365014025.13999999</v>
      </c>
      <c r="F6" s="1112">
        <v>14335292392.5</v>
      </c>
      <c r="G6" s="1112">
        <v>830590281.75</v>
      </c>
      <c r="H6" s="1112">
        <v>15165882674.25</v>
      </c>
      <c r="I6" s="1112">
        <v>5078206.72</v>
      </c>
      <c r="J6" s="1112">
        <v>101715.63</v>
      </c>
      <c r="K6" s="1113">
        <f>J6/I6</f>
        <v>2.0029832499611204E-2</v>
      </c>
    </row>
    <row r="7" spans="1:12" ht="15" customHeight="1">
      <c r="A7" s="155">
        <v>1000</v>
      </c>
      <c r="B7" s="154" t="s">
        <v>303</v>
      </c>
      <c r="C7" s="156">
        <v>1999</v>
      </c>
      <c r="D7" s="532">
        <v>80598020.269999996</v>
      </c>
      <c r="E7" s="532">
        <v>75163202.219999999</v>
      </c>
      <c r="F7" s="532">
        <v>89622471.790000007</v>
      </c>
      <c r="G7" s="532">
        <v>201069693.5</v>
      </c>
      <c r="H7" s="532">
        <v>290692165.29000002</v>
      </c>
      <c r="I7" s="532">
        <v>11112926.51</v>
      </c>
      <c r="J7" s="532">
        <v>222299.7</v>
      </c>
      <c r="K7" s="793">
        <f t="shared" ref="K7:K29" si="0">J7/I7</f>
        <v>2.0003704676708062E-2</v>
      </c>
    </row>
    <row r="8" spans="1:12" ht="15" customHeight="1">
      <c r="A8" s="155">
        <v>2000</v>
      </c>
      <c r="B8" s="154" t="s">
        <v>303</v>
      </c>
      <c r="C8" s="156">
        <v>2999</v>
      </c>
      <c r="D8" s="532">
        <v>136231861.52000001</v>
      </c>
      <c r="E8" s="532">
        <v>73708455.810000002</v>
      </c>
      <c r="F8" s="532">
        <v>75710935.510000005</v>
      </c>
      <c r="G8" s="532">
        <v>209305422</v>
      </c>
      <c r="H8" s="532">
        <v>285016357.50999999</v>
      </c>
      <c r="I8" s="532">
        <v>16783500.670000002</v>
      </c>
      <c r="J8" s="532">
        <v>335726.71</v>
      </c>
      <c r="K8" s="793">
        <f t="shared" si="0"/>
        <v>2.0003378115276114E-2</v>
      </c>
    </row>
    <row r="9" spans="1:12" ht="15" customHeight="1">
      <c r="A9" s="155">
        <v>3000</v>
      </c>
      <c r="B9" s="154" t="s">
        <v>303</v>
      </c>
      <c r="C9" s="156">
        <v>3999</v>
      </c>
      <c r="D9" s="532">
        <v>189630491.94999999</v>
      </c>
      <c r="E9" s="532">
        <v>73525828.819999993</v>
      </c>
      <c r="F9" s="532">
        <v>87029780.549999997</v>
      </c>
      <c r="G9" s="532">
        <v>220413751.84999999</v>
      </c>
      <c r="H9" s="532">
        <v>307443532.39999998</v>
      </c>
      <c r="I9" s="532">
        <v>21319430.030000001</v>
      </c>
      <c r="J9" s="532">
        <v>439360.78</v>
      </c>
      <c r="K9" s="793">
        <f t="shared" si="0"/>
        <v>2.0608467458170597E-2</v>
      </c>
    </row>
    <row r="10" spans="1:12" ht="15" customHeight="1">
      <c r="A10" s="155">
        <v>4000</v>
      </c>
      <c r="B10" s="154" t="s">
        <v>303</v>
      </c>
      <c r="C10" s="156">
        <v>4999</v>
      </c>
      <c r="D10" s="532">
        <v>235137777.37</v>
      </c>
      <c r="E10" s="532">
        <v>70661711.560000002</v>
      </c>
      <c r="F10" s="532">
        <v>84486755.680000007</v>
      </c>
      <c r="G10" s="532">
        <v>228081525.44999999</v>
      </c>
      <c r="H10" s="532">
        <v>312568281.13</v>
      </c>
      <c r="I10" s="532">
        <v>22144492.609999999</v>
      </c>
      <c r="J10" s="532">
        <v>493082.26</v>
      </c>
      <c r="K10" s="793">
        <f t="shared" si="0"/>
        <v>2.226658649100563E-2</v>
      </c>
    </row>
    <row r="11" spans="1:12" ht="15" customHeight="1">
      <c r="A11" s="155">
        <v>5000</v>
      </c>
      <c r="B11" s="154" t="s">
        <v>303</v>
      </c>
      <c r="C11" s="156">
        <v>5999</v>
      </c>
      <c r="D11" s="532">
        <v>285631847.18000001</v>
      </c>
      <c r="E11" s="532">
        <v>71053581.099999994</v>
      </c>
      <c r="F11" s="532">
        <v>87041472.329999998</v>
      </c>
      <c r="G11" s="532">
        <v>231144474.80000001</v>
      </c>
      <c r="H11" s="532">
        <v>318185947.13</v>
      </c>
      <c r="I11" s="532">
        <v>23754322.5</v>
      </c>
      <c r="J11" s="532">
        <v>574398.63</v>
      </c>
      <c r="K11" s="793">
        <f t="shared" si="0"/>
        <v>2.418080456725297E-2</v>
      </c>
    </row>
    <row r="12" spans="1:12" ht="15" customHeight="1">
      <c r="A12" s="155">
        <v>6000</v>
      </c>
      <c r="B12" s="154" t="s">
        <v>303</v>
      </c>
      <c r="C12" s="156">
        <v>6999</v>
      </c>
      <c r="D12" s="532">
        <v>327494610.04000002</v>
      </c>
      <c r="E12" s="532">
        <v>69305043.680000007</v>
      </c>
      <c r="F12" s="532">
        <v>82868764.530000001</v>
      </c>
      <c r="G12" s="532">
        <v>226593026.84999999</v>
      </c>
      <c r="H12" s="532">
        <v>309461791.38</v>
      </c>
      <c r="I12" s="532">
        <v>24401717.91</v>
      </c>
      <c r="J12" s="532">
        <v>662092.4</v>
      </c>
      <c r="K12" s="793">
        <f t="shared" si="0"/>
        <v>2.7133024094531877E-2</v>
      </c>
    </row>
    <row r="13" spans="1:12" ht="15" customHeight="1">
      <c r="A13" s="155">
        <v>7000</v>
      </c>
      <c r="B13" s="154" t="s">
        <v>303</v>
      </c>
      <c r="C13" s="156">
        <v>7999</v>
      </c>
      <c r="D13" s="532">
        <v>369017742.17000002</v>
      </c>
      <c r="E13" s="532">
        <v>68852775.709999993</v>
      </c>
      <c r="F13" s="532">
        <v>87015968.079999998</v>
      </c>
      <c r="G13" s="532">
        <v>222642913.59999999</v>
      </c>
      <c r="H13" s="532">
        <v>309658881.68000001</v>
      </c>
      <c r="I13" s="532">
        <v>26381286.890000001</v>
      </c>
      <c r="J13" s="532">
        <v>787673.14</v>
      </c>
      <c r="K13" s="793">
        <f>J13/I13</f>
        <v>2.9857267512547792E-2</v>
      </c>
    </row>
    <row r="14" spans="1:12" ht="15" customHeight="1">
      <c r="A14" s="155">
        <v>8000</v>
      </c>
      <c r="B14" s="154" t="s">
        <v>303</v>
      </c>
      <c r="C14" s="156">
        <v>8999</v>
      </c>
      <c r="D14" s="532">
        <v>411951384</v>
      </c>
      <c r="E14" s="532">
        <v>68448198.609999999</v>
      </c>
      <c r="F14" s="532">
        <v>64383504.07</v>
      </c>
      <c r="G14" s="532">
        <v>220626404.75</v>
      </c>
      <c r="H14" s="532">
        <v>285009908.81999999</v>
      </c>
      <c r="I14" s="532">
        <v>27146567.27</v>
      </c>
      <c r="J14" s="532">
        <v>870328.87</v>
      </c>
      <c r="K14" s="793">
        <f t="shared" si="0"/>
        <v>3.2060365546173898E-2</v>
      </c>
    </row>
    <row r="15" spans="1:12" ht="15" customHeight="1">
      <c r="A15" s="155">
        <v>9000</v>
      </c>
      <c r="B15" s="154" t="s">
        <v>303</v>
      </c>
      <c r="C15" s="156">
        <v>9999</v>
      </c>
      <c r="D15" s="532">
        <v>473723320.85000002</v>
      </c>
      <c r="E15" s="532">
        <v>71314056.969999999</v>
      </c>
      <c r="F15" s="532">
        <v>67092279.950000003</v>
      </c>
      <c r="G15" s="532">
        <v>229484723.15000001</v>
      </c>
      <c r="H15" s="532">
        <v>296577003.10000002</v>
      </c>
      <c r="I15" s="532">
        <v>28218413.23</v>
      </c>
      <c r="J15" s="532">
        <v>952678.04</v>
      </c>
      <c r="K15" s="793">
        <f t="shared" si="0"/>
        <v>3.3760865015158757E-2</v>
      </c>
    </row>
    <row r="16" spans="1:12" ht="15" customHeight="1">
      <c r="A16" s="155">
        <v>10000</v>
      </c>
      <c r="B16" s="154" t="s">
        <v>303</v>
      </c>
      <c r="C16" s="156">
        <v>10999</v>
      </c>
      <c r="D16" s="532">
        <v>520580837.51999998</v>
      </c>
      <c r="E16" s="532">
        <v>72430474.969999999</v>
      </c>
      <c r="F16" s="532">
        <v>60527321.630000003</v>
      </c>
      <c r="G16" s="532">
        <v>228426123.40000001</v>
      </c>
      <c r="H16" s="532">
        <v>288953445.02999997</v>
      </c>
      <c r="I16" s="532">
        <v>27175512.07</v>
      </c>
      <c r="J16" s="532">
        <v>961327.1</v>
      </c>
      <c r="K16" s="793">
        <f t="shared" si="0"/>
        <v>3.5374755681650709E-2</v>
      </c>
    </row>
    <row r="17" spans="1:11" ht="15" customHeight="1">
      <c r="A17" s="155">
        <v>11000</v>
      </c>
      <c r="B17" s="154" t="s">
        <v>303</v>
      </c>
      <c r="C17" s="156">
        <v>11999</v>
      </c>
      <c r="D17" s="532">
        <v>558916368.17999995</v>
      </c>
      <c r="E17" s="532">
        <v>71483069.689999998</v>
      </c>
      <c r="F17" s="532">
        <v>65275772.590000004</v>
      </c>
      <c r="G17" s="532">
        <v>225957021.84999999</v>
      </c>
      <c r="H17" s="532">
        <v>291232794.44</v>
      </c>
      <c r="I17" s="532">
        <v>39596704.890000001</v>
      </c>
      <c r="J17" s="532">
        <v>1378761.88</v>
      </c>
      <c r="K17" s="793">
        <f t="shared" si="0"/>
        <v>3.4820116568543079E-2</v>
      </c>
    </row>
    <row r="18" spans="1:11" ht="15" customHeight="1">
      <c r="A18" s="155">
        <v>12000</v>
      </c>
      <c r="B18" s="154" t="s">
        <v>303</v>
      </c>
      <c r="C18" s="156">
        <v>12999</v>
      </c>
      <c r="D18" s="532">
        <v>602166212.23000002</v>
      </c>
      <c r="E18" s="532">
        <v>71342530.109999999</v>
      </c>
      <c r="F18" s="532">
        <v>56636268.409999996</v>
      </c>
      <c r="G18" s="532">
        <v>224986675.40000001</v>
      </c>
      <c r="H18" s="532">
        <v>281622943.81</v>
      </c>
      <c r="I18" s="532">
        <v>268886133.77999997</v>
      </c>
      <c r="J18" s="532">
        <v>8633769.4399999995</v>
      </c>
      <c r="K18" s="793">
        <f t="shared" si="0"/>
        <v>3.2109388902382248E-2</v>
      </c>
    </row>
    <row r="19" spans="1:11" ht="15" customHeight="1">
      <c r="A19" s="155">
        <v>13000</v>
      </c>
      <c r="B19" s="154" t="s">
        <v>303</v>
      </c>
      <c r="C19" s="156">
        <v>13999</v>
      </c>
      <c r="D19" s="532">
        <v>623327232.65999997</v>
      </c>
      <c r="E19" s="532">
        <v>70419726.739999995</v>
      </c>
      <c r="F19" s="532">
        <v>84106039.909999996</v>
      </c>
      <c r="G19" s="532">
        <v>216896403.55000001</v>
      </c>
      <c r="H19" s="532">
        <v>301002443.45999998</v>
      </c>
      <c r="I19" s="532">
        <v>287984542.74000001</v>
      </c>
      <c r="J19" s="532">
        <v>9833418.8599999994</v>
      </c>
      <c r="K19" s="793">
        <f t="shared" si="0"/>
        <v>3.4145648118614015E-2</v>
      </c>
    </row>
    <row r="20" spans="1:11" ht="15" customHeight="1">
      <c r="A20" s="155">
        <v>14000</v>
      </c>
      <c r="B20" s="154" t="s">
        <v>303</v>
      </c>
      <c r="C20" s="156">
        <v>14999</v>
      </c>
      <c r="D20" s="532">
        <v>666520886.30999994</v>
      </c>
      <c r="E20" s="532">
        <v>72735415.260000005</v>
      </c>
      <c r="F20" s="532">
        <v>86068416.230000004</v>
      </c>
      <c r="G20" s="532">
        <v>216965150.44999999</v>
      </c>
      <c r="H20" s="532">
        <v>303033566.68000001</v>
      </c>
      <c r="I20" s="532">
        <v>314582593.56999999</v>
      </c>
      <c r="J20" s="532">
        <v>11235917.84</v>
      </c>
      <c r="K20" s="793">
        <f t="shared" si="0"/>
        <v>3.5716908912507318E-2</v>
      </c>
    </row>
    <row r="21" spans="1:11" ht="15" customHeight="1">
      <c r="A21" s="155">
        <v>15000</v>
      </c>
      <c r="B21" s="154" t="s">
        <v>303</v>
      </c>
      <c r="C21" s="156">
        <v>19999</v>
      </c>
      <c r="D21" s="532">
        <v>3828907154.5</v>
      </c>
      <c r="E21" s="532">
        <v>349966247.02999997</v>
      </c>
      <c r="F21" s="532">
        <v>358936648.23000002</v>
      </c>
      <c r="G21" s="532">
        <v>1046414904.05</v>
      </c>
      <c r="H21" s="532">
        <v>1405351552.28</v>
      </c>
      <c r="I21" s="532">
        <v>1933039726.3199999</v>
      </c>
      <c r="J21" s="532">
        <v>75623123.680000007</v>
      </c>
      <c r="K21" s="793">
        <f>J21/I21</f>
        <v>3.9121349991066444E-2</v>
      </c>
    </row>
    <row r="22" spans="1:11" ht="15" customHeight="1">
      <c r="A22" s="155">
        <v>20000</v>
      </c>
      <c r="B22" s="154" t="s">
        <v>303</v>
      </c>
      <c r="C22" s="156">
        <v>24999</v>
      </c>
      <c r="D22" s="532">
        <v>4661018347.8500004</v>
      </c>
      <c r="E22" s="532">
        <v>342139192.60000002</v>
      </c>
      <c r="F22" s="532">
        <v>350204227.62</v>
      </c>
      <c r="G22" s="532">
        <v>1014194469</v>
      </c>
      <c r="H22" s="532">
        <v>1364398696.6199999</v>
      </c>
      <c r="I22" s="532">
        <v>2569512910.8200002</v>
      </c>
      <c r="J22" s="532">
        <v>108800733.05</v>
      </c>
      <c r="K22" s="793">
        <f t="shared" si="0"/>
        <v>4.2342940793116617E-2</v>
      </c>
    </row>
    <row r="23" spans="1:11" ht="15" customHeight="1">
      <c r="A23" s="155">
        <v>25000</v>
      </c>
      <c r="B23" s="154" t="s">
        <v>303</v>
      </c>
      <c r="C23" s="156">
        <v>29999</v>
      </c>
      <c r="D23" s="532">
        <v>5629589545.3100004</v>
      </c>
      <c r="E23" s="532">
        <v>343833548.31</v>
      </c>
      <c r="F23" s="532">
        <v>343252744.97000003</v>
      </c>
      <c r="G23" s="532">
        <v>1011123085.05</v>
      </c>
      <c r="H23" s="532">
        <v>1354375830.02</v>
      </c>
      <c r="I23" s="532">
        <v>3635575719.0300002</v>
      </c>
      <c r="J23" s="532">
        <v>162329490.77000001</v>
      </c>
      <c r="K23" s="793">
        <f>J23/I23</f>
        <v>4.4650284663390473E-2</v>
      </c>
    </row>
    <row r="24" spans="1:11" ht="15" customHeight="1">
      <c r="A24" s="155">
        <v>30000</v>
      </c>
      <c r="B24" s="154" t="s">
        <v>303</v>
      </c>
      <c r="C24" s="156">
        <v>34999</v>
      </c>
      <c r="D24" s="532">
        <v>6394079510.97999</v>
      </c>
      <c r="E24" s="532">
        <v>336400376.75</v>
      </c>
      <c r="F24" s="532">
        <v>378722929.48000002</v>
      </c>
      <c r="G24" s="532">
        <v>978841172.25000095</v>
      </c>
      <c r="H24" s="532">
        <v>1357564101.73</v>
      </c>
      <c r="I24" s="532">
        <v>4350338810.6199999</v>
      </c>
      <c r="J24" s="532">
        <v>203785721.03999999</v>
      </c>
      <c r="K24" s="793">
        <f t="shared" si="0"/>
        <v>4.684364365886181E-2</v>
      </c>
    </row>
    <row r="25" spans="1:11" ht="15" customHeight="1">
      <c r="A25" s="155">
        <v>35000</v>
      </c>
      <c r="B25" s="154" t="s">
        <v>303</v>
      </c>
      <c r="C25" s="156">
        <v>39999</v>
      </c>
      <c r="D25" s="532">
        <v>6766352734.6599998</v>
      </c>
      <c r="E25" s="532">
        <v>315776775.48000002</v>
      </c>
      <c r="F25" s="532">
        <v>399343577.52999997</v>
      </c>
      <c r="G25" s="532">
        <v>908286983.34999895</v>
      </c>
      <c r="H25" s="532">
        <v>1307630560.8800001</v>
      </c>
      <c r="I25" s="532">
        <v>4771426079.8900003</v>
      </c>
      <c r="J25" s="532">
        <v>230282918.05000001</v>
      </c>
      <c r="K25" s="793">
        <f t="shared" si="0"/>
        <v>4.8262912218333877E-2</v>
      </c>
    </row>
    <row r="26" spans="1:11" ht="15" customHeight="1">
      <c r="A26" s="155">
        <v>40000</v>
      </c>
      <c r="B26" s="154" t="s">
        <v>303</v>
      </c>
      <c r="C26" s="156">
        <v>44999</v>
      </c>
      <c r="D26" s="532">
        <v>6895029463.4499998</v>
      </c>
      <c r="E26" s="532">
        <v>288015474.31</v>
      </c>
      <c r="F26" s="532">
        <v>400528662.37</v>
      </c>
      <c r="G26" s="532">
        <v>826155800.54999995</v>
      </c>
      <c r="H26" s="532">
        <v>1226684462.9200001</v>
      </c>
      <c r="I26" s="532">
        <v>4999756194.9200001</v>
      </c>
      <c r="J26" s="532">
        <v>246941690.37</v>
      </c>
      <c r="K26" s="793">
        <f t="shared" si="0"/>
        <v>4.9390746416976293E-2</v>
      </c>
    </row>
    <row r="27" spans="1:11" ht="15" customHeight="1">
      <c r="A27" s="155">
        <v>45000</v>
      </c>
      <c r="B27" s="154" t="s">
        <v>303</v>
      </c>
      <c r="C27" s="156">
        <v>49999</v>
      </c>
      <c r="D27" s="532">
        <v>7026205994.4500103</v>
      </c>
      <c r="E27" s="532">
        <v>265366605.71000001</v>
      </c>
      <c r="F27" s="532">
        <v>424096991.47000003</v>
      </c>
      <c r="G27" s="532">
        <v>760188034.35000098</v>
      </c>
      <c r="H27" s="532">
        <v>1184285025.8199999</v>
      </c>
      <c r="I27" s="532">
        <v>5233314568.8999996</v>
      </c>
      <c r="J27" s="532">
        <v>262364852.63999999</v>
      </c>
      <c r="K27" s="793">
        <f t="shared" si="0"/>
        <v>5.0133591089508489E-2</v>
      </c>
    </row>
    <row r="28" spans="1:11" ht="15" customHeight="1">
      <c r="A28" s="155">
        <v>50000</v>
      </c>
      <c r="B28" s="154" t="s">
        <v>303</v>
      </c>
      <c r="C28" s="156">
        <v>74999</v>
      </c>
      <c r="D28" s="532">
        <v>33917945521.439999</v>
      </c>
      <c r="E28" s="532">
        <v>1047180794.27</v>
      </c>
      <c r="F28" s="532">
        <v>2046858369.4300001</v>
      </c>
      <c r="G28" s="532">
        <v>2913173106.1999998</v>
      </c>
      <c r="H28" s="532">
        <v>4960031475.6300001</v>
      </c>
      <c r="I28" s="532">
        <v>26988427795.599998</v>
      </c>
      <c r="J28" s="532">
        <v>1389887418.9000001</v>
      </c>
      <c r="K28" s="793">
        <f t="shared" si="0"/>
        <v>5.1499384455681314E-2</v>
      </c>
    </row>
    <row r="29" spans="1:11">
      <c r="A29" s="155">
        <v>75000</v>
      </c>
      <c r="B29" s="154" t="s">
        <v>303</v>
      </c>
      <c r="C29" s="156">
        <v>99999</v>
      </c>
      <c r="D29" s="532">
        <v>31262857530.77</v>
      </c>
      <c r="E29" s="532">
        <v>768912679.37</v>
      </c>
      <c r="F29" s="532">
        <v>1941170803.25</v>
      </c>
      <c r="G29" s="532">
        <v>2018048064.25</v>
      </c>
      <c r="H29" s="532">
        <v>3959218867.5</v>
      </c>
      <c r="I29" s="532">
        <v>26396962140.459999</v>
      </c>
      <c r="J29" s="532">
        <v>1395313085.8199999</v>
      </c>
      <c r="K29" s="793">
        <f t="shared" si="0"/>
        <v>5.2858850893350746E-2</v>
      </c>
    </row>
    <row r="30" spans="1:11" ht="21" customHeight="1">
      <c r="A30" s="1108">
        <v>100000</v>
      </c>
      <c r="B30" s="537" t="s">
        <v>301</v>
      </c>
      <c r="C30" s="1109" t="s">
        <v>314</v>
      </c>
      <c r="D30" s="1110">
        <v>282104515174.94</v>
      </c>
      <c r="E30" s="1110">
        <v>2653305717.0900002</v>
      </c>
      <c r="F30" s="1110">
        <v>22135130226.299999</v>
      </c>
      <c r="G30" s="1110">
        <v>5289218135.1000004</v>
      </c>
      <c r="H30" s="1110">
        <v>27424348361.400002</v>
      </c>
      <c r="I30" s="1110">
        <v>258314290076.95001</v>
      </c>
      <c r="J30" s="1110">
        <v>14435483670.59</v>
      </c>
      <c r="K30" s="1111">
        <f>J30/I30</f>
        <v>5.5883411120189172E-2</v>
      </c>
    </row>
    <row r="31" spans="1:11" ht="13">
      <c r="A31" s="87" t="s">
        <v>16</v>
      </c>
      <c r="B31" s="87"/>
      <c r="C31" s="87"/>
      <c r="D31" s="89">
        <f>SUM(D6:D30)</f>
        <v>393994448066.72003</v>
      </c>
      <c r="E31" s="89">
        <f t="shared" ref="E31:J31" si="1">SUM(E6:E30)</f>
        <v>8076355507.3100004</v>
      </c>
      <c r="F31" s="89">
        <f t="shared" si="1"/>
        <v>44191403324.410004</v>
      </c>
      <c r="G31" s="89">
        <f t="shared" si="1"/>
        <v>20698827346.5</v>
      </c>
      <c r="H31" s="89">
        <f>SUM(H6:H30)</f>
        <v>64890230670.909996</v>
      </c>
      <c r="I31" s="89">
        <f t="shared" si="1"/>
        <v>340337210374.90002</v>
      </c>
      <c r="J31" s="89">
        <f t="shared" si="1"/>
        <v>18548295256.189999</v>
      </c>
      <c r="K31" s="794">
        <f>J31/I31</f>
        <v>5.449975697855089E-2</v>
      </c>
    </row>
    <row r="32" spans="1:11">
      <c r="D32" s="251"/>
    </row>
    <row r="33" spans="1:36" s="1195" customFormat="1" ht="10" customHeight="1">
      <c r="A33" s="1188" t="s">
        <v>1</v>
      </c>
      <c r="B33" s="1189"/>
      <c r="C33" s="1190"/>
      <c r="D33" s="1191"/>
      <c r="E33" s="1191"/>
      <c r="F33" s="1191"/>
      <c r="G33" s="1191"/>
      <c r="H33" s="1192"/>
      <c r="I33" s="1191"/>
      <c r="J33" s="1193"/>
      <c r="K33" s="1194"/>
      <c r="P33" s="1196"/>
      <c r="Q33" s="1189"/>
      <c r="R33" s="1190"/>
      <c r="S33" s="1191"/>
      <c r="T33" s="1191"/>
      <c r="U33" s="1191"/>
      <c r="V33" s="1191"/>
      <c r="W33" s="1192"/>
      <c r="X33" s="1191"/>
      <c r="Y33" s="1191"/>
      <c r="Z33" s="1191"/>
      <c r="AC33" s="1197"/>
      <c r="AD33" s="1197"/>
      <c r="AE33" s="1197"/>
      <c r="AF33" s="1197"/>
      <c r="AG33" s="1197"/>
      <c r="AH33" s="1197"/>
      <c r="AI33" s="1197"/>
      <c r="AJ33" s="1197"/>
    </row>
    <row r="34" spans="1:36" s="1195" customFormat="1" ht="10" customHeight="1">
      <c r="A34" s="1188" t="s">
        <v>762</v>
      </c>
      <c r="C34" s="1198"/>
      <c r="H34" s="1199"/>
      <c r="K34" s="1199"/>
    </row>
    <row r="35" spans="1:36" s="1195" customFormat="1" ht="10" customHeight="1">
      <c r="A35" s="1200" t="s">
        <v>763</v>
      </c>
      <c r="C35" s="1198"/>
      <c r="H35" s="1199"/>
      <c r="K35" s="1199"/>
    </row>
    <row r="36" spans="1:36" s="1195" customFormat="1" ht="10" customHeight="1">
      <c r="A36" s="1200" t="s">
        <v>764</v>
      </c>
      <c r="C36" s="1198"/>
      <c r="H36" s="1199"/>
      <c r="K36" s="1199"/>
    </row>
    <row r="37" spans="1:36" s="1195" customFormat="1" ht="10" customHeight="1">
      <c r="A37" s="1188" t="s">
        <v>765</v>
      </c>
      <c r="F37" s="1189"/>
      <c r="K37" s="1199"/>
    </row>
    <row r="38" spans="1:36" s="1195" customFormat="1" ht="10" customHeight="1">
      <c r="A38" s="1188" t="s">
        <v>766</v>
      </c>
      <c r="B38" s="1201"/>
      <c r="C38" s="1201"/>
      <c r="D38" s="1201"/>
      <c r="E38" s="1201"/>
      <c r="F38" s="1201"/>
      <c r="G38" s="1201"/>
      <c r="H38" s="1201"/>
      <c r="I38" s="1201"/>
      <c r="J38" s="1201"/>
      <c r="K38" s="1201"/>
    </row>
    <row r="39" spans="1:36" s="1202" customFormat="1" ht="10" customHeight="1">
      <c r="A39" s="1188" t="s">
        <v>767</v>
      </c>
      <c r="K39" s="1203"/>
    </row>
    <row r="40" spans="1:36" s="1202" customFormat="1" ht="10" customHeight="1">
      <c r="A40" s="1188" t="s">
        <v>1212</v>
      </c>
      <c r="K40" s="1203"/>
    </row>
    <row r="41" spans="1:36" s="705" customFormat="1" ht="12.75" customHeight="1">
      <c r="A41" s="788" t="s">
        <v>958</v>
      </c>
      <c r="B41" s="706"/>
      <c r="C41" s="706"/>
      <c r="D41" s="706"/>
      <c r="E41" s="707"/>
      <c r="K41" s="796"/>
    </row>
    <row r="46" spans="1:36">
      <c r="F46" s="244"/>
    </row>
  </sheetData>
  <customSheetViews>
    <customSheetView guid="{E6BBE5A7-0B25-4EE8-BA45-5EA5DBAF3AD4}" showPageBreaks="1" printArea="1" topLeftCell="A19">
      <pageMargins left="0.5" right="0.5" top="0.5" bottom="0.5" header="0.5" footer="0.5"/>
      <printOptions horizontalCentered="1"/>
      <pageSetup scale="65" orientation="landscape" r:id="rId1"/>
      <headerFooter alignWithMargins="0"/>
    </customSheetView>
  </customSheetViews>
  <hyperlinks>
    <hyperlink ref="L1" location="TOC!A1" display="Back" xr:uid="{00000000-0004-0000-0500-000000000000}"/>
  </hyperlinks>
  <pageMargins left="0.4" right="0.25" top="0.5" bottom="0.25" header="0.25" footer="0"/>
  <pageSetup scale="83" orientation="landscape" r:id="rId2"/>
  <headerFooter scaleWithDoc="0">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D36"/>
  <sheetViews>
    <sheetView zoomScaleNormal="100" workbookViewId="0"/>
  </sheetViews>
  <sheetFormatPr defaultColWidth="9.1796875" defaultRowHeight="12.5"/>
  <cols>
    <col min="1" max="1" width="12.453125" style="241" customWidth="1"/>
    <col min="2" max="2" width="4.7265625" style="241" customWidth="1"/>
    <col min="3" max="3" width="8" style="241" customWidth="1"/>
    <col min="4" max="4" width="11.7265625" style="241" customWidth="1"/>
    <col min="5" max="5" width="14.7265625" style="241" customWidth="1"/>
    <col min="6" max="7" width="13.7265625" style="241" customWidth="1"/>
    <col min="8" max="8" width="52.7265625" style="241" customWidth="1"/>
    <col min="9" max="24" width="9.1796875" style="241"/>
    <col min="25" max="25" width="16.453125" style="352" customWidth="1"/>
    <col min="26" max="26" width="9.1796875" style="352"/>
    <col min="27" max="16384" width="9.1796875" style="241"/>
  </cols>
  <sheetData>
    <row r="1" spans="1:11" ht="17.149999999999999" customHeight="1">
      <c r="A1" s="245" t="s">
        <v>305</v>
      </c>
      <c r="B1" s="245"/>
      <c r="C1" s="245"/>
      <c r="K1" s="855" t="s">
        <v>984</v>
      </c>
    </row>
    <row r="2" spans="1:11" ht="15" customHeight="1">
      <c r="A2" s="243" t="s">
        <v>306</v>
      </c>
      <c r="B2" s="243"/>
      <c r="C2" s="243"/>
    </row>
    <row r="3" spans="1:11" ht="15" customHeight="1">
      <c r="A3" s="489" t="s">
        <v>1325</v>
      </c>
      <c r="B3" s="243"/>
      <c r="C3" s="243"/>
    </row>
    <row r="4" spans="1:11" ht="6" customHeight="1"/>
    <row r="5" spans="1:11" ht="62">
      <c r="A5" s="533" t="s">
        <v>896</v>
      </c>
      <c r="B5" s="534"/>
      <c r="C5" s="534"/>
      <c r="D5" s="535" t="s">
        <v>897</v>
      </c>
      <c r="E5" s="535" t="s">
        <v>899</v>
      </c>
      <c r="F5" s="535" t="s">
        <v>900</v>
      </c>
      <c r="G5" s="535" t="s">
        <v>898</v>
      </c>
    </row>
    <row r="6" spans="1:11" ht="21" customHeight="1">
      <c r="A6" s="156">
        <v>999</v>
      </c>
      <c r="B6" s="154" t="s">
        <v>301</v>
      </c>
      <c r="C6" s="153" t="s">
        <v>302</v>
      </c>
      <c r="D6" s="536">
        <v>136417</v>
      </c>
      <c r="E6" s="536">
        <v>57192</v>
      </c>
      <c r="F6" s="536">
        <v>16593</v>
      </c>
      <c r="G6" s="1352">
        <v>210202</v>
      </c>
      <c r="K6" s="1577">
        <f>SUM(D6:F6)-G6</f>
        <v>0</v>
      </c>
    </row>
    <row r="7" spans="1:11" ht="12.75" customHeight="1">
      <c r="A7" s="156">
        <v>1000</v>
      </c>
      <c r="B7" s="154" t="s">
        <v>303</v>
      </c>
      <c r="C7" s="156">
        <v>1999</v>
      </c>
      <c r="D7" s="536">
        <v>44771</v>
      </c>
      <c r="E7" s="536">
        <v>6730</v>
      </c>
      <c r="F7" s="536">
        <v>2254</v>
      </c>
      <c r="G7" s="1352">
        <v>53755</v>
      </c>
      <c r="K7" s="1577">
        <f t="shared" ref="K7:K31" si="0">SUM(D7:F7)-G7</f>
        <v>0</v>
      </c>
    </row>
    <row r="8" spans="1:11" ht="12.75" customHeight="1">
      <c r="A8" s="156">
        <v>2000</v>
      </c>
      <c r="B8" s="154" t="s">
        <v>303</v>
      </c>
      <c r="C8" s="156">
        <v>2999</v>
      </c>
      <c r="D8" s="536">
        <v>46104</v>
      </c>
      <c r="E8" s="536">
        <v>6152</v>
      </c>
      <c r="F8" s="536">
        <v>2357</v>
      </c>
      <c r="G8" s="1352">
        <v>54613</v>
      </c>
      <c r="K8" s="1577">
        <f t="shared" si="0"/>
        <v>0</v>
      </c>
    </row>
    <row r="9" spans="1:11" ht="12.75" customHeight="1">
      <c r="A9" s="156">
        <v>3000</v>
      </c>
      <c r="B9" s="154" t="s">
        <v>303</v>
      </c>
      <c r="C9" s="156">
        <v>3999</v>
      </c>
      <c r="D9" s="536">
        <v>45896</v>
      </c>
      <c r="E9" s="536">
        <v>5872</v>
      </c>
      <c r="F9" s="536">
        <v>2523</v>
      </c>
      <c r="G9" s="1352">
        <v>54291</v>
      </c>
      <c r="K9" s="1577">
        <f t="shared" si="0"/>
        <v>0</v>
      </c>
    </row>
    <row r="10" spans="1:11" ht="12.75" customHeight="1">
      <c r="A10" s="156">
        <v>4000</v>
      </c>
      <c r="B10" s="154" t="s">
        <v>303</v>
      </c>
      <c r="C10" s="156">
        <v>4999</v>
      </c>
      <c r="D10" s="536">
        <v>44888</v>
      </c>
      <c r="E10" s="536">
        <v>5589</v>
      </c>
      <c r="F10" s="536">
        <v>1850</v>
      </c>
      <c r="G10" s="1352">
        <v>52327</v>
      </c>
      <c r="K10" s="1577">
        <f t="shared" si="0"/>
        <v>0</v>
      </c>
    </row>
    <row r="11" spans="1:11" ht="12.75" customHeight="1">
      <c r="A11" s="156">
        <v>5000</v>
      </c>
      <c r="B11" s="154" t="s">
        <v>303</v>
      </c>
      <c r="C11" s="156">
        <v>5999</v>
      </c>
      <c r="D11" s="536">
        <v>44662</v>
      </c>
      <c r="E11" s="536">
        <v>5536</v>
      </c>
      <c r="F11" s="536">
        <v>1789</v>
      </c>
      <c r="G11" s="1352">
        <v>51987</v>
      </c>
      <c r="K11" s="1577">
        <f t="shared" si="0"/>
        <v>0</v>
      </c>
    </row>
    <row r="12" spans="1:11" ht="12.75" customHeight="1">
      <c r="A12" s="156">
        <v>6000</v>
      </c>
      <c r="B12" s="154" t="s">
        <v>303</v>
      </c>
      <c r="C12" s="156">
        <v>6999</v>
      </c>
      <c r="D12" s="536">
        <v>43304</v>
      </c>
      <c r="E12" s="536">
        <v>5462</v>
      </c>
      <c r="F12" s="536">
        <v>1682</v>
      </c>
      <c r="G12" s="1352">
        <v>50448</v>
      </c>
      <c r="K12" s="1577">
        <f t="shared" si="0"/>
        <v>0</v>
      </c>
    </row>
    <row r="13" spans="1:11" ht="12.75" customHeight="1">
      <c r="A13" s="156">
        <v>7000</v>
      </c>
      <c r="B13" s="154" t="s">
        <v>303</v>
      </c>
      <c r="C13" s="156">
        <v>7999</v>
      </c>
      <c r="D13" s="536">
        <v>42043</v>
      </c>
      <c r="E13" s="536">
        <v>5492</v>
      </c>
      <c r="F13" s="536">
        <v>1687</v>
      </c>
      <c r="G13" s="1352">
        <v>49222</v>
      </c>
      <c r="K13" s="1577">
        <f t="shared" si="0"/>
        <v>0</v>
      </c>
    </row>
    <row r="14" spans="1:11" ht="12.75" customHeight="1">
      <c r="A14" s="156">
        <v>8000</v>
      </c>
      <c r="B14" s="154" t="s">
        <v>303</v>
      </c>
      <c r="C14" s="156">
        <v>8999</v>
      </c>
      <c r="D14" s="536">
        <v>41527</v>
      </c>
      <c r="E14" s="536">
        <v>5377</v>
      </c>
      <c r="F14" s="536">
        <v>1573</v>
      </c>
      <c r="G14" s="1352">
        <v>48477</v>
      </c>
      <c r="K14" s="1577">
        <f t="shared" si="0"/>
        <v>0</v>
      </c>
    </row>
    <row r="15" spans="1:11" ht="12.75" customHeight="1">
      <c r="A15" s="156">
        <v>9000</v>
      </c>
      <c r="B15" s="154" t="s">
        <v>303</v>
      </c>
      <c r="C15" s="156">
        <v>9999</v>
      </c>
      <c r="D15" s="536">
        <v>42613</v>
      </c>
      <c r="E15" s="536">
        <v>5659</v>
      </c>
      <c r="F15" s="536">
        <v>1604</v>
      </c>
      <c r="G15" s="1352">
        <v>49876</v>
      </c>
      <c r="K15" s="1577">
        <f t="shared" si="0"/>
        <v>0</v>
      </c>
    </row>
    <row r="16" spans="1:11" ht="12.75" customHeight="1">
      <c r="A16" s="156">
        <v>10000</v>
      </c>
      <c r="B16" s="154" t="s">
        <v>303</v>
      </c>
      <c r="C16" s="156">
        <v>10999</v>
      </c>
      <c r="D16" s="536">
        <v>42554</v>
      </c>
      <c r="E16" s="536">
        <v>5503</v>
      </c>
      <c r="F16" s="536">
        <v>1541</v>
      </c>
      <c r="G16" s="1352">
        <v>49598</v>
      </c>
      <c r="K16" s="1577">
        <f t="shared" si="0"/>
        <v>0</v>
      </c>
    </row>
    <row r="17" spans="1:30" ht="12.75" customHeight="1">
      <c r="A17" s="156">
        <v>11000</v>
      </c>
      <c r="B17" s="154" t="s">
        <v>303</v>
      </c>
      <c r="C17" s="156">
        <v>11999</v>
      </c>
      <c r="D17" s="536">
        <v>41411</v>
      </c>
      <c r="E17" s="536">
        <v>5628</v>
      </c>
      <c r="F17" s="536">
        <v>1578</v>
      </c>
      <c r="G17" s="1352">
        <v>48617</v>
      </c>
      <c r="K17" s="1577">
        <f t="shared" si="0"/>
        <v>0</v>
      </c>
      <c r="X17" s="248"/>
      <c r="AA17" s="246"/>
      <c r="AB17" s="246"/>
      <c r="AC17" s="249"/>
    </row>
    <row r="18" spans="1:30" ht="12.75" customHeight="1">
      <c r="A18" s="156">
        <v>12000</v>
      </c>
      <c r="B18" s="154" t="s">
        <v>303</v>
      </c>
      <c r="C18" s="156">
        <v>12999</v>
      </c>
      <c r="D18" s="536">
        <v>40936</v>
      </c>
      <c r="E18" s="536">
        <v>5715</v>
      </c>
      <c r="F18" s="536">
        <v>1560</v>
      </c>
      <c r="G18" s="1352">
        <v>48211</v>
      </c>
      <c r="K18" s="1577">
        <f t="shared" si="0"/>
        <v>0</v>
      </c>
      <c r="X18" s="352"/>
      <c r="AA18" s="246"/>
      <c r="AB18" s="352"/>
      <c r="AC18" s="352"/>
      <c r="AD18" s="352"/>
    </row>
    <row r="19" spans="1:30" ht="12.75" customHeight="1">
      <c r="A19" s="156">
        <v>13000</v>
      </c>
      <c r="B19" s="154" t="s">
        <v>303</v>
      </c>
      <c r="C19" s="156">
        <v>13999</v>
      </c>
      <c r="D19" s="536">
        <v>38848</v>
      </c>
      <c r="E19" s="536">
        <v>5785</v>
      </c>
      <c r="F19" s="536">
        <v>1561</v>
      </c>
      <c r="G19" s="1352">
        <v>46194</v>
      </c>
      <c r="K19" s="1577">
        <f t="shared" si="0"/>
        <v>0</v>
      </c>
      <c r="X19" s="352"/>
      <c r="AA19" s="521" t="e">
        <f>#REF!/#REF!</f>
        <v>#REF!</v>
      </c>
      <c r="AB19" s="352"/>
      <c r="AC19" s="352"/>
      <c r="AD19" s="352"/>
    </row>
    <row r="20" spans="1:30" ht="12.75" customHeight="1">
      <c r="A20" s="156">
        <v>14000</v>
      </c>
      <c r="B20" s="154" t="s">
        <v>303</v>
      </c>
      <c r="C20" s="156">
        <v>14999</v>
      </c>
      <c r="D20" s="536">
        <v>38488</v>
      </c>
      <c r="E20" s="536">
        <v>5992</v>
      </c>
      <c r="F20" s="536">
        <v>1482</v>
      </c>
      <c r="G20" s="1352">
        <v>45962</v>
      </c>
      <c r="K20" s="1577">
        <f t="shared" si="0"/>
        <v>0</v>
      </c>
      <c r="X20" s="352"/>
      <c r="AA20" s="521" t="e">
        <f>#REF!/#REF!</f>
        <v>#REF!</v>
      </c>
      <c r="AB20" s="352"/>
      <c r="AC20" s="352"/>
      <c r="AD20" s="352"/>
    </row>
    <row r="21" spans="1:30" ht="12.75" customHeight="1">
      <c r="A21" s="156">
        <v>15000</v>
      </c>
      <c r="B21" s="154" t="s">
        <v>303</v>
      </c>
      <c r="C21" s="156">
        <v>19999</v>
      </c>
      <c r="D21" s="536">
        <v>180116</v>
      </c>
      <c r="E21" s="536">
        <v>31308</v>
      </c>
      <c r="F21" s="536">
        <v>7848</v>
      </c>
      <c r="G21" s="1352">
        <v>219272</v>
      </c>
      <c r="K21" s="1577">
        <f t="shared" si="0"/>
        <v>0</v>
      </c>
      <c r="X21" s="352"/>
      <c r="AA21" s="521" t="e">
        <f>#REF!/#REF!</f>
        <v>#REF!</v>
      </c>
      <c r="AB21" s="352"/>
      <c r="AC21" s="352"/>
      <c r="AD21" s="352"/>
    </row>
    <row r="22" spans="1:30" ht="12.75" customHeight="1">
      <c r="A22" s="156">
        <v>20000</v>
      </c>
      <c r="B22" s="154" t="s">
        <v>303</v>
      </c>
      <c r="C22" s="156">
        <v>24999</v>
      </c>
      <c r="D22" s="536">
        <v>164285</v>
      </c>
      <c r="E22" s="536">
        <v>34905</v>
      </c>
      <c r="F22" s="536">
        <v>7986</v>
      </c>
      <c r="G22" s="1352">
        <v>207176</v>
      </c>
      <c r="K22" s="1577">
        <f t="shared" si="0"/>
        <v>0</v>
      </c>
      <c r="X22" s="352"/>
      <c r="AA22" s="522" t="e">
        <f>SUM(AA19:AA21)</f>
        <v>#REF!</v>
      </c>
      <c r="AB22" s="352"/>
      <c r="AC22" s="352"/>
      <c r="AD22" s="352"/>
    </row>
    <row r="23" spans="1:30" ht="12.75" customHeight="1">
      <c r="A23" s="156">
        <v>25000</v>
      </c>
      <c r="B23" s="154" t="s">
        <v>303</v>
      </c>
      <c r="C23" s="156">
        <v>29999</v>
      </c>
      <c r="D23" s="536">
        <v>159794</v>
      </c>
      <c r="E23" s="536">
        <v>36575</v>
      </c>
      <c r="F23" s="536">
        <v>8487</v>
      </c>
      <c r="G23" s="1352">
        <v>204856</v>
      </c>
      <c r="H23" s="394"/>
      <c r="K23" s="1577">
        <f t="shared" si="0"/>
        <v>0</v>
      </c>
      <c r="X23" s="352"/>
      <c r="AA23" s="246"/>
      <c r="AB23" s="352"/>
      <c r="AC23" s="352"/>
      <c r="AD23" s="352"/>
    </row>
    <row r="24" spans="1:30" ht="12.75" customHeight="1">
      <c r="A24" s="156">
        <v>30000</v>
      </c>
      <c r="B24" s="154" t="s">
        <v>303</v>
      </c>
      <c r="C24" s="156">
        <v>34999</v>
      </c>
      <c r="D24" s="536">
        <v>150741</v>
      </c>
      <c r="E24" s="536">
        <v>37352</v>
      </c>
      <c r="F24" s="536">
        <v>8861</v>
      </c>
      <c r="G24" s="1352">
        <v>196954</v>
      </c>
      <c r="K24" s="1577">
        <f t="shared" si="0"/>
        <v>0</v>
      </c>
      <c r="X24" s="352"/>
      <c r="AA24" s="246"/>
      <c r="AB24" s="352"/>
      <c r="AC24" s="352"/>
      <c r="AD24" s="352"/>
    </row>
    <row r="25" spans="1:30" ht="12.75" customHeight="1">
      <c r="A25" s="156">
        <v>35000</v>
      </c>
      <c r="B25" s="154" t="s">
        <v>303</v>
      </c>
      <c r="C25" s="156">
        <v>39999</v>
      </c>
      <c r="D25" s="536">
        <v>133282</v>
      </c>
      <c r="E25" s="536">
        <v>38636</v>
      </c>
      <c r="F25" s="536">
        <v>8740</v>
      </c>
      <c r="G25" s="1352">
        <v>180658</v>
      </c>
      <c r="K25" s="1577">
        <f t="shared" si="0"/>
        <v>0</v>
      </c>
      <c r="X25" s="352"/>
      <c r="AA25" s="352"/>
      <c r="AB25" s="352"/>
      <c r="AC25" s="352"/>
      <c r="AD25" s="352"/>
    </row>
    <row r="26" spans="1:30" ht="12.75" customHeight="1">
      <c r="A26" s="156">
        <v>40000</v>
      </c>
      <c r="B26" s="154" t="s">
        <v>303</v>
      </c>
      <c r="C26" s="156">
        <v>44999</v>
      </c>
      <c r="D26" s="536">
        <v>115883</v>
      </c>
      <c r="E26" s="536">
        <v>38205</v>
      </c>
      <c r="F26" s="536">
        <v>8349</v>
      </c>
      <c r="G26" s="1352">
        <v>162437</v>
      </c>
      <c r="H26" s="394"/>
      <c r="K26" s="1577">
        <f t="shared" si="0"/>
        <v>0</v>
      </c>
    </row>
    <row r="27" spans="1:30" ht="12.75" customHeight="1">
      <c r="A27" s="156">
        <v>45000</v>
      </c>
      <c r="B27" s="154" t="s">
        <v>303</v>
      </c>
      <c r="C27" s="156">
        <v>49999</v>
      </c>
      <c r="D27" s="536">
        <v>101800</v>
      </c>
      <c r="E27" s="536">
        <v>38362</v>
      </c>
      <c r="F27" s="536">
        <v>7892</v>
      </c>
      <c r="G27" s="1352">
        <v>148054</v>
      </c>
      <c r="K27" s="1577">
        <f t="shared" si="0"/>
        <v>0</v>
      </c>
    </row>
    <row r="28" spans="1:30" ht="12.75" customHeight="1">
      <c r="A28" s="156">
        <v>50000</v>
      </c>
      <c r="B28" s="154" t="s">
        <v>303</v>
      </c>
      <c r="C28" s="156">
        <v>74999</v>
      </c>
      <c r="D28" s="536">
        <v>335318</v>
      </c>
      <c r="E28" s="536">
        <v>187083</v>
      </c>
      <c r="F28" s="536">
        <v>29382</v>
      </c>
      <c r="G28" s="1352">
        <v>551783</v>
      </c>
      <c r="K28" s="1577">
        <f t="shared" si="0"/>
        <v>0</v>
      </c>
    </row>
    <row r="29" spans="1:30" ht="12.75" customHeight="1">
      <c r="A29" s="156">
        <v>75000</v>
      </c>
      <c r="B29" s="154" t="s">
        <v>303</v>
      </c>
      <c r="C29" s="156">
        <v>99999</v>
      </c>
      <c r="D29" s="536">
        <v>165966</v>
      </c>
      <c r="E29" s="536">
        <v>178268</v>
      </c>
      <c r="F29" s="536">
        <v>16221</v>
      </c>
      <c r="G29" s="1352">
        <v>360455</v>
      </c>
      <c r="H29" s="394"/>
      <c r="K29" s="1577">
        <f t="shared" si="0"/>
        <v>0</v>
      </c>
    </row>
    <row r="30" spans="1:30" ht="21" customHeight="1">
      <c r="A30" s="833">
        <v>100000</v>
      </c>
      <c r="B30" s="537" t="s">
        <v>301</v>
      </c>
      <c r="C30" s="537" t="s">
        <v>314</v>
      </c>
      <c r="D30" s="538">
        <v>236109</v>
      </c>
      <c r="E30" s="538">
        <v>752307</v>
      </c>
      <c r="F30" s="538">
        <v>31099</v>
      </c>
      <c r="G30" s="1110">
        <v>1019515</v>
      </c>
      <c r="K30" s="1577">
        <f t="shared" si="0"/>
        <v>0</v>
      </c>
    </row>
    <row r="31" spans="1:30" ht="12.75" customHeight="1">
      <c r="A31" s="87" t="s">
        <v>304</v>
      </c>
      <c r="B31" s="87"/>
      <c r="C31" s="87"/>
      <c r="D31" s="88">
        <f>SUM(D6:D30)</f>
        <v>2477756</v>
      </c>
      <c r="E31" s="88">
        <f>SUM(E6:E30)</f>
        <v>1510685</v>
      </c>
      <c r="F31" s="88">
        <f>SUM(F6:F30)</f>
        <v>176499</v>
      </c>
      <c r="G31" s="88">
        <f>SUM(G6:G30)</f>
        <v>4164940</v>
      </c>
      <c r="K31" s="1577">
        <f t="shared" si="0"/>
        <v>0</v>
      </c>
    </row>
    <row r="32" spans="1:30" ht="9" customHeight="1"/>
    <row r="34" spans="1:7" ht="13">
      <c r="A34" s="788" t="s">
        <v>958</v>
      </c>
    </row>
    <row r="35" spans="1:7" s="705" customFormat="1" ht="12.75" customHeight="1">
      <c r="B35" s="706"/>
      <c r="C35" s="706"/>
      <c r="D35" s="706"/>
      <c r="E35" s="707"/>
      <c r="G35" s="1336"/>
    </row>
    <row r="36" spans="1:7">
      <c r="G36" s="394"/>
    </row>
  </sheetData>
  <customSheetViews>
    <customSheetView guid="{E6BBE5A7-0B25-4EE8-BA45-5EA5DBAF3AD4}" showPageBreaks="1" printArea="1">
      <selection activeCell="J41" sqref="J41"/>
      <pageMargins left="0.34901960784313701" right="0.331372549019608" top="0.61960784313725503" bottom="0.44313725490196099" header="0.50980392156862797" footer="0.50980392156862797"/>
      <printOptions horizontalCentered="1"/>
      <pageSetup scale="82" orientation="landscape" r:id="rId1"/>
      <headerFooter alignWithMargins="0"/>
    </customSheetView>
  </customSheetViews>
  <hyperlinks>
    <hyperlink ref="K1" location="TOC!A1" display="Back" xr:uid="{00000000-0004-0000-0600-000000000000}"/>
  </hyperlinks>
  <pageMargins left="0.5" right="0.25" top="0.5" bottom="0.25" header="0.25" footer="9.8039219999999996E-3"/>
  <pageSetup orientation="landscape" r:id="rId2"/>
  <headerFooter scaleWithDoc="0">
    <oddHeader>&amp;R&amp;P</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4"/>
  <sheetViews>
    <sheetView zoomScaleNormal="100" workbookViewId="0"/>
  </sheetViews>
  <sheetFormatPr defaultColWidth="9.1796875" defaultRowHeight="12.5"/>
  <cols>
    <col min="1" max="1" width="10.7265625" style="241" customWidth="1"/>
    <col min="2" max="2" width="4.453125" style="241" bestFit="1" customWidth="1"/>
    <col min="3" max="3" width="8" style="241" customWidth="1"/>
    <col min="4" max="4" width="14.81640625" style="241" bestFit="1" customWidth="1"/>
    <col min="5" max="5" width="10.7265625" style="241" customWidth="1"/>
    <col min="6" max="6" width="12.7265625" style="241" customWidth="1"/>
    <col min="7" max="7" width="10.7265625" style="241" customWidth="1"/>
    <col min="8" max="8" width="11.1796875" style="241" bestFit="1" customWidth="1"/>
    <col min="9" max="9" width="15.7265625" style="241" customWidth="1"/>
    <col min="10" max="10" width="48.7265625" style="241" customWidth="1"/>
    <col min="11" max="16384" width="9.1796875" style="241"/>
  </cols>
  <sheetData>
    <row r="1" spans="1:13" s="240" customFormat="1" ht="17.149999999999999" customHeight="1">
      <c r="A1" s="245" t="s">
        <v>295</v>
      </c>
      <c r="B1" s="154"/>
      <c r="C1" s="247"/>
      <c r="D1" s="247"/>
      <c r="M1" s="855" t="s">
        <v>984</v>
      </c>
    </row>
    <row r="2" spans="1:13" s="240" customFormat="1" ht="15" customHeight="1">
      <c r="A2" s="243" t="s">
        <v>296</v>
      </c>
      <c r="B2" s="154"/>
      <c r="C2" s="247"/>
      <c r="D2" s="247"/>
    </row>
    <row r="3" spans="1:13" s="240" customFormat="1" ht="15" customHeight="1">
      <c r="A3" s="489" t="s">
        <v>1325</v>
      </c>
      <c r="B3" s="154"/>
      <c r="C3" s="247"/>
      <c r="D3" s="247"/>
    </row>
    <row r="4" spans="1:13" ht="6" customHeight="1"/>
    <row r="5" spans="1:13" s="240" customFormat="1" ht="33" customHeight="1">
      <c r="A5" s="834" t="s">
        <v>901</v>
      </c>
      <c r="B5" s="834"/>
      <c r="C5" s="834"/>
      <c r="D5" s="835" t="s">
        <v>902</v>
      </c>
      <c r="E5" s="836" t="s">
        <v>297</v>
      </c>
      <c r="F5" s="836" t="s">
        <v>298</v>
      </c>
      <c r="G5" s="837" t="s">
        <v>299</v>
      </c>
      <c r="H5" s="836" t="s">
        <v>300</v>
      </c>
      <c r="I5" s="835" t="s">
        <v>903</v>
      </c>
    </row>
    <row r="6" spans="1:13" s="240" customFormat="1" ht="21" customHeight="1">
      <c r="A6" s="156">
        <v>999</v>
      </c>
      <c r="B6" s="154" t="s">
        <v>301</v>
      </c>
      <c r="C6" s="153" t="s">
        <v>302</v>
      </c>
      <c r="D6" s="1352">
        <v>210202</v>
      </c>
      <c r="E6" s="1352">
        <v>265209</v>
      </c>
      <c r="F6" s="1352">
        <v>96253</v>
      </c>
      <c r="G6" s="1352">
        <v>60618</v>
      </c>
      <c r="H6" s="1352">
        <v>562</v>
      </c>
      <c r="I6" s="1352">
        <v>422642</v>
      </c>
      <c r="J6" s="241"/>
      <c r="M6" s="1337">
        <f>SUM(E6:H6)-I6</f>
        <v>0</v>
      </c>
    </row>
    <row r="7" spans="1:13" ht="12.75" customHeight="1">
      <c r="A7" s="156">
        <v>1000</v>
      </c>
      <c r="B7" s="154" t="s">
        <v>303</v>
      </c>
      <c r="C7" s="156">
        <v>1999</v>
      </c>
      <c r="D7" s="532">
        <v>53755</v>
      </c>
      <c r="E7" s="532">
        <v>60183</v>
      </c>
      <c r="F7" s="532">
        <v>16826</v>
      </c>
      <c r="G7" s="532">
        <v>8562</v>
      </c>
      <c r="H7" s="532">
        <v>107</v>
      </c>
      <c r="I7" s="532">
        <v>85678</v>
      </c>
      <c r="M7" s="1337">
        <f t="shared" ref="M7:M31" si="0">SUM(E7:H7)-I7</f>
        <v>0</v>
      </c>
    </row>
    <row r="8" spans="1:13" ht="12.75" customHeight="1">
      <c r="A8" s="156">
        <v>2000</v>
      </c>
      <c r="B8" s="154" t="s">
        <v>303</v>
      </c>
      <c r="C8" s="156">
        <v>2999</v>
      </c>
      <c r="D8" s="532">
        <v>54613</v>
      </c>
      <c r="E8" s="532">
        <v>60562</v>
      </c>
      <c r="F8" s="532">
        <v>15119</v>
      </c>
      <c r="G8" s="532">
        <v>8459</v>
      </c>
      <c r="H8" s="532">
        <v>81</v>
      </c>
      <c r="I8" s="532">
        <v>84221</v>
      </c>
      <c r="M8" s="1337">
        <f t="shared" si="0"/>
        <v>0</v>
      </c>
    </row>
    <row r="9" spans="1:13" ht="12.75" customHeight="1">
      <c r="A9" s="156">
        <v>3000</v>
      </c>
      <c r="B9" s="154" t="s">
        <v>303</v>
      </c>
      <c r="C9" s="156">
        <v>3999</v>
      </c>
      <c r="D9" s="532">
        <v>54291</v>
      </c>
      <c r="E9" s="532">
        <v>60025</v>
      </c>
      <c r="F9" s="532">
        <v>15110</v>
      </c>
      <c r="G9" s="532">
        <v>8678</v>
      </c>
      <c r="H9" s="532">
        <v>94</v>
      </c>
      <c r="I9" s="532">
        <v>83907</v>
      </c>
      <c r="M9" s="1337">
        <f t="shared" si="0"/>
        <v>0</v>
      </c>
    </row>
    <row r="10" spans="1:13" ht="12.75" customHeight="1">
      <c r="A10" s="156">
        <v>4000</v>
      </c>
      <c r="B10" s="154" t="s">
        <v>303</v>
      </c>
      <c r="C10" s="156">
        <v>4999</v>
      </c>
      <c r="D10" s="532">
        <v>52327</v>
      </c>
      <c r="E10" s="532">
        <v>57781</v>
      </c>
      <c r="F10" s="532">
        <v>14740</v>
      </c>
      <c r="G10" s="532">
        <v>8066</v>
      </c>
      <c r="H10" s="532">
        <v>109</v>
      </c>
      <c r="I10" s="532">
        <v>80696</v>
      </c>
      <c r="M10" s="1337">
        <f t="shared" si="0"/>
        <v>0</v>
      </c>
    </row>
    <row r="11" spans="1:13" ht="12.75" customHeight="1">
      <c r="A11" s="156">
        <v>5000</v>
      </c>
      <c r="B11" s="154" t="s">
        <v>303</v>
      </c>
      <c r="C11" s="156">
        <v>5999</v>
      </c>
      <c r="D11" s="532">
        <v>51987</v>
      </c>
      <c r="E11" s="532">
        <v>57422</v>
      </c>
      <c r="F11" s="532">
        <v>15010</v>
      </c>
      <c r="G11" s="532">
        <v>8408</v>
      </c>
      <c r="H11" s="532">
        <v>96</v>
      </c>
      <c r="I11" s="532">
        <v>80936</v>
      </c>
      <c r="M11" s="1337">
        <f t="shared" si="0"/>
        <v>0</v>
      </c>
    </row>
    <row r="12" spans="1:13" ht="12.75" customHeight="1">
      <c r="A12" s="156">
        <v>6000</v>
      </c>
      <c r="B12" s="154" t="s">
        <v>303</v>
      </c>
      <c r="C12" s="156">
        <v>6999</v>
      </c>
      <c r="D12" s="532">
        <v>50448</v>
      </c>
      <c r="E12" s="532">
        <v>55862</v>
      </c>
      <c r="F12" s="532">
        <v>14342</v>
      </c>
      <c r="G12" s="532">
        <v>8761</v>
      </c>
      <c r="H12" s="532">
        <v>87</v>
      </c>
      <c r="I12" s="532">
        <v>79052</v>
      </c>
      <c r="M12" s="1337">
        <f t="shared" si="0"/>
        <v>0</v>
      </c>
    </row>
    <row r="13" spans="1:13" ht="12.75" customHeight="1">
      <c r="A13" s="156">
        <v>7000</v>
      </c>
      <c r="B13" s="154" t="s">
        <v>303</v>
      </c>
      <c r="C13" s="156">
        <v>7999</v>
      </c>
      <c r="D13" s="532">
        <v>49222</v>
      </c>
      <c r="E13" s="532">
        <v>54672</v>
      </c>
      <c r="F13" s="532">
        <v>14714</v>
      </c>
      <c r="G13" s="532">
        <v>8940</v>
      </c>
      <c r="H13" s="532">
        <v>105</v>
      </c>
      <c r="I13" s="532">
        <v>78431</v>
      </c>
      <c r="M13" s="1337">
        <f t="shared" si="0"/>
        <v>0</v>
      </c>
    </row>
    <row r="14" spans="1:13" ht="12.75" customHeight="1">
      <c r="A14" s="156">
        <v>8000</v>
      </c>
      <c r="B14" s="154" t="s">
        <v>303</v>
      </c>
      <c r="C14" s="156">
        <v>8999</v>
      </c>
      <c r="D14" s="532">
        <v>48477</v>
      </c>
      <c r="E14" s="532">
        <v>53832</v>
      </c>
      <c r="F14" s="532">
        <v>15037</v>
      </c>
      <c r="G14" s="532">
        <v>8873</v>
      </c>
      <c r="H14" s="532">
        <v>110</v>
      </c>
      <c r="I14" s="532">
        <v>77852</v>
      </c>
      <c r="M14" s="1337">
        <f t="shared" si="0"/>
        <v>0</v>
      </c>
    </row>
    <row r="15" spans="1:13" ht="12.75" customHeight="1">
      <c r="A15" s="156">
        <v>9000</v>
      </c>
      <c r="B15" s="154" t="s">
        <v>303</v>
      </c>
      <c r="C15" s="156">
        <v>9999</v>
      </c>
      <c r="D15" s="532">
        <v>49876</v>
      </c>
      <c r="E15" s="532">
        <v>55512</v>
      </c>
      <c r="F15" s="532">
        <v>15926</v>
      </c>
      <c r="G15" s="532">
        <v>9323</v>
      </c>
      <c r="H15" s="532">
        <v>102</v>
      </c>
      <c r="I15" s="532">
        <v>80863</v>
      </c>
      <c r="M15" s="1337">
        <f t="shared" si="0"/>
        <v>0</v>
      </c>
    </row>
    <row r="16" spans="1:13" ht="12.75" customHeight="1">
      <c r="A16" s="156">
        <v>10000</v>
      </c>
      <c r="B16" s="154" t="s">
        <v>303</v>
      </c>
      <c r="C16" s="156">
        <v>10999</v>
      </c>
      <c r="D16" s="532">
        <v>49598</v>
      </c>
      <c r="E16" s="532">
        <v>55078</v>
      </c>
      <c r="F16" s="532">
        <v>17327</v>
      </c>
      <c r="G16" s="532">
        <v>9582</v>
      </c>
      <c r="H16" s="532">
        <v>94</v>
      </c>
      <c r="I16" s="532">
        <v>82081</v>
      </c>
      <c r="M16" s="1337">
        <f t="shared" si="0"/>
        <v>0</v>
      </c>
    </row>
    <row r="17" spans="1:13" ht="12.75" customHeight="1">
      <c r="A17" s="156">
        <v>11000</v>
      </c>
      <c r="B17" s="154" t="s">
        <v>303</v>
      </c>
      <c r="C17" s="156">
        <v>11999</v>
      </c>
      <c r="D17" s="532">
        <v>48617</v>
      </c>
      <c r="E17" s="532">
        <v>54235</v>
      </c>
      <c r="F17" s="532">
        <v>16650</v>
      </c>
      <c r="G17" s="532">
        <v>9898</v>
      </c>
      <c r="H17" s="532">
        <v>109</v>
      </c>
      <c r="I17" s="532">
        <v>80892</v>
      </c>
      <c r="M17" s="1337">
        <f t="shared" si="0"/>
        <v>0</v>
      </c>
    </row>
    <row r="18" spans="1:13" ht="12.75" customHeight="1">
      <c r="A18" s="156">
        <v>12000</v>
      </c>
      <c r="B18" s="154" t="s">
        <v>303</v>
      </c>
      <c r="C18" s="156">
        <v>12999</v>
      </c>
      <c r="D18" s="532">
        <v>48211</v>
      </c>
      <c r="E18" s="532">
        <v>53923</v>
      </c>
      <c r="F18" s="532">
        <v>16210</v>
      </c>
      <c r="G18" s="532">
        <v>10451</v>
      </c>
      <c r="H18" s="532">
        <v>117</v>
      </c>
      <c r="I18" s="532">
        <v>80701</v>
      </c>
      <c r="M18" s="1337">
        <f t="shared" si="0"/>
        <v>0</v>
      </c>
    </row>
    <row r="19" spans="1:13" ht="12.75" customHeight="1">
      <c r="A19" s="156">
        <v>13000</v>
      </c>
      <c r="B19" s="154" t="s">
        <v>303</v>
      </c>
      <c r="C19" s="156">
        <v>13999</v>
      </c>
      <c r="D19" s="532">
        <v>46194</v>
      </c>
      <c r="E19" s="532">
        <v>51993</v>
      </c>
      <c r="F19" s="532">
        <v>17254</v>
      </c>
      <c r="G19" s="532">
        <v>10406</v>
      </c>
      <c r="H19" s="532">
        <v>116</v>
      </c>
      <c r="I19" s="532">
        <v>79769</v>
      </c>
      <c r="M19" s="1337">
        <f t="shared" si="0"/>
        <v>0</v>
      </c>
    </row>
    <row r="20" spans="1:13" ht="12.75" customHeight="1">
      <c r="A20" s="156">
        <v>14000</v>
      </c>
      <c r="B20" s="154" t="s">
        <v>303</v>
      </c>
      <c r="C20" s="156">
        <v>14999</v>
      </c>
      <c r="D20" s="532">
        <v>45962</v>
      </c>
      <c r="E20" s="532">
        <v>51980</v>
      </c>
      <c r="F20" s="532">
        <v>19336</v>
      </c>
      <c r="G20" s="532">
        <v>10619</v>
      </c>
      <c r="H20" s="532">
        <v>115</v>
      </c>
      <c r="I20" s="532">
        <v>82050</v>
      </c>
      <c r="M20" s="1337">
        <f t="shared" si="0"/>
        <v>0</v>
      </c>
    </row>
    <row r="21" spans="1:13" ht="12.75" customHeight="1">
      <c r="A21" s="156">
        <v>15000</v>
      </c>
      <c r="B21" s="154" t="s">
        <v>303</v>
      </c>
      <c r="C21" s="156">
        <v>19999</v>
      </c>
      <c r="D21" s="532">
        <v>219272</v>
      </c>
      <c r="E21" s="532">
        <v>250751</v>
      </c>
      <c r="F21" s="532">
        <v>88870</v>
      </c>
      <c r="G21" s="532">
        <v>55019</v>
      </c>
      <c r="H21" s="532">
        <v>517</v>
      </c>
      <c r="I21" s="532">
        <v>395157</v>
      </c>
      <c r="M21" s="1337">
        <f t="shared" si="0"/>
        <v>0</v>
      </c>
    </row>
    <row r="22" spans="1:13" ht="12.75" customHeight="1">
      <c r="A22" s="156">
        <v>20000</v>
      </c>
      <c r="B22" s="154" t="s">
        <v>303</v>
      </c>
      <c r="C22" s="156">
        <v>24999</v>
      </c>
      <c r="D22" s="532">
        <v>207176</v>
      </c>
      <c r="E22" s="532">
        <v>242381</v>
      </c>
      <c r="F22" s="532">
        <v>86849</v>
      </c>
      <c r="G22" s="532">
        <v>55343</v>
      </c>
      <c r="H22" s="532">
        <v>490</v>
      </c>
      <c r="I22" s="532">
        <v>385063</v>
      </c>
      <c r="M22" s="1337">
        <f t="shared" si="0"/>
        <v>0</v>
      </c>
    </row>
    <row r="23" spans="1:13" ht="12.75" customHeight="1">
      <c r="A23" s="156">
        <v>25000</v>
      </c>
      <c r="B23" s="154" t="s">
        <v>303</v>
      </c>
      <c r="C23" s="156">
        <v>29999</v>
      </c>
      <c r="D23" s="532">
        <v>204856</v>
      </c>
      <c r="E23" s="532">
        <v>241913</v>
      </c>
      <c r="F23" s="532">
        <v>90033</v>
      </c>
      <c r="G23" s="532">
        <v>53063</v>
      </c>
      <c r="H23" s="532">
        <v>492</v>
      </c>
      <c r="I23" s="532">
        <v>385501</v>
      </c>
      <c r="M23" s="1337">
        <f t="shared" si="0"/>
        <v>0</v>
      </c>
    </row>
    <row r="24" spans="1:13" ht="12.75" customHeight="1">
      <c r="A24" s="156">
        <v>30000</v>
      </c>
      <c r="B24" s="154" t="s">
        <v>303</v>
      </c>
      <c r="C24" s="156">
        <v>34999</v>
      </c>
      <c r="D24" s="532">
        <v>196954</v>
      </c>
      <c r="E24" s="532">
        <v>234839</v>
      </c>
      <c r="F24" s="532">
        <v>91043</v>
      </c>
      <c r="G24" s="532">
        <v>49417</v>
      </c>
      <c r="H24" s="532">
        <v>432</v>
      </c>
      <c r="I24" s="532">
        <v>375731</v>
      </c>
      <c r="M24" s="1337">
        <f t="shared" si="0"/>
        <v>0</v>
      </c>
    </row>
    <row r="25" spans="1:13" ht="12.75" customHeight="1">
      <c r="A25" s="156">
        <v>35000</v>
      </c>
      <c r="B25" s="154" t="s">
        <v>303</v>
      </c>
      <c r="C25" s="156">
        <v>39999</v>
      </c>
      <c r="D25" s="532">
        <v>180658</v>
      </c>
      <c r="E25" s="532">
        <v>219797</v>
      </c>
      <c r="F25" s="532">
        <v>85086</v>
      </c>
      <c r="G25" s="532">
        <v>46861</v>
      </c>
      <c r="H25" s="532">
        <v>392</v>
      </c>
      <c r="I25" s="532">
        <v>352136</v>
      </c>
      <c r="M25" s="1337">
        <f t="shared" si="0"/>
        <v>0</v>
      </c>
    </row>
    <row r="26" spans="1:13" ht="12.75" customHeight="1">
      <c r="A26" s="156">
        <v>40000</v>
      </c>
      <c r="B26" s="154" t="s">
        <v>303</v>
      </c>
      <c r="C26" s="156">
        <v>44999</v>
      </c>
      <c r="D26" s="532">
        <v>162437</v>
      </c>
      <c r="E26" s="532">
        <v>201151</v>
      </c>
      <c r="F26" s="532">
        <v>76844</v>
      </c>
      <c r="G26" s="532">
        <v>42383</v>
      </c>
      <c r="H26" s="532">
        <v>377</v>
      </c>
      <c r="I26" s="532">
        <v>320755</v>
      </c>
      <c r="M26" s="1337">
        <f t="shared" si="0"/>
        <v>0</v>
      </c>
    </row>
    <row r="27" spans="1:13" ht="12.75" customHeight="1">
      <c r="A27" s="156">
        <v>45000</v>
      </c>
      <c r="B27" s="154" t="s">
        <v>303</v>
      </c>
      <c r="C27" s="156">
        <v>49999</v>
      </c>
      <c r="D27" s="532">
        <v>148054</v>
      </c>
      <c r="E27" s="532">
        <v>186993</v>
      </c>
      <c r="F27" s="532">
        <v>68678</v>
      </c>
      <c r="G27" s="532">
        <v>39472</v>
      </c>
      <c r="H27" s="532">
        <v>306</v>
      </c>
      <c r="I27" s="532">
        <v>295449</v>
      </c>
      <c r="M27" s="1337">
        <f t="shared" si="0"/>
        <v>0</v>
      </c>
    </row>
    <row r="28" spans="1:13" ht="12.75" customHeight="1">
      <c r="A28" s="156">
        <v>50000</v>
      </c>
      <c r="B28" s="154" t="s">
        <v>303</v>
      </c>
      <c r="C28" s="156">
        <v>74999</v>
      </c>
      <c r="D28" s="532">
        <v>551783</v>
      </c>
      <c r="E28" s="532">
        <v>741468</v>
      </c>
      <c r="F28" s="532">
        <v>266131</v>
      </c>
      <c r="G28" s="532">
        <v>155769</v>
      </c>
      <c r="H28" s="532">
        <v>1195</v>
      </c>
      <c r="I28" s="532">
        <v>1164563</v>
      </c>
      <c r="M28" s="1337">
        <f t="shared" si="0"/>
        <v>0</v>
      </c>
    </row>
    <row r="29" spans="1:13" ht="12.75" customHeight="1">
      <c r="A29" s="156">
        <v>75000</v>
      </c>
      <c r="B29" s="154" t="s">
        <v>303</v>
      </c>
      <c r="C29" s="156">
        <v>99999</v>
      </c>
      <c r="D29" s="532">
        <v>360455</v>
      </c>
      <c r="E29" s="532">
        <v>540952</v>
      </c>
      <c r="F29" s="532">
        <v>203048</v>
      </c>
      <c r="G29" s="532">
        <v>106790</v>
      </c>
      <c r="H29" s="532">
        <v>779</v>
      </c>
      <c r="I29" s="532">
        <v>851569</v>
      </c>
      <c r="M29" s="1337">
        <f t="shared" si="0"/>
        <v>0</v>
      </c>
    </row>
    <row r="30" spans="1:13" ht="21" customHeight="1">
      <c r="A30" s="833">
        <v>100000</v>
      </c>
      <c r="B30" s="537" t="s">
        <v>301</v>
      </c>
      <c r="C30" s="537" t="s">
        <v>314</v>
      </c>
      <c r="D30" s="1110">
        <v>1019515</v>
      </c>
      <c r="E30" s="1110">
        <v>1777523</v>
      </c>
      <c r="F30" s="1110">
        <v>827547</v>
      </c>
      <c r="G30" s="1110">
        <v>311214</v>
      </c>
      <c r="H30" s="1110">
        <v>1657</v>
      </c>
      <c r="I30" s="1110">
        <v>2917941</v>
      </c>
      <c r="M30" s="1337">
        <f t="shared" si="0"/>
        <v>0</v>
      </c>
    </row>
    <row r="31" spans="1:13" ht="15" customHeight="1">
      <c r="A31" s="87" t="s">
        <v>304</v>
      </c>
      <c r="B31" s="87"/>
      <c r="C31" s="87"/>
      <c r="D31" s="88">
        <f t="shared" ref="D31:I31" si="1">SUM(D6:D30)</f>
        <v>4164940</v>
      </c>
      <c r="E31" s="88">
        <f t="shared" si="1"/>
        <v>5686037</v>
      </c>
      <c r="F31" s="88">
        <f t="shared" si="1"/>
        <v>2203983</v>
      </c>
      <c r="G31" s="88">
        <f t="shared" si="1"/>
        <v>1104975</v>
      </c>
      <c r="H31" s="88">
        <f t="shared" si="1"/>
        <v>8641</v>
      </c>
      <c r="I31" s="88">
        <f t="shared" si="1"/>
        <v>9003636</v>
      </c>
      <c r="M31" s="1337">
        <f t="shared" si="0"/>
        <v>0</v>
      </c>
    </row>
    <row r="32" spans="1:13" ht="6" customHeight="1"/>
    <row r="34" spans="1:5" s="705" customFormat="1" ht="12.75" customHeight="1">
      <c r="A34" s="788" t="s">
        <v>958</v>
      </c>
      <c r="B34" s="706"/>
      <c r="C34" s="706"/>
      <c r="D34" s="706"/>
      <c r="E34" s="707"/>
    </row>
  </sheetData>
  <customSheetViews>
    <customSheetView guid="{E6BBE5A7-0B25-4EE8-BA45-5EA5DBAF3AD4}" showPageBreaks="1" printArea="1" topLeftCell="A10">
      <selection activeCell="A3" sqref="A3"/>
      <pageMargins left="0.5" right="0.5" top="1" bottom="1" header="0.5" footer="0.5"/>
      <printOptions horizontalCentered="1"/>
      <pageSetup scale="66" orientation="landscape" r:id="rId1"/>
      <headerFooter alignWithMargins="0"/>
    </customSheetView>
  </customSheetViews>
  <hyperlinks>
    <hyperlink ref="M1" location="TOC!A1" display="Back" xr:uid="{00000000-0004-0000-0700-000000000000}"/>
  </hyperlinks>
  <pageMargins left="0.4" right="0.25" top="0.5" bottom="0.25" header="0.25" footer="0"/>
  <pageSetup scale="91" orientation="landscape" r:id="rId2"/>
  <headerFooter scaleWithDoc="0">
    <oddHeader>&amp;R&amp;P</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O182"/>
  <sheetViews>
    <sheetView showOutlineSymbols="0" zoomScale="85" zoomScaleNormal="85" workbookViewId="0"/>
  </sheetViews>
  <sheetFormatPr defaultColWidth="10.7265625" defaultRowHeight="17.149999999999999" customHeight="1"/>
  <cols>
    <col min="1" max="1" width="13.7265625" style="188" customWidth="1"/>
    <col min="2" max="2" width="6.6328125" style="1054" hidden="1" customWidth="1"/>
    <col min="3" max="3" width="12.6328125" style="188" customWidth="1"/>
    <col min="4" max="4" width="13.6328125" style="188" customWidth="1"/>
    <col min="5" max="12" width="14.6328125" style="188" customWidth="1"/>
    <col min="13" max="13" width="15.6328125" style="188" customWidth="1"/>
    <col min="14" max="14" width="15.6328125" style="225" customWidth="1"/>
    <col min="15" max="16384" width="10.7265625" style="188"/>
  </cols>
  <sheetData>
    <row r="1" spans="1:15" ht="18">
      <c r="A1" s="187" t="s">
        <v>593</v>
      </c>
      <c r="B1" s="1088"/>
      <c r="D1" s="189"/>
      <c r="E1" s="189"/>
      <c r="F1" s="189"/>
      <c r="G1" s="189"/>
      <c r="H1" s="189"/>
      <c r="I1" s="189"/>
      <c r="J1" s="189"/>
      <c r="K1" s="189"/>
      <c r="L1" s="189"/>
      <c r="M1" s="189"/>
      <c r="O1" s="855" t="s">
        <v>984</v>
      </c>
    </row>
    <row r="2" spans="1:15" ht="17.149999999999999" customHeight="1">
      <c r="A2" s="190" t="s">
        <v>594</v>
      </c>
      <c r="B2" s="1089"/>
      <c r="D2" s="189"/>
      <c r="E2" s="189"/>
      <c r="F2" s="189"/>
      <c r="G2" s="189"/>
      <c r="H2" s="189"/>
      <c r="I2" s="189"/>
      <c r="J2" s="189"/>
      <c r="K2" s="189"/>
      <c r="L2" s="189"/>
      <c r="M2" s="189"/>
    </row>
    <row r="3" spans="1:15" ht="17.149999999999999" customHeight="1">
      <c r="A3" s="191" t="s">
        <v>1325</v>
      </c>
      <c r="B3" s="1090"/>
      <c r="D3" s="192"/>
      <c r="E3" s="192"/>
      <c r="F3" s="192"/>
      <c r="G3" s="192"/>
      <c r="H3" s="192"/>
      <c r="I3" s="192"/>
      <c r="J3" s="192"/>
      <c r="K3" s="192"/>
      <c r="L3" s="192"/>
      <c r="M3" s="192"/>
    </row>
    <row r="4" spans="1:15" ht="2" customHeight="1">
      <c r="A4" s="190"/>
      <c r="B4" s="1089"/>
      <c r="D4" s="192"/>
      <c r="E4" s="192"/>
      <c r="F4" s="192"/>
      <c r="G4" s="192"/>
      <c r="H4" s="192"/>
      <c r="I4" s="192"/>
      <c r="J4" s="192"/>
      <c r="K4" s="192"/>
      <c r="L4" s="192"/>
      <c r="M4" s="192"/>
    </row>
    <row r="5" spans="1:15" s="185" customFormat="1" ht="2" customHeight="1">
      <c r="A5" s="191"/>
      <c r="B5" s="1090"/>
      <c r="C5" s="188"/>
      <c r="D5" s="192"/>
      <c r="E5" s="192"/>
      <c r="F5" s="192"/>
      <c r="G5" s="192"/>
      <c r="H5" s="192"/>
      <c r="I5" s="192"/>
      <c r="J5" s="192"/>
      <c r="K5" s="192"/>
      <c r="L5" s="192"/>
      <c r="M5" s="192"/>
      <c r="N5" s="1081"/>
    </row>
    <row r="6" spans="1:15" s="185" customFormat="1" ht="2" customHeight="1" thickBot="1">
      <c r="A6" s="190"/>
      <c r="B6" s="1089"/>
      <c r="C6" s="188"/>
      <c r="D6" s="1082"/>
      <c r="E6" s="1082"/>
      <c r="F6" s="1082"/>
      <c r="G6" s="1082"/>
      <c r="H6" s="1082"/>
      <c r="I6" s="1082"/>
      <c r="J6" s="1082"/>
      <c r="K6" s="1082"/>
      <c r="L6" s="1082"/>
      <c r="M6" s="1082"/>
      <c r="N6" s="1083"/>
    </row>
    <row r="7" spans="1:15" s="185" customFormat="1" ht="26">
      <c r="A7" s="1085" t="s">
        <v>21</v>
      </c>
      <c r="B7" s="1087" t="s">
        <v>938</v>
      </c>
      <c r="C7" s="1086" t="s">
        <v>595</v>
      </c>
      <c r="D7" s="1204" t="s">
        <v>1179</v>
      </c>
      <c r="E7" s="1204" t="s">
        <v>1180</v>
      </c>
      <c r="F7" s="1204" t="s">
        <v>1181</v>
      </c>
      <c r="G7" s="1204" t="s">
        <v>1182</v>
      </c>
      <c r="H7" s="1204" t="s">
        <v>1183</v>
      </c>
      <c r="I7" s="1204" t="s">
        <v>1184</v>
      </c>
      <c r="J7" s="1204" t="s">
        <v>1185</v>
      </c>
      <c r="K7" s="1204" t="s">
        <v>1186</v>
      </c>
      <c r="L7" s="1204" t="s">
        <v>1187</v>
      </c>
      <c r="M7" s="1204" t="s">
        <v>1188</v>
      </c>
      <c r="N7" s="1204" t="s">
        <v>1189</v>
      </c>
    </row>
    <row r="8" spans="1:15" s="164" customFormat="1" ht="34" customHeight="1">
      <c r="A8" s="164" t="s">
        <v>317</v>
      </c>
      <c r="B8" s="1074" t="s">
        <v>1042</v>
      </c>
      <c r="C8" s="163">
        <v>4690376.21</v>
      </c>
      <c r="D8" s="163">
        <v>12290136.780000001</v>
      </c>
      <c r="E8" s="163">
        <v>18203262.940000001</v>
      </c>
      <c r="F8" s="163">
        <v>21890690.359999999</v>
      </c>
      <c r="G8" s="163">
        <v>28343440.41</v>
      </c>
      <c r="H8" s="163">
        <v>35028254.719999999</v>
      </c>
      <c r="I8" s="163">
        <v>78482899.74000001</v>
      </c>
      <c r="J8" s="163">
        <v>72738543.550000012</v>
      </c>
      <c r="K8" s="163">
        <v>142615623.58000001</v>
      </c>
      <c r="L8" s="163">
        <v>110337267.65000001</v>
      </c>
      <c r="M8" s="163">
        <v>406965393.88999999</v>
      </c>
      <c r="N8" s="250">
        <f t="shared" ref="N8:N42" si="0">SUM(C8:M8)</f>
        <v>931585889.83000004</v>
      </c>
    </row>
    <row r="9" spans="1:15" s="185" customFormat="1" ht="17" customHeight="1">
      <c r="A9" s="185" t="s">
        <v>321</v>
      </c>
      <c r="B9" s="1056" t="s">
        <v>1043</v>
      </c>
      <c r="C9" s="193">
        <v>7619763.2199999997</v>
      </c>
      <c r="D9" s="193">
        <v>19364738.59</v>
      </c>
      <c r="E9" s="193">
        <v>30906792.639999997</v>
      </c>
      <c r="F9" s="193">
        <v>39292590.630000003</v>
      </c>
      <c r="G9" s="193">
        <v>52664165.640000001</v>
      </c>
      <c r="H9" s="193">
        <v>63040069.380000003</v>
      </c>
      <c r="I9" s="193">
        <v>155832074.67000002</v>
      </c>
      <c r="J9" s="193">
        <v>163178084.68000001</v>
      </c>
      <c r="K9" s="193">
        <v>418096231.02999997</v>
      </c>
      <c r="L9" s="193">
        <v>386902453.31</v>
      </c>
      <c r="M9" s="193">
        <v>6792584254.04</v>
      </c>
      <c r="N9" s="299">
        <f t="shared" si="0"/>
        <v>8129481217.8299999</v>
      </c>
    </row>
    <row r="10" spans="1:15" s="185" customFormat="1" ht="17.149999999999999" customHeight="1">
      <c r="A10" s="185" t="s">
        <v>325</v>
      </c>
      <c r="B10" s="1056" t="s">
        <v>1044</v>
      </c>
      <c r="C10" s="193">
        <v>1489168.51</v>
      </c>
      <c r="D10" s="193">
        <v>3774609.44</v>
      </c>
      <c r="E10" s="193">
        <v>6204363.0999999996</v>
      </c>
      <c r="F10" s="193">
        <v>8821521.3200000003</v>
      </c>
      <c r="G10" s="193">
        <v>10671487.550000001</v>
      </c>
      <c r="H10" s="193">
        <v>13334820.35</v>
      </c>
      <c r="I10" s="193">
        <v>25462541.289999999</v>
      </c>
      <c r="J10" s="193">
        <v>25147030.920000002</v>
      </c>
      <c r="K10" s="193">
        <v>60236808.289999999</v>
      </c>
      <c r="L10" s="193">
        <v>53161506.810000002</v>
      </c>
      <c r="M10" s="193">
        <v>149720889.47</v>
      </c>
      <c r="N10" s="299">
        <f t="shared" si="0"/>
        <v>358024747.05000001</v>
      </c>
    </row>
    <row r="11" spans="1:15" s="185" customFormat="1" ht="17.149999999999999" customHeight="1">
      <c r="A11" s="185" t="s">
        <v>329</v>
      </c>
      <c r="B11" s="1056" t="s">
        <v>1045</v>
      </c>
      <c r="C11" s="193">
        <v>899125.52</v>
      </c>
      <c r="D11" s="193">
        <v>2694096.3099999996</v>
      </c>
      <c r="E11" s="193">
        <v>4817559.6000000006</v>
      </c>
      <c r="F11" s="193">
        <v>6363287.6399999997</v>
      </c>
      <c r="G11" s="193">
        <v>8710696.6999999993</v>
      </c>
      <c r="H11" s="193">
        <v>10092792</v>
      </c>
      <c r="I11" s="193">
        <v>25048149.880000003</v>
      </c>
      <c r="J11" s="193">
        <v>24158953.609999999</v>
      </c>
      <c r="K11" s="193">
        <v>55324546.159999996</v>
      </c>
      <c r="L11" s="193">
        <v>52741657.960000001</v>
      </c>
      <c r="M11" s="193">
        <v>187212101.75</v>
      </c>
      <c r="N11" s="299">
        <f t="shared" si="0"/>
        <v>378062967.13</v>
      </c>
    </row>
    <row r="12" spans="1:15" s="185" customFormat="1" ht="17.149999999999999" customHeight="1">
      <c r="A12" s="185" t="s">
        <v>333</v>
      </c>
      <c r="B12" s="1056" t="s">
        <v>1046</v>
      </c>
      <c r="C12" s="193">
        <v>1910813.78</v>
      </c>
      <c r="D12" s="193">
        <v>6463432.9199999999</v>
      </c>
      <c r="E12" s="193">
        <v>10410502.629999999</v>
      </c>
      <c r="F12" s="193">
        <v>16014268</v>
      </c>
      <c r="G12" s="193">
        <v>19852319.399999999</v>
      </c>
      <c r="H12" s="193">
        <v>23824149.48</v>
      </c>
      <c r="I12" s="193">
        <v>57109658.329999998</v>
      </c>
      <c r="J12" s="193">
        <v>58052005.030000001</v>
      </c>
      <c r="K12" s="193">
        <v>126744563.7</v>
      </c>
      <c r="L12" s="193">
        <v>110447667.76000001</v>
      </c>
      <c r="M12" s="193">
        <v>306109200.79000002</v>
      </c>
      <c r="N12" s="299">
        <f t="shared" si="0"/>
        <v>736938581.81999993</v>
      </c>
    </row>
    <row r="13" spans="1:15" s="185" customFormat="1" ht="34" customHeight="1">
      <c r="A13" s="185" t="s">
        <v>337</v>
      </c>
      <c r="B13" s="1056" t="s">
        <v>1047</v>
      </c>
      <c r="C13" s="193">
        <v>1231097.22</v>
      </c>
      <c r="D13" s="193">
        <v>3675122.3200000003</v>
      </c>
      <c r="E13" s="193">
        <v>5602362.6099999994</v>
      </c>
      <c r="F13" s="193">
        <v>8840717.4900000002</v>
      </c>
      <c r="G13" s="193">
        <v>9680142.2100000009</v>
      </c>
      <c r="H13" s="193">
        <v>11816313.529999999</v>
      </c>
      <c r="I13" s="193">
        <v>28745652.539999999</v>
      </c>
      <c r="J13" s="193">
        <v>27922595.879999999</v>
      </c>
      <c r="K13" s="193">
        <v>63527948.520000003</v>
      </c>
      <c r="L13" s="193">
        <v>58079349.060000002</v>
      </c>
      <c r="M13" s="193">
        <v>169365163.47</v>
      </c>
      <c r="N13" s="299">
        <f t="shared" si="0"/>
        <v>388486464.85000002</v>
      </c>
    </row>
    <row r="14" spans="1:15" s="185" customFormat="1" ht="17.149999999999999" customHeight="1">
      <c r="A14" s="185" t="s">
        <v>341</v>
      </c>
      <c r="B14" s="1056" t="s">
        <v>1048</v>
      </c>
      <c r="C14" s="193">
        <v>15697557.950000001</v>
      </c>
      <c r="D14" s="193">
        <v>39211553.909999996</v>
      </c>
      <c r="E14" s="193">
        <v>61838393.789999992</v>
      </c>
      <c r="F14" s="193">
        <v>76209314.280000001</v>
      </c>
      <c r="G14" s="193">
        <v>94258269.859999999</v>
      </c>
      <c r="H14" s="193">
        <v>112248072.28</v>
      </c>
      <c r="I14" s="193">
        <v>268420089.30000001</v>
      </c>
      <c r="J14" s="193">
        <v>317133773.64999998</v>
      </c>
      <c r="K14" s="193">
        <v>1143652873.46</v>
      </c>
      <c r="L14" s="193">
        <v>1295979290.45</v>
      </c>
      <c r="M14" s="193">
        <v>16234052693.450001</v>
      </c>
      <c r="N14" s="299">
        <f t="shared" si="0"/>
        <v>19658701882.380001</v>
      </c>
    </row>
    <row r="15" spans="1:15" s="185" customFormat="1" ht="17.149999999999999" customHeight="1">
      <c r="A15" s="185" t="s">
        <v>345</v>
      </c>
      <c r="B15" s="1056" t="s">
        <v>1049</v>
      </c>
      <c r="C15" s="193">
        <v>4955769.97</v>
      </c>
      <c r="D15" s="193">
        <v>15224385.32</v>
      </c>
      <c r="E15" s="193">
        <v>25773760.519999996</v>
      </c>
      <c r="F15" s="193">
        <v>35615479.799999997</v>
      </c>
      <c r="G15" s="193">
        <v>45586788.969999999</v>
      </c>
      <c r="H15" s="193">
        <v>55206745.509999998</v>
      </c>
      <c r="I15" s="193">
        <v>135360153.32999998</v>
      </c>
      <c r="J15" s="193">
        <v>150938035.80000001</v>
      </c>
      <c r="K15" s="193">
        <v>359281501.5</v>
      </c>
      <c r="L15" s="193">
        <v>324323630.44999999</v>
      </c>
      <c r="M15" s="193">
        <v>1336587623.9200001</v>
      </c>
      <c r="N15" s="299">
        <f t="shared" si="0"/>
        <v>2488853875.0900002</v>
      </c>
    </row>
    <row r="16" spans="1:15" s="185" customFormat="1" ht="17.149999999999999" customHeight="1">
      <c r="A16" s="185" t="s">
        <v>349</v>
      </c>
      <c r="B16" s="1056" t="s">
        <v>1050</v>
      </c>
      <c r="C16" s="193">
        <v>444965.73000000004</v>
      </c>
      <c r="D16" s="193">
        <v>1084897.04</v>
      </c>
      <c r="E16" s="193">
        <v>1786922.57</v>
      </c>
      <c r="F16" s="193">
        <v>2840429.72</v>
      </c>
      <c r="G16" s="193">
        <v>3351510.66</v>
      </c>
      <c r="H16" s="193">
        <v>4956386.4000000004</v>
      </c>
      <c r="I16" s="193">
        <v>8981648.9600000009</v>
      </c>
      <c r="J16" s="193">
        <v>9192710.6099999994</v>
      </c>
      <c r="K16" s="193">
        <v>17762213.699999999</v>
      </c>
      <c r="L16" s="193">
        <v>16166164.67</v>
      </c>
      <c r="M16" s="193">
        <v>65769354.460000001</v>
      </c>
      <c r="N16" s="299">
        <f t="shared" si="0"/>
        <v>132337204.52000001</v>
      </c>
    </row>
    <row r="17" spans="1:14" s="185" customFormat="1" ht="17.149999999999999" customHeight="1">
      <c r="A17" s="185" t="s">
        <v>732</v>
      </c>
      <c r="B17" s="1056" t="s">
        <v>1051</v>
      </c>
      <c r="C17" s="193">
        <v>5418893.5099999998</v>
      </c>
      <c r="D17" s="193">
        <v>16551289.289999999</v>
      </c>
      <c r="E17" s="193">
        <v>25545434.869999997</v>
      </c>
      <c r="F17" s="193">
        <v>34456205.020000003</v>
      </c>
      <c r="G17" s="193">
        <v>44146188.579999998</v>
      </c>
      <c r="H17" s="193">
        <v>54211350.210000001</v>
      </c>
      <c r="I17" s="193">
        <v>130339403.56</v>
      </c>
      <c r="J17" s="193">
        <v>131120471.17</v>
      </c>
      <c r="K17" s="193">
        <v>314711004.33999997</v>
      </c>
      <c r="L17" s="193">
        <v>308991017.24000001</v>
      </c>
      <c r="M17" s="193">
        <v>1790502529.0699999</v>
      </c>
      <c r="N17" s="299">
        <f t="shared" si="0"/>
        <v>2855993786.8599997</v>
      </c>
    </row>
    <row r="18" spans="1:14" s="185" customFormat="1" ht="34" customHeight="1">
      <c r="A18" s="185" t="s">
        <v>357</v>
      </c>
      <c r="B18" s="1056" t="s">
        <v>1052</v>
      </c>
      <c r="C18" s="193">
        <v>366377.14</v>
      </c>
      <c r="D18" s="193">
        <v>1063657.83</v>
      </c>
      <c r="E18" s="193">
        <v>1920821.9100000001</v>
      </c>
      <c r="F18" s="193">
        <v>2630617.79</v>
      </c>
      <c r="G18" s="193">
        <v>3167061.41</v>
      </c>
      <c r="H18" s="193">
        <v>4719942.45</v>
      </c>
      <c r="I18" s="193">
        <v>10577113.779999999</v>
      </c>
      <c r="J18" s="193">
        <v>10540528.280000001</v>
      </c>
      <c r="K18" s="193">
        <v>22316307.559999999</v>
      </c>
      <c r="L18" s="193">
        <v>20347128.73</v>
      </c>
      <c r="M18" s="193">
        <v>53341314.270000003</v>
      </c>
      <c r="N18" s="299">
        <f t="shared" si="0"/>
        <v>130990871.15000001</v>
      </c>
    </row>
    <row r="19" spans="1:14" s="185" customFormat="1" ht="17.149999999999999" customHeight="1">
      <c r="A19" s="185" t="s">
        <v>361</v>
      </c>
      <c r="B19" s="1056" t="s">
        <v>1053</v>
      </c>
      <c r="C19" s="193">
        <v>2269428.31</v>
      </c>
      <c r="D19" s="193">
        <v>6249354.46</v>
      </c>
      <c r="E19" s="193">
        <v>10322907.49</v>
      </c>
      <c r="F19" s="193">
        <v>14147853.24</v>
      </c>
      <c r="G19" s="193">
        <v>16241255.640000001</v>
      </c>
      <c r="H19" s="193">
        <v>21619164.469999999</v>
      </c>
      <c r="I19" s="193">
        <v>51226739.599999994</v>
      </c>
      <c r="J19" s="193">
        <v>56357669.469999999</v>
      </c>
      <c r="K19" s="193">
        <v>141834438.02000001</v>
      </c>
      <c r="L19" s="193">
        <v>132104861.11</v>
      </c>
      <c r="M19" s="193">
        <v>761001004.94000006</v>
      </c>
      <c r="N19" s="299">
        <f t="shared" si="0"/>
        <v>1213374676.75</v>
      </c>
    </row>
    <row r="20" spans="1:14" s="185" customFormat="1" ht="17.149999999999999" customHeight="1">
      <c r="A20" s="185" t="s">
        <v>365</v>
      </c>
      <c r="B20" s="1056" t="s">
        <v>1054</v>
      </c>
      <c r="C20" s="193">
        <v>1077043.99</v>
      </c>
      <c r="D20" s="193">
        <v>3596093.33</v>
      </c>
      <c r="E20" s="193">
        <v>6238464.1400000006</v>
      </c>
      <c r="F20" s="193">
        <v>8114250.2300000004</v>
      </c>
      <c r="G20" s="193">
        <v>10326997.869999999</v>
      </c>
      <c r="H20" s="193">
        <v>12853785.859999999</v>
      </c>
      <c r="I20" s="193">
        <v>25298285.880000003</v>
      </c>
      <c r="J20" s="193">
        <v>27180581.880000003</v>
      </c>
      <c r="K20" s="193">
        <v>51398587.920000002</v>
      </c>
      <c r="L20" s="193">
        <v>37080635.32</v>
      </c>
      <c r="M20" s="193">
        <v>121105178.39</v>
      </c>
      <c r="N20" s="299">
        <f t="shared" si="0"/>
        <v>304269904.81</v>
      </c>
    </row>
    <row r="21" spans="1:14" s="185" customFormat="1" ht="17.149999999999999" customHeight="1">
      <c r="A21" s="185" t="s">
        <v>369</v>
      </c>
      <c r="B21" s="1056" t="s">
        <v>1055</v>
      </c>
      <c r="C21" s="193">
        <v>1210307.76</v>
      </c>
      <c r="D21" s="193">
        <v>3771816.34</v>
      </c>
      <c r="E21" s="193">
        <v>5910049.4800000004</v>
      </c>
      <c r="F21" s="193">
        <v>7961251.0599999996</v>
      </c>
      <c r="G21" s="193">
        <v>11051912.699999999</v>
      </c>
      <c r="H21" s="193">
        <v>11473549.18</v>
      </c>
      <c r="I21" s="193">
        <v>23551737.539999999</v>
      </c>
      <c r="J21" s="193">
        <v>24108201.859999999</v>
      </c>
      <c r="K21" s="193">
        <v>56347914.700000003</v>
      </c>
      <c r="L21" s="193">
        <v>46747086.659999996</v>
      </c>
      <c r="M21" s="193">
        <v>106346507.54000001</v>
      </c>
      <c r="N21" s="299">
        <f t="shared" si="0"/>
        <v>298480334.81999999</v>
      </c>
    </row>
    <row r="22" spans="1:14" s="185" customFormat="1" ht="17.149999999999999" customHeight="1">
      <c r="A22" s="185" t="s">
        <v>373</v>
      </c>
      <c r="B22" s="1056" t="s">
        <v>1056</v>
      </c>
      <c r="C22" s="193">
        <v>984113.92999999993</v>
      </c>
      <c r="D22" s="193">
        <v>3055335.12</v>
      </c>
      <c r="E22" s="193">
        <v>5639187.6799999997</v>
      </c>
      <c r="F22" s="193">
        <v>7760016.7300000004</v>
      </c>
      <c r="G22" s="193">
        <v>10253765.779999999</v>
      </c>
      <c r="H22" s="193">
        <v>11680927.890000001</v>
      </c>
      <c r="I22" s="193">
        <v>27512655.369999997</v>
      </c>
      <c r="J22" s="193">
        <v>30828023.43</v>
      </c>
      <c r="K22" s="193">
        <v>51104513.600000001</v>
      </c>
      <c r="L22" s="193">
        <v>41402213.039999999</v>
      </c>
      <c r="M22" s="193">
        <v>123424989.54000001</v>
      </c>
      <c r="N22" s="299">
        <f t="shared" si="0"/>
        <v>313645742.11000001</v>
      </c>
    </row>
    <row r="23" spans="1:14" s="185" customFormat="1" ht="34" customHeight="1">
      <c r="A23" s="185" t="s">
        <v>377</v>
      </c>
      <c r="B23" s="1056" t="s">
        <v>1057</v>
      </c>
      <c r="C23" s="193">
        <v>4088953.13</v>
      </c>
      <c r="D23" s="193">
        <v>12243276.539999999</v>
      </c>
      <c r="E23" s="193">
        <v>20519023.16</v>
      </c>
      <c r="F23" s="193">
        <v>27774668.390000001</v>
      </c>
      <c r="G23" s="193">
        <v>35492187.880000003</v>
      </c>
      <c r="H23" s="193">
        <v>43945232.880000003</v>
      </c>
      <c r="I23" s="193">
        <v>98145832.930000007</v>
      </c>
      <c r="J23" s="193">
        <v>99691497.620000005</v>
      </c>
      <c r="K23" s="193">
        <v>212549902.47999999</v>
      </c>
      <c r="L23" s="193">
        <v>191122806.63999999</v>
      </c>
      <c r="M23" s="193">
        <v>625830025.32000005</v>
      </c>
      <c r="N23" s="299">
        <f t="shared" si="0"/>
        <v>1371403406.97</v>
      </c>
    </row>
    <row r="24" spans="1:14" s="185" customFormat="1" ht="17.149999999999999" customHeight="1">
      <c r="A24" s="185" t="s">
        <v>379</v>
      </c>
      <c r="B24" s="1056" t="s">
        <v>1058</v>
      </c>
      <c r="C24" s="193">
        <v>1824775.5899999999</v>
      </c>
      <c r="D24" s="193">
        <v>6052280.9399999995</v>
      </c>
      <c r="E24" s="193">
        <v>10251984.58</v>
      </c>
      <c r="F24" s="193">
        <v>13993005.08</v>
      </c>
      <c r="G24" s="193">
        <v>17800981.82</v>
      </c>
      <c r="H24" s="193">
        <v>20216308.32</v>
      </c>
      <c r="I24" s="193">
        <v>51886279.650000006</v>
      </c>
      <c r="J24" s="193">
        <v>62512832.729999997</v>
      </c>
      <c r="K24" s="193">
        <v>147304494.22999999</v>
      </c>
      <c r="L24" s="193">
        <v>129627698.83</v>
      </c>
      <c r="M24" s="193">
        <v>427581620.26999998</v>
      </c>
      <c r="N24" s="299">
        <f t="shared" si="0"/>
        <v>889052262.03999996</v>
      </c>
    </row>
    <row r="25" spans="1:14" s="185" customFormat="1" ht="17.149999999999999" customHeight="1">
      <c r="A25" s="185" t="s">
        <v>382</v>
      </c>
      <c r="B25" s="1056" t="s">
        <v>1059</v>
      </c>
      <c r="C25" s="193">
        <v>2295304.6800000002</v>
      </c>
      <c r="D25" s="193">
        <v>7176466.3700000001</v>
      </c>
      <c r="E25" s="193">
        <v>10836215.689999999</v>
      </c>
      <c r="F25" s="193">
        <v>15763954.529999999</v>
      </c>
      <c r="G25" s="193">
        <v>20426386.890000001</v>
      </c>
      <c r="H25" s="193">
        <v>25438663.91</v>
      </c>
      <c r="I25" s="193">
        <v>51711844.780000001</v>
      </c>
      <c r="J25" s="193">
        <v>47706885.269999996</v>
      </c>
      <c r="K25" s="193">
        <v>109444606.19</v>
      </c>
      <c r="L25" s="193">
        <v>82831839.390000001</v>
      </c>
      <c r="M25" s="193">
        <v>205736473.5</v>
      </c>
      <c r="N25" s="299">
        <f t="shared" si="0"/>
        <v>579368641.20000005</v>
      </c>
    </row>
    <row r="26" spans="1:14" s="185" customFormat="1" ht="17.149999999999999" customHeight="1">
      <c r="A26" s="185" t="s">
        <v>385</v>
      </c>
      <c r="B26" s="1056" t="s">
        <v>1060</v>
      </c>
      <c r="C26" s="193">
        <v>432019.55999999994</v>
      </c>
      <c r="D26" s="193">
        <v>1478000.7000000002</v>
      </c>
      <c r="E26" s="193">
        <v>2580435.46</v>
      </c>
      <c r="F26" s="193">
        <v>3667776.92</v>
      </c>
      <c r="G26" s="193">
        <v>4579696.9000000004</v>
      </c>
      <c r="H26" s="193">
        <v>6365601.8600000003</v>
      </c>
      <c r="I26" s="193">
        <v>14272853.579999998</v>
      </c>
      <c r="J26" s="193">
        <v>14086567.399999999</v>
      </c>
      <c r="K26" s="193">
        <v>31459464.73</v>
      </c>
      <c r="L26" s="193">
        <v>25178406.670000002</v>
      </c>
      <c r="M26" s="193">
        <v>135249251.15000001</v>
      </c>
      <c r="N26" s="299">
        <f t="shared" si="0"/>
        <v>239350074.93000001</v>
      </c>
    </row>
    <row r="27" spans="1:14" s="185" customFormat="1" ht="17.149999999999999" customHeight="1">
      <c r="A27" s="185" t="s">
        <v>388</v>
      </c>
      <c r="B27" s="1056" t="s">
        <v>1061</v>
      </c>
      <c r="C27" s="193">
        <v>874404.36</v>
      </c>
      <c r="D27" s="193">
        <v>2764778.16</v>
      </c>
      <c r="E27" s="193">
        <v>5005805.9399999995</v>
      </c>
      <c r="F27" s="193">
        <v>6530337.6699999999</v>
      </c>
      <c r="G27" s="193">
        <v>7286522.6299999999</v>
      </c>
      <c r="H27" s="193">
        <v>10184642.07</v>
      </c>
      <c r="I27" s="193">
        <v>20398567.149999999</v>
      </c>
      <c r="J27" s="193">
        <v>22914298.380000003</v>
      </c>
      <c r="K27" s="193">
        <v>40902775.850000001</v>
      </c>
      <c r="L27" s="193">
        <v>30531632.300000001</v>
      </c>
      <c r="M27" s="193">
        <v>110616889.98</v>
      </c>
      <c r="N27" s="299">
        <f t="shared" si="0"/>
        <v>258010654.49000001</v>
      </c>
    </row>
    <row r="28" spans="1:14" s="185" customFormat="1" ht="34" customHeight="1">
      <c r="A28" s="185" t="s">
        <v>390</v>
      </c>
      <c r="B28" s="1056" t="s">
        <v>1062</v>
      </c>
      <c r="C28" s="193">
        <v>23733019.68</v>
      </c>
      <c r="D28" s="193">
        <v>71128805.879999995</v>
      </c>
      <c r="E28" s="193">
        <v>112514577.11</v>
      </c>
      <c r="F28" s="193">
        <v>146410712.71000001</v>
      </c>
      <c r="G28" s="193">
        <v>176620391.69999999</v>
      </c>
      <c r="H28" s="193">
        <v>224761625.47</v>
      </c>
      <c r="I28" s="193">
        <v>561882016.57999992</v>
      </c>
      <c r="J28" s="193">
        <v>634259364.05999994</v>
      </c>
      <c r="K28" s="193">
        <v>1556940543.73</v>
      </c>
      <c r="L28" s="193">
        <v>1449431416.8099999</v>
      </c>
      <c r="M28" s="193">
        <v>9990987391.4500008</v>
      </c>
      <c r="N28" s="299">
        <f t="shared" si="0"/>
        <v>14948669865.18</v>
      </c>
    </row>
    <row r="29" spans="1:14" s="185" customFormat="1" ht="17.149999999999999" customHeight="1">
      <c r="A29" s="185" t="s">
        <v>393</v>
      </c>
      <c r="B29" s="1056" t="s">
        <v>1063</v>
      </c>
      <c r="C29" s="193">
        <v>1080541.92</v>
      </c>
      <c r="D29" s="193">
        <v>3199213.4799999995</v>
      </c>
      <c r="E29" s="193">
        <v>4688696.71</v>
      </c>
      <c r="F29" s="193">
        <v>5743006.1500000004</v>
      </c>
      <c r="G29" s="193">
        <v>7609683.9299999997</v>
      </c>
      <c r="H29" s="193">
        <v>8619240.9800000004</v>
      </c>
      <c r="I29" s="193">
        <v>21986582.469999999</v>
      </c>
      <c r="J29" s="193">
        <v>24426420.48</v>
      </c>
      <c r="K29" s="193">
        <v>62082168.439999998</v>
      </c>
      <c r="L29" s="193">
        <v>61992266.460000001</v>
      </c>
      <c r="M29" s="193">
        <v>567923778.78999996</v>
      </c>
      <c r="N29" s="299">
        <f t="shared" si="0"/>
        <v>769351599.80999994</v>
      </c>
    </row>
    <row r="30" spans="1:14" s="185" customFormat="1" ht="17.149999999999999" customHeight="1">
      <c r="A30" s="185" t="s">
        <v>395</v>
      </c>
      <c r="B30" s="1056" t="s">
        <v>1064</v>
      </c>
      <c r="C30" s="193">
        <v>315819.31</v>
      </c>
      <c r="D30" s="193">
        <v>1221652.02</v>
      </c>
      <c r="E30" s="193">
        <v>1574341.27</v>
      </c>
      <c r="F30" s="193">
        <v>2595036.31</v>
      </c>
      <c r="G30" s="193">
        <v>3054722.67</v>
      </c>
      <c r="H30" s="193">
        <v>3888304.13</v>
      </c>
      <c r="I30" s="193">
        <v>9716619.6799999997</v>
      </c>
      <c r="J30" s="193">
        <v>8737394</v>
      </c>
      <c r="K30" s="193">
        <v>22262916.5</v>
      </c>
      <c r="L30" s="193">
        <v>16645846.890000001</v>
      </c>
      <c r="M30" s="193">
        <v>60531757.859999999</v>
      </c>
      <c r="N30" s="299">
        <f t="shared" si="0"/>
        <v>130544410.64</v>
      </c>
    </row>
    <row r="31" spans="1:14" s="185" customFormat="1" ht="17.149999999999999" customHeight="1">
      <c r="A31" s="185" t="s">
        <v>398</v>
      </c>
      <c r="B31" s="1056" t="s">
        <v>1065</v>
      </c>
      <c r="C31" s="193">
        <v>3389991.38</v>
      </c>
      <c r="D31" s="193">
        <v>10027781.23</v>
      </c>
      <c r="E31" s="193">
        <v>16827949.420000002</v>
      </c>
      <c r="F31" s="193">
        <v>23000077.18</v>
      </c>
      <c r="G31" s="193">
        <v>27547482.300000001</v>
      </c>
      <c r="H31" s="193">
        <v>34962023.340000004</v>
      </c>
      <c r="I31" s="193">
        <v>75817423</v>
      </c>
      <c r="J31" s="193">
        <v>88679336.439999998</v>
      </c>
      <c r="K31" s="193">
        <v>210371493.61000001</v>
      </c>
      <c r="L31" s="193">
        <v>204023765.00999999</v>
      </c>
      <c r="M31" s="193">
        <v>1095359161.5599999</v>
      </c>
      <c r="N31" s="299">
        <f t="shared" si="0"/>
        <v>1790006484.47</v>
      </c>
    </row>
    <row r="32" spans="1:14" s="185" customFormat="1" ht="17.149999999999999" customHeight="1">
      <c r="A32" s="185" t="s">
        <v>401</v>
      </c>
      <c r="B32" s="1056" t="s">
        <v>1066</v>
      </c>
      <c r="C32" s="193">
        <v>637172.91999999993</v>
      </c>
      <c r="D32" s="193">
        <v>2390231.02</v>
      </c>
      <c r="E32" s="193">
        <v>3390282.3699999996</v>
      </c>
      <c r="F32" s="193">
        <v>4960616.91</v>
      </c>
      <c r="G32" s="193">
        <v>6163496.9199999999</v>
      </c>
      <c r="H32" s="193">
        <v>7911859.0099999998</v>
      </c>
      <c r="I32" s="193">
        <v>20177428.32</v>
      </c>
      <c r="J32" s="193">
        <v>19746779.170000002</v>
      </c>
      <c r="K32" s="193">
        <v>38948532.780000001</v>
      </c>
      <c r="L32" s="193">
        <v>28140275.449999999</v>
      </c>
      <c r="M32" s="193">
        <v>74161996.329999998</v>
      </c>
      <c r="N32" s="299">
        <f t="shared" si="0"/>
        <v>206628671.19999999</v>
      </c>
    </row>
    <row r="33" spans="1:14" s="185" customFormat="1" ht="34" customHeight="1">
      <c r="A33" s="185" t="s">
        <v>404</v>
      </c>
      <c r="B33" s="1056" t="s">
        <v>1067</v>
      </c>
      <c r="C33" s="193">
        <v>952638.89</v>
      </c>
      <c r="D33" s="193">
        <v>2718261.67</v>
      </c>
      <c r="E33" s="193">
        <v>4499164.9000000004</v>
      </c>
      <c r="F33" s="193">
        <v>6495546.5199999996</v>
      </c>
      <c r="G33" s="193">
        <v>7202335.9800000004</v>
      </c>
      <c r="H33" s="193">
        <v>9573831.5800000001</v>
      </c>
      <c r="I33" s="193">
        <v>18386179.850000001</v>
      </c>
      <c r="J33" s="193">
        <v>18074343.59</v>
      </c>
      <c r="K33" s="193">
        <v>39426122.07</v>
      </c>
      <c r="L33" s="193">
        <v>34117640.469999999</v>
      </c>
      <c r="M33" s="193">
        <v>59797414.630000003</v>
      </c>
      <c r="N33" s="299">
        <f t="shared" si="0"/>
        <v>201243480.15000001</v>
      </c>
    </row>
    <row r="34" spans="1:14" s="185" customFormat="1" ht="17.149999999999999" customHeight="1">
      <c r="A34" s="185" t="s">
        <v>407</v>
      </c>
      <c r="B34" s="1056" t="s">
        <v>1068</v>
      </c>
      <c r="C34" s="193">
        <v>1655579.89</v>
      </c>
      <c r="D34" s="193">
        <v>5343095.2100000009</v>
      </c>
      <c r="E34" s="193">
        <v>9267150.6999999993</v>
      </c>
      <c r="F34" s="193">
        <v>13260695.85</v>
      </c>
      <c r="G34" s="193">
        <v>16958436.75</v>
      </c>
      <c r="H34" s="193">
        <v>21670351.870000001</v>
      </c>
      <c r="I34" s="193">
        <v>49892040.219999999</v>
      </c>
      <c r="J34" s="193">
        <v>53179434.350000001</v>
      </c>
      <c r="K34" s="193">
        <v>118975272.05</v>
      </c>
      <c r="L34" s="193">
        <v>108349327.31</v>
      </c>
      <c r="M34" s="193">
        <v>318842877.5</v>
      </c>
      <c r="N34" s="299">
        <f t="shared" si="0"/>
        <v>717394261.70000005</v>
      </c>
    </row>
    <row r="35" spans="1:14" s="185" customFormat="1" ht="17.149999999999999" customHeight="1">
      <c r="A35" s="185" t="s">
        <v>410</v>
      </c>
      <c r="B35" s="1056" t="s">
        <v>1069</v>
      </c>
      <c r="C35" s="193">
        <v>777359.44000000006</v>
      </c>
      <c r="D35" s="193">
        <v>2650297.7599999998</v>
      </c>
      <c r="E35" s="193">
        <v>4888094.55</v>
      </c>
      <c r="F35" s="193">
        <v>5990609.3099999996</v>
      </c>
      <c r="G35" s="193">
        <v>7394999.21</v>
      </c>
      <c r="H35" s="193">
        <v>9232436.1899999995</v>
      </c>
      <c r="I35" s="193">
        <v>20873315.130000003</v>
      </c>
      <c r="J35" s="193">
        <v>20444693.579999998</v>
      </c>
      <c r="K35" s="193">
        <v>47663379.719999999</v>
      </c>
      <c r="L35" s="193">
        <v>34440556.450000003</v>
      </c>
      <c r="M35" s="193">
        <v>145347235.12</v>
      </c>
      <c r="N35" s="299">
        <f t="shared" si="0"/>
        <v>299702976.46000004</v>
      </c>
    </row>
    <row r="36" spans="1:14" s="185" customFormat="1" ht="17.149999999999999" customHeight="1">
      <c r="A36" s="185" t="s">
        <v>733</v>
      </c>
      <c r="B36" s="1056" t="s">
        <v>1070</v>
      </c>
      <c r="C36" s="193">
        <v>79944777.370000005</v>
      </c>
      <c r="D36" s="193">
        <v>208128878.64999998</v>
      </c>
      <c r="E36" s="193">
        <v>310742494.40999997</v>
      </c>
      <c r="F36" s="193">
        <v>371234603.75999999</v>
      </c>
      <c r="G36" s="193">
        <v>438266814.93000001</v>
      </c>
      <c r="H36" s="193">
        <v>507333596.77999997</v>
      </c>
      <c r="I36" s="193">
        <v>1198278011.7</v>
      </c>
      <c r="J36" s="193">
        <v>1346807576.9300001</v>
      </c>
      <c r="K36" s="193">
        <v>3889442586.9699998</v>
      </c>
      <c r="L36" s="193">
        <v>4279290180.0500002</v>
      </c>
      <c r="M36" s="193">
        <v>72752685921.199997</v>
      </c>
      <c r="N36" s="299">
        <f t="shared" si="0"/>
        <v>85382155442.75</v>
      </c>
    </row>
    <row r="37" spans="1:14" s="185" customFormat="1" ht="17.149999999999999" customHeight="1">
      <c r="A37" s="185" t="s">
        <v>416</v>
      </c>
      <c r="B37" s="1056" t="s">
        <v>1071</v>
      </c>
      <c r="C37" s="193">
        <v>4417452.46</v>
      </c>
      <c r="D37" s="193">
        <v>13328807.600000001</v>
      </c>
      <c r="E37" s="193">
        <v>19996378.140000001</v>
      </c>
      <c r="F37" s="193">
        <v>27057353.25</v>
      </c>
      <c r="G37" s="193">
        <v>32057362.890000001</v>
      </c>
      <c r="H37" s="193">
        <v>37096305</v>
      </c>
      <c r="I37" s="193">
        <v>91792829.75999999</v>
      </c>
      <c r="J37" s="193">
        <v>104476362.34999999</v>
      </c>
      <c r="K37" s="193">
        <v>277853607.98000002</v>
      </c>
      <c r="L37" s="193">
        <v>282462969.88999999</v>
      </c>
      <c r="M37" s="193">
        <v>3550973719.6300001</v>
      </c>
      <c r="N37" s="299">
        <f t="shared" si="0"/>
        <v>4441513148.9499998</v>
      </c>
    </row>
    <row r="38" spans="1:14" s="185" customFormat="1" ht="34" customHeight="1">
      <c r="A38" s="185" t="s">
        <v>419</v>
      </c>
      <c r="B38" s="1056" t="s">
        <v>1072</v>
      </c>
      <c r="C38" s="163">
        <v>1120145.1200000001</v>
      </c>
      <c r="D38" s="163">
        <v>3381511.32</v>
      </c>
      <c r="E38" s="163">
        <v>5922201.620000001</v>
      </c>
      <c r="F38" s="163">
        <v>6938620.7199999997</v>
      </c>
      <c r="G38" s="163">
        <v>9571553.8499999996</v>
      </c>
      <c r="H38" s="163">
        <v>11667275.59</v>
      </c>
      <c r="I38" s="163">
        <v>26496375.809999999</v>
      </c>
      <c r="J38" s="163">
        <v>25966487.740000002</v>
      </c>
      <c r="K38" s="163">
        <v>60610506.170000002</v>
      </c>
      <c r="L38" s="163">
        <v>56562799.479999997</v>
      </c>
      <c r="M38" s="163">
        <v>212082256.47999999</v>
      </c>
      <c r="N38" s="250">
        <f t="shared" si="0"/>
        <v>420319733.89999998</v>
      </c>
    </row>
    <row r="39" spans="1:14" s="185" customFormat="1" ht="17.149999999999999" customHeight="1">
      <c r="A39" s="185" t="s">
        <v>421</v>
      </c>
      <c r="B39" s="1056" t="s">
        <v>1073</v>
      </c>
      <c r="C39" s="193">
        <v>1571684.45</v>
      </c>
      <c r="D39" s="193">
        <v>5079230.1500000004</v>
      </c>
      <c r="E39" s="193">
        <v>8065653.3899999997</v>
      </c>
      <c r="F39" s="193">
        <v>10741235.85</v>
      </c>
      <c r="G39" s="193">
        <v>12610338.210000001</v>
      </c>
      <c r="H39" s="193">
        <v>17790550.600000001</v>
      </c>
      <c r="I39" s="193">
        <v>45787491</v>
      </c>
      <c r="J39" s="193">
        <v>48340540.359999999</v>
      </c>
      <c r="K39" s="193">
        <v>120131772.38</v>
      </c>
      <c r="L39" s="193">
        <v>117238854.64</v>
      </c>
      <c r="M39" s="193">
        <v>487173727.5</v>
      </c>
      <c r="N39" s="299">
        <f t="shared" si="0"/>
        <v>874531078.52999997</v>
      </c>
    </row>
    <row r="40" spans="1:14" s="185" customFormat="1" ht="17.149999999999999" customHeight="1">
      <c r="A40" s="185" t="s">
        <v>424</v>
      </c>
      <c r="B40" s="1056" t="s">
        <v>1074</v>
      </c>
      <c r="C40" s="193">
        <v>3811511.08</v>
      </c>
      <c r="D40" s="193">
        <v>11602265.140000001</v>
      </c>
      <c r="E40" s="193">
        <v>19235534.66</v>
      </c>
      <c r="F40" s="193">
        <v>26160518.030000001</v>
      </c>
      <c r="G40" s="193">
        <v>30974129.120000001</v>
      </c>
      <c r="H40" s="193">
        <v>42015376.329999998</v>
      </c>
      <c r="I40" s="193">
        <v>95347967.930000007</v>
      </c>
      <c r="J40" s="193">
        <v>98885889.629999995</v>
      </c>
      <c r="K40" s="193">
        <v>202462530.50999999</v>
      </c>
      <c r="L40" s="193">
        <v>179505106.15000001</v>
      </c>
      <c r="M40" s="193">
        <v>844987632.27999997</v>
      </c>
      <c r="N40" s="299">
        <f t="shared" si="0"/>
        <v>1554988460.8600001</v>
      </c>
    </row>
    <row r="41" spans="1:14" s="185" customFormat="1" ht="17.149999999999999" customHeight="1">
      <c r="A41" s="185" t="s">
        <v>426</v>
      </c>
      <c r="B41" s="1056" t="s">
        <v>1075</v>
      </c>
      <c r="C41" s="193">
        <v>6406805.3599999994</v>
      </c>
      <c r="D41" s="193">
        <v>19956262.229999997</v>
      </c>
      <c r="E41" s="193">
        <v>30119237.670000002</v>
      </c>
      <c r="F41" s="193">
        <v>38109493.359999999</v>
      </c>
      <c r="G41" s="193">
        <v>49241707.109999999</v>
      </c>
      <c r="H41" s="193">
        <v>57782665.079999998</v>
      </c>
      <c r="I41" s="193">
        <v>152709981.69</v>
      </c>
      <c r="J41" s="193">
        <v>163643084.18000001</v>
      </c>
      <c r="K41" s="193">
        <v>407290671.77999997</v>
      </c>
      <c r="L41" s="193">
        <v>402760508.57999998</v>
      </c>
      <c r="M41" s="193">
        <v>2342551912.0999999</v>
      </c>
      <c r="N41" s="299">
        <f t="shared" si="0"/>
        <v>3670572329.1399999</v>
      </c>
    </row>
    <row r="42" spans="1:14" s="185" customFormat="1" ht="17.149999999999999" customHeight="1">
      <c r="A42" s="185" t="s">
        <v>429</v>
      </c>
      <c r="B42" s="1056" t="s">
        <v>1076</v>
      </c>
      <c r="C42" s="193">
        <v>1110748.5900000001</v>
      </c>
      <c r="D42" s="193">
        <v>3725801.51</v>
      </c>
      <c r="E42" s="193">
        <v>6171221.8200000003</v>
      </c>
      <c r="F42" s="193">
        <v>9103833.2100000009</v>
      </c>
      <c r="G42" s="193">
        <v>10758745.34</v>
      </c>
      <c r="H42" s="193">
        <v>13439734.51</v>
      </c>
      <c r="I42" s="193">
        <v>28737286.27</v>
      </c>
      <c r="J42" s="193">
        <v>32023824.259999998</v>
      </c>
      <c r="K42" s="193">
        <v>71977844.409999996</v>
      </c>
      <c r="L42" s="193">
        <v>61435446.630000003</v>
      </c>
      <c r="M42" s="193">
        <v>171588160.38</v>
      </c>
      <c r="N42" s="299">
        <f t="shared" si="0"/>
        <v>410072646.92999995</v>
      </c>
    </row>
    <row r="43" spans="1:14" ht="18">
      <c r="A43" s="187" t="s">
        <v>596</v>
      </c>
      <c r="B43" s="1088"/>
      <c r="C43" s="189"/>
      <c r="D43" s="189"/>
      <c r="E43" s="189"/>
      <c r="F43" s="189"/>
      <c r="G43" s="189"/>
      <c r="H43" s="189"/>
      <c r="I43" s="189"/>
      <c r="J43" s="189"/>
      <c r="K43" s="189"/>
      <c r="L43" s="189"/>
      <c r="M43" s="189"/>
      <c r="N43" s="539"/>
    </row>
    <row r="44" spans="1:14" ht="17.149999999999999" customHeight="1">
      <c r="A44" s="190" t="s">
        <v>594</v>
      </c>
      <c r="B44" s="1089"/>
      <c r="C44" s="189"/>
      <c r="D44" s="189"/>
      <c r="E44" s="189"/>
      <c r="F44" s="189"/>
      <c r="G44" s="189"/>
      <c r="H44" s="189"/>
      <c r="I44" s="189"/>
      <c r="J44" s="189"/>
      <c r="K44" s="189"/>
      <c r="L44" s="189"/>
      <c r="M44" s="189"/>
      <c r="N44" s="539"/>
    </row>
    <row r="45" spans="1:14" ht="17.149999999999999" customHeight="1">
      <c r="A45" s="191" t="str">
        <f>A3</f>
        <v>Taxable Year 2021</v>
      </c>
      <c r="B45" s="1090"/>
      <c r="C45" s="189"/>
      <c r="D45" s="189"/>
      <c r="E45" s="189"/>
      <c r="F45" s="189"/>
      <c r="G45" s="189"/>
      <c r="H45" s="189"/>
      <c r="I45" s="189"/>
      <c r="J45" s="189"/>
      <c r="K45" s="189"/>
      <c r="L45" s="189"/>
      <c r="M45" s="189"/>
      <c r="N45" s="539"/>
    </row>
    <row r="46" spans="1:14" ht="2" customHeight="1">
      <c r="C46" s="194">
        <f t="shared" ref="C46:N46" si="1">SUM(C8:C37)</f>
        <v>176684613.33000001</v>
      </c>
      <c r="D46" s="194">
        <f t="shared" si="1"/>
        <v>487922346.22999996</v>
      </c>
      <c r="E46" s="194">
        <f t="shared" si="1"/>
        <v>758703380.38</v>
      </c>
      <c r="F46" s="194">
        <f t="shared" si="1"/>
        <v>965436493.8499999</v>
      </c>
      <c r="G46" s="194">
        <f t="shared" si="1"/>
        <v>1176767506.78</v>
      </c>
      <c r="H46" s="194">
        <f t="shared" si="1"/>
        <v>1417306347.1000001</v>
      </c>
      <c r="I46" s="194">
        <f t="shared" si="1"/>
        <v>3357166628.5699997</v>
      </c>
      <c r="J46" s="194">
        <f t="shared" si="1"/>
        <v>3694340996.1700006</v>
      </c>
      <c r="K46" s="194">
        <f t="shared" si="1"/>
        <v>9830582943.4099979</v>
      </c>
      <c r="L46" s="194">
        <f t="shared" si="1"/>
        <v>9952998558.8400002</v>
      </c>
      <c r="M46" s="194">
        <f t="shared" si="1"/>
        <v>118725713713.28</v>
      </c>
      <c r="N46" s="540">
        <f t="shared" si="1"/>
        <v>150543623527.94</v>
      </c>
    </row>
    <row r="47" spans="1:14" s="185" customFormat="1" ht="2" customHeight="1">
      <c r="A47" s="191"/>
      <c r="B47" s="1090"/>
      <c r="C47" s="188"/>
      <c r="D47" s="192"/>
      <c r="E47" s="192"/>
      <c r="F47" s="192"/>
      <c r="G47" s="192"/>
      <c r="H47" s="192"/>
      <c r="I47" s="192"/>
      <c r="J47" s="192"/>
      <c r="K47" s="192"/>
      <c r="L47" s="192"/>
      <c r="M47" s="192"/>
      <c r="N47" s="1081"/>
    </row>
    <row r="48" spans="1:14" s="185" customFormat="1" ht="2" customHeight="1" thickBot="1">
      <c r="A48" s="190"/>
      <c r="B48" s="1089"/>
      <c r="C48" s="188"/>
      <c r="D48" s="1082"/>
      <c r="E48" s="1082"/>
      <c r="F48" s="1082"/>
      <c r="G48" s="1082"/>
      <c r="H48" s="1082"/>
      <c r="I48" s="1082"/>
      <c r="J48" s="1082"/>
      <c r="K48" s="1082"/>
      <c r="L48" s="1082"/>
      <c r="M48" s="1082"/>
      <c r="N48" s="1083"/>
    </row>
    <row r="49" spans="1:14" s="185" customFormat="1" ht="26">
      <c r="A49" s="1085" t="s">
        <v>21</v>
      </c>
      <c r="B49" s="1087" t="s">
        <v>938</v>
      </c>
      <c r="C49" s="1086" t="s">
        <v>595</v>
      </c>
      <c r="D49" s="1084" t="s">
        <v>1179</v>
      </c>
      <c r="E49" s="1084" t="s">
        <v>1180</v>
      </c>
      <c r="F49" s="1084" t="s">
        <v>1181</v>
      </c>
      <c r="G49" s="1084" t="s">
        <v>1182</v>
      </c>
      <c r="H49" s="1084" t="s">
        <v>1183</v>
      </c>
      <c r="I49" s="1084" t="s">
        <v>1184</v>
      </c>
      <c r="J49" s="1084" t="s">
        <v>1185</v>
      </c>
      <c r="K49" s="1084" t="s">
        <v>1186</v>
      </c>
      <c r="L49" s="1084" t="s">
        <v>1187</v>
      </c>
      <c r="M49" s="1084" t="s">
        <v>1188</v>
      </c>
      <c r="N49" s="1084" t="s">
        <v>1189</v>
      </c>
    </row>
    <row r="50" spans="1:14" s="185" customFormat="1" ht="34" customHeight="1">
      <c r="A50" s="185" t="s">
        <v>432</v>
      </c>
      <c r="B50" s="1056" t="s">
        <v>1077</v>
      </c>
      <c r="C50" s="193">
        <v>2081774.24</v>
      </c>
      <c r="D50" s="193">
        <v>7381352.0300000003</v>
      </c>
      <c r="E50" s="193">
        <v>12326165.25</v>
      </c>
      <c r="F50" s="193">
        <v>17977152.149999999</v>
      </c>
      <c r="G50" s="193">
        <v>21908267.300000001</v>
      </c>
      <c r="H50" s="193">
        <v>27488271.149999999</v>
      </c>
      <c r="I50" s="193">
        <v>60852243.32</v>
      </c>
      <c r="J50" s="193">
        <v>71609452.210000008</v>
      </c>
      <c r="K50" s="193">
        <v>172564816.11000001</v>
      </c>
      <c r="L50" s="193">
        <v>158580477.09</v>
      </c>
      <c r="M50" s="193">
        <v>687226831.28999996</v>
      </c>
      <c r="N50" s="299">
        <f t="shared" ref="N50:N84" si="2">SUM(C50:M50)</f>
        <v>1239996802.1399999</v>
      </c>
    </row>
    <row r="51" spans="1:14" s="185" customFormat="1" ht="17.149999999999999" customHeight="1">
      <c r="A51" s="185" t="s">
        <v>434</v>
      </c>
      <c r="B51" s="1056" t="s">
        <v>1078</v>
      </c>
      <c r="C51" s="193">
        <v>1556047.6400000001</v>
      </c>
      <c r="D51" s="193">
        <v>4489592.0299999993</v>
      </c>
      <c r="E51" s="193">
        <v>5814927.75</v>
      </c>
      <c r="F51" s="193">
        <v>8532273.3800000008</v>
      </c>
      <c r="G51" s="193">
        <v>10185581.42</v>
      </c>
      <c r="H51" s="193">
        <v>12646801.4</v>
      </c>
      <c r="I51" s="193">
        <v>31463512.710000001</v>
      </c>
      <c r="J51" s="193">
        <v>36148410.549999997</v>
      </c>
      <c r="K51" s="193">
        <v>98308075.400000006</v>
      </c>
      <c r="L51" s="193">
        <v>97106582.430000007</v>
      </c>
      <c r="M51" s="193">
        <v>2036663011.5699999</v>
      </c>
      <c r="N51" s="299">
        <f t="shared" si="2"/>
        <v>2342914816.2799997</v>
      </c>
    </row>
    <row r="52" spans="1:14" s="185" customFormat="1" ht="17.149999999999999" customHeight="1">
      <c r="A52" s="185" t="s">
        <v>436</v>
      </c>
      <c r="B52" s="1056" t="s">
        <v>1079</v>
      </c>
      <c r="C52" s="193">
        <v>1335560.3700000001</v>
      </c>
      <c r="D52" s="193">
        <v>3611700.98</v>
      </c>
      <c r="E52" s="193">
        <v>5562706.7999999998</v>
      </c>
      <c r="F52" s="193">
        <v>8514849.0199999996</v>
      </c>
      <c r="G52" s="193">
        <v>10812869.380000001</v>
      </c>
      <c r="H52" s="193">
        <v>12399050.77</v>
      </c>
      <c r="I52" s="193">
        <v>28177712.399999999</v>
      </c>
      <c r="J52" s="193">
        <v>25550526.950000003</v>
      </c>
      <c r="K52" s="193">
        <v>55636348.630000003</v>
      </c>
      <c r="L52" s="193">
        <v>40798402.380000003</v>
      </c>
      <c r="M52" s="193">
        <v>90323224</v>
      </c>
      <c r="N52" s="299">
        <f t="shared" si="2"/>
        <v>282722951.68000001</v>
      </c>
    </row>
    <row r="53" spans="1:14" s="185" customFormat="1" ht="17.149999999999999" customHeight="1">
      <c r="A53" s="185" t="s">
        <v>439</v>
      </c>
      <c r="B53" s="1056" t="s">
        <v>1080</v>
      </c>
      <c r="C53" s="193">
        <v>1081805.46</v>
      </c>
      <c r="D53" s="193">
        <v>3426346.1399999997</v>
      </c>
      <c r="E53" s="193">
        <v>5608165.4100000001</v>
      </c>
      <c r="F53" s="193">
        <v>8287671.1299999999</v>
      </c>
      <c r="G53" s="193">
        <v>11242228.699999999</v>
      </c>
      <c r="H53" s="193">
        <v>13454712.199999999</v>
      </c>
      <c r="I53" s="193">
        <v>37291092.239999995</v>
      </c>
      <c r="J53" s="193">
        <v>37107409.710000001</v>
      </c>
      <c r="K53" s="193">
        <v>82175735.109999999</v>
      </c>
      <c r="L53" s="193">
        <v>78011570.25</v>
      </c>
      <c r="M53" s="193">
        <v>322825543.52999997</v>
      </c>
      <c r="N53" s="299">
        <f t="shared" si="2"/>
        <v>600512279.88</v>
      </c>
    </row>
    <row r="54" spans="1:14" s="185" customFormat="1" ht="17.149999999999999" customHeight="1">
      <c r="A54" s="185" t="s">
        <v>442</v>
      </c>
      <c r="B54" s="1056" t="s">
        <v>1081</v>
      </c>
      <c r="C54" s="193">
        <v>999652.24</v>
      </c>
      <c r="D54" s="193">
        <v>3005995.67</v>
      </c>
      <c r="E54" s="193">
        <v>5921237.0200000005</v>
      </c>
      <c r="F54" s="193">
        <v>6734170.8300000001</v>
      </c>
      <c r="G54" s="193">
        <v>8764536.5800000001</v>
      </c>
      <c r="H54" s="193">
        <v>9011507.4000000004</v>
      </c>
      <c r="I54" s="193">
        <v>20651765.390000001</v>
      </c>
      <c r="J54" s="193">
        <v>22189651.130000003</v>
      </c>
      <c r="K54" s="193">
        <v>41060222.600000001</v>
      </c>
      <c r="L54" s="193">
        <v>26945416.149999999</v>
      </c>
      <c r="M54" s="193">
        <v>78278366.409999996</v>
      </c>
      <c r="N54" s="299">
        <f t="shared" si="2"/>
        <v>223562521.42000002</v>
      </c>
    </row>
    <row r="55" spans="1:14" s="185" customFormat="1" ht="34" customHeight="1">
      <c r="A55" s="185" t="s">
        <v>318</v>
      </c>
      <c r="B55" s="1056" t="s">
        <v>1082</v>
      </c>
      <c r="C55" s="193">
        <v>2582597.9</v>
      </c>
      <c r="D55" s="159">
        <v>8089947.1900000004</v>
      </c>
      <c r="E55" s="193">
        <v>13895734.08</v>
      </c>
      <c r="F55" s="193">
        <v>19249125.18</v>
      </c>
      <c r="G55" s="193">
        <v>23417642.370000001</v>
      </c>
      <c r="H55" s="193">
        <v>28374904.539999999</v>
      </c>
      <c r="I55" s="193">
        <v>63352855.709999993</v>
      </c>
      <c r="J55" s="193">
        <v>62813183.159999996</v>
      </c>
      <c r="K55" s="159">
        <v>123779075.66</v>
      </c>
      <c r="L55" s="193">
        <v>95512747.780000001</v>
      </c>
      <c r="M55" s="193">
        <v>311068925.12</v>
      </c>
      <c r="N55" s="299">
        <f t="shared" si="2"/>
        <v>752136738.68999994</v>
      </c>
    </row>
    <row r="56" spans="1:14" s="185" customFormat="1" ht="17.149999999999999" customHeight="1">
      <c r="A56" s="185" t="s">
        <v>322</v>
      </c>
      <c r="B56" s="1056" t="s">
        <v>1083</v>
      </c>
      <c r="C56" s="193">
        <v>7227775.9499999993</v>
      </c>
      <c r="D56" s="193">
        <v>20686193.359999999</v>
      </c>
      <c r="E56" s="193">
        <v>29855508.699999999</v>
      </c>
      <c r="F56" s="193">
        <v>40237874.299999997</v>
      </c>
      <c r="G56" s="193">
        <v>49077859.810000002</v>
      </c>
      <c r="H56" s="193">
        <v>63481412.049999997</v>
      </c>
      <c r="I56" s="193">
        <v>152704436.72</v>
      </c>
      <c r="J56" s="193">
        <v>178136957.61000001</v>
      </c>
      <c r="K56" s="159">
        <v>460764365.74000001</v>
      </c>
      <c r="L56" s="193">
        <v>452275091.75999999</v>
      </c>
      <c r="M56" s="193">
        <v>3797452764.9000001</v>
      </c>
      <c r="N56" s="299">
        <f t="shared" si="2"/>
        <v>5251900240.8999996</v>
      </c>
    </row>
    <row r="57" spans="1:14" s="185" customFormat="1" ht="17.149999999999999" customHeight="1">
      <c r="A57" s="185" t="s">
        <v>326</v>
      </c>
      <c r="B57" s="1056" t="s">
        <v>1084</v>
      </c>
      <c r="C57" s="193">
        <v>23196786.390000001</v>
      </c>
      <c r="D57" s="193">
        <v>69266837.739999995</v>
      </c>
      <c r="E57" s="193">
        <v>113383228.15000001</v>
      </c>
      <c r="F57" s="193">
        <v>147208047.66</v>
      </c>
      <c r="G57" s="193">
        <v>182073860.16999999</v>
      </c>
      <c r="H57" s="193">
        <v>227423892.21000001</v>
      </c>
      <c r="I57" s="193">
        <v>582675860.13</v>
      </c>
      <c r="J57" s="193">
        <v>621790759.52999997</v>
      </c>
      <c r="K57" s="159">
        <v>1434363062.9100001</v>
      </c>
      <c r="L57" s="193">
        <v>1197016349.1500001</v>
      </c>
      <c r="M57" s="193">
        <v>10075487304.860001</v>
      </c>
      <c r="N57" s="299">
        <f t="shared" si="2"/>
        <v>14673885988.900002</v>
      </c>
    </row>
    <row r="58" spans="1:14" s="185" customFormat="1" ht="17.149999999999999" customHeight="1">
      <c r="A58" s="185" t="s">
        <v>330</v>
      </c>
      <c r="B58" s="1056" t="s">
        <v>1085</v>
      </c>
      <c r="C58" s="193">
        <v>4226782.74</v>
      </c>
      <c r="D58" s="193">
        <v>12763574.1</v>
      </c>
      <c r="E58" s="193">
        <v>20202241.809999999</v>
      </c>
      <c r="F58" s="193">
        <v>30456084.18</v>
      </c>
      <c r="G58" s="193">
        <v>39609223.270000003</v>
      </c>
      <c r="H58" s="193">
        <v>45507890.689999998</v>
      </c>
      <c r="I58" s="193">
        <v>107182202.84</v>
      </c>
      <c r="J58" s="193">
        <v>89793678.359999999</v>
      </c>
      <c r="K58" s="159">
        <v>180402769.56</v>
      </c>
      <c r="L58" s="193">
        <v>131712010.8</v>
      </c>
      <c r="M58" s="193">
        <v>386564022.29000002</v>
      </c>
      <c r="N58" s="299">
        <f t="shared" si="2"/>
        <v>1048420480.6400001</v>
      </c>
    </row>
    <row r="59" spans="1:14" s="185" customFormat="1" ht="17.149999999999999" customHeight="1">
      <c r="A59" s="185" t="s">
        <v>334</v>
      </c>
      <c r="B59" s="1056" t="s">
        <v>1086</v>
      </c>
      <c r="C59" s="193">
        <v>173527.59999999998</v>
      </c>
      <c r="D59" s="193">
        <v>497765.52999999997</v>
      </c>
      <c r="E59" s="193">
        <v>903038</v>
      </c>
      <c r="F59" s="193">
        <v>1125576.45</v>
      </c>
      <c r="G59" s="193">
        <v>1344971.17</v>
      </c>
      <c r="H59" s="193">
        <v>1918655.31</v>
      </c>
      <c r="I59" s="193">
        <v>4177274.35</v>
      </c>
      <c r="J59" s="193">
        <v>4786283.9700000007</v>
      </c>
      <c r="K59" s="193">
        <v>9047253</v>
      </c>
      <c r="L59" s="193">
        <v>6574259</v>
      </c>
      <c r="M59" s="193">
        <v>30613553.379999999</v>
      </c>
      <c r="N59" s="299">
        <f t="shared" si="2"/>
        <v>61162157.760000005</v>
      </c>
    </row>
    <row r="60" spans="1:14" s="185" customFormat="1" ht="34" customHeight="1">
      <c r="A60" s="185" t="s">
        <v>338</v>
      </c>
      <c r="B60" s="1056" t="s">
        <v>1087</v>
      </c>
      <c r="C60" s="193">
        <v>2379003.1799999997</v>
      </c>
      <c r="D60" s="193">
        <v>7509486.6600000001</v>
      </c>
      <c r="E60" s="193">
        <v>12010659.58</v>
      </c>
      <c r="F60" s="193">
        <v>15369858.27</v>
      </c>
      <c r="G60" s="193">
        <v>19708812.100000001</v>
      </c>
      <c r="H60" s="193">
        <v>22520101.199999999</v>
      </c>
      <c r="I60" s="193">
        <v>55709982.950000003</v>
      </c>
      <c r="J60" s="193">
        <v>62884652.760000005</v>
      </c>
      <c r="K60" s="193">
        <v>166858869.31999999</v>
      </c>
      <c r="L60" s="193">
        <v>150952396.94999999</v>
      </c>
      <c r="M60" s="193">
        <v>926739452.40999997</v>
      </c>
      <c r="N60" s="299">
        <f t="shared" si="2"/>
        <v>1442643275.3799999</v>
      </c>
    </row>
    <row r="61" spans="1:14" s="185" customFormat="1" ht="17.149999999999999" customHeight="1">
      <c r="A61" s="185" t="s">
        <v>342</v>
      </c>
      <c r="B61" s="1056" t="s">
        <v>1088</v>
      </c>
      <c r="C61" s="193">
        <v>5491813.4199999999</v>
      </c>
      <c r="D61" s="193">
        <v>15281457.68</v>
      </c>
      <c r="E61" s="193">
        <v>22803176.339999996</v>
      </c>
      <c r="F61" s="193">
        <v>30257651.129999999</v>
      </c>
      <c r="G61" s="193">
        <v>35663429.07</v>
      </c>
      <c r="H61" s="193">
        <v>44335231.649999999</v>
      </c>
      <c r="I61" s="193">
        <v>106690495.42</v>
      </c>
      <c r="J61" s="193">
        <v>109522234.59</v>
      </c>
      <c r="K61" s="193">
        <v>296456558.06</v>
      </c>
      <c r="L61" s="193">
        <v>323787000.69999999</v>
      </c>
      <c r="M61" s="193">
        <v>3085667451.9000001</v>
      </c>
      <c r="N61" s="299">
        <f t="shared" si="2"/>
        <v>4075956499.96</v>
      </c>
    </row>
    <row r="62" spans="1:14" s="185" customFormat="1" ht="17.149999999999999" customHeight="1">
      <c r="A62" s="185" t="s">
        <v>346</v>
      </c>
      <c r="B62" s="1056" t="s">
        <v>1089</v>
      </c>
      <c r="C62" s="193">
        <v>420844.27</v>
      </c>
      <c r="D62" s="193">
        <v>1532575.62</v>
      </c>
      <c r="E62" s="193">
        <v>2339331.23</v>
      </c>
      <c r="F62" s="193">
        <v>3912406.45</v>
      </c>
      <c r="G62" s="193">
        <v>4638043.87</v>
      </c>
      <c r="H62" s="193">
        <v>5560604.2699999996</v>
      </c>
      <c r="I62" s="193">
        <v>13169149.609999999</v>
      </c>
      <c r="J62" s="193">
        <v>13975839.859999999</v>
      </c>
      <c r="K62" s="193">
        <v>32630251.440000001</v>
      </c>
      <c r="L62" s="193">
        <v>26049718.23</v>
      </c>
      <c r="M62" s="193">
        <v>95569724.5</v>
      </c>
      <c r="N62" s="299">
        <f t="shared" si="2"/>
        <v>199798489.35000002</v>
      </c>
    </row>
    <row r="63" spans="1:14" s="185" customFormat="1" ht="17.149999999999999" customHeight="1">
      <c r="A63" s="185" t="s">
        <v>350</v>
      </c>
      <c r="B63" s="1056" t="s">
        <v>1090</v>
      </c>
      <c r="C63" s="193">
        <v>1786646.0899999999</v>
      </c>
      <c r="D63" s="193">
        <v>4779212.43</v>
      </c>
      <c r="E63" s="193">
        <v>7750982.0099999998</v>
      </c>
      <c r="F63" s="193">
        <v>10461974.83</v>
      </c>
      <c r="G63" s="193">
        <v>12911240.58</v>
      </c>
      <c r="H63" s="193">
        <v>15515348.970000001</v>
      </c>
      <c r="I63" s="193">
        <v>35394071.310000002</v>
      </c>
      <c r="J63" s="193">
        <v>35881259.310000002</v>
      </c>
      <c r="K63" s="193">
        <v>100706166.36</v>
      </c>
      <c r="L63" s="193">
        <v>110533949.62</v>
      </c>
      <c r="M63" s="193">
        <v>729907374.58000004</v>
      </c>
      <c r="N63" s="299">
        <f t="shared" si="2"/>
        <v>1065628226.09</v>
      </c>
    </row>
    <row r="64" spans="1:14" s="185" customFormat="1" ht="17.149999999999999" customHeight="1">
      <c r="A64" s="185" t="s">
        <v>354</v>
      </c>
      <c r="B64" s="1056" t="s">
        <v>1091</v>
      </c>
      <c r="C64" s="193">
        <v>998570.74</v>
      </c>
      <c r="D64" s="193">
        <v>3694746.36</v>
      </c>
      <c r="E64" s="193">
        <v>5711851.5600000005</v>
      </c>
      <c r="F64" s="193">
        <v>7468355.6699999999</v>
      </c>
      <c r="G64" s="193">
        <v>10235669.539999999</v>
      </c>
      <c r="H64" s="193">
        <v>12788933.720000001</v>
      </c>
      <c r="I64" s="193">
        <v>31671088.920000002</v>
      </c>
      <c r="J64" s="193">
        <v>32786458.310000002</v>
      </c>
      <c r="K64" s="193">
        <v>90224554.680000007</v>
      </c>
      <c r="L64" s="193">
        <v>81039860.030000001</v>
      </c>
      <c r="M64" s="193">
        <v>288147519.98000002</v>
      </c>
      <c r="N64" s="299">
        <f t="shared" si="2"/>
        <v>564767609.50999999</v>
      </c>
    </row>
    <row r="65" spans="1:14" s="185" customFormat="1" ht="34" customHeight="1">
      <c r="A65" s="185" t="s">
        <v>358</v>
      </c>
      <c r="B65" s="1056" t="s">
        <v>1092</v>
      </c>
      <c r="C65" s="193">
        <v>845887.51</v>
      </c>
      <c r="D65" s="159">
        <v>2277859.02</v>
      </c>
      <c r="E65" s="193">
        <v>4289816.7200000007</v>
      </c>
      <c r="F65" s="159">
        <v>5952267.1799999997</v>
      </c>
      <c r="G65" s="193">
        <v>7041087.2400000002</v>
      </c>
      <c r="H65" s="159">
        <v>9181800.8000000007</v>
      </c>
      <c r="I65" s="193">
        <v>19385624.850000001</v>
      </c>
      <c r="J65" s="159">
        <v>19334107.82</v>
      </c>
      <c r="K65" s="193">
        <v>39890997.880000003</v>
      </c>
      <c r="L65" s="193">
        <v>38976221.640000001</v>
      </c>
      <c r="M65" s="193">
        <v>322009856.74000001</v>
      </c>
      <c r="N65" s="299">
        <f t="shared" si="2"/>
        <v>469185527.40000004</v>
      </c>
    </row>
    <row r="66" spans="1:14" s="185" customFormat="1" ht="17.149999999999999" customHeight="1">
      <c r="A66" s="185" t="s">
        <v>362</v>
      </c>
      <c r="B66" s="1056" t="s">
        <v>1093</v>
      </c>
      <c r="C66" s="193">
        <v>1544349.95</v>
      </c>
      <c r="D66" s="193">
        <v>4933893.47</v>
      </c>
      <c r="E66" s="193">
        <v>7786805.2700000005</v>
      </c>
      <c r="F66" s="193">
        <v>10131197.109999999</v>
      </c>
      <c r="G66" s="193">
        <v>12408863.359999999</v>
      </c>
      <c r="H66" s="193">
        <v>15210356.35</v>
      </c>
      <c r="I66" s="193">
        <v>33451096.84</v>
      </c>
      <c r="J66" s="193">
        <v>27904775.009999998</v>
      </c>
      <c r="K66" s="193">
        <v>63771497.600000001</v>
      </c>
      <c r="L66" s="193">
        <v>51533146.469999999</v>
      </c>
      <c r="M66" s="193">
        <v>88938528.209999993</v>
      </c>
      <c r="N66" s="299">
        <f t="shared" si="2"/>
        <v>317614509.63999999</v>
      </c>
    </row>
    <row r="67" spans="1:14" s="185" customFormat="1" ht="17.149999999999999" customHeight="1">
      <c r="A67" s="185" t="s">
        <v>366</v>
      </c>
      <c r="B67" s="1056" t="s">
        <v>1094</v>
      </c>
      <c r="C67" s="193">
        <v>29550898.23</v>
      </c>
      <c r="D67" s="193">
        <v>72940290.879999995</v>
      </c>
      <c r="E67" s="193">
        <v>100389841.39</v>
      </c>
      <c r="F67" s="193">
        <v>116292028.34999999</v>
      </c>
      <c r="G67" s="193">
        <v>137151962.19</v>
      </c>
      <c r="H67" s="193">
        <v>162943902.43000001</v>
      </c>
      <c r="I67" s="193">
        <v>387888916.40999997</v>
      </c>
      <c r="J67" s="193">
        <v>433320167.35000002</v>
      </c>
      <c r="K67" s="193">
        <v>1262225409.8</v>
      </c>
      <c r="L67" s="193">
        <v>1425871768.5899999</v>
      </c>
      <c r="M67" s="193">
        <v>25672737152.959999</v>
      </c>
      <c r="N67" s="299">
        <f t="shared" si="2"/>
        <v>29801312338.579998</v>
      </c>
    </row>
    <row r="68" spans="1:14" s="185" customFormat="1" ht="17.149999999999999" customHeight="1">
      <c r="A68" s="185" t="s">
        <v>370</v>
      </c>
      <c r="B68" s="1056" t="s">
        <v>1095</v>
      </c>
      <c r="C68" s="193">
        <v>2238665.98</v>
      </c>
      <c r="D68" s="193">
        <v>6933512.9299999997</v>
      </c>
      <c r="E68" s="193">
        <v>11744223.17</v>
      </c>
      <c r="F68" s="193">
        <v>16412077.189999999</v>
      </c>
      <c r="G68" s="193">
        <v>20811937.899999999</v>
      </c>
      <c r="H68" s="193">
        <v>25833066.18</v>
      </c>
      <c r="I68" s="193">
        <v>65304037.43</v>
      </c>
      <c r="J68" s="193">
        <v>70538178.780000001</v>
      </c>
      <c r="K68" s="193">
        <v>166721252.18000001</v>
      </c>
      <c r="L68" s="193">
        <v>151505916.36000001</v>
      </c>
      <c r="M68" s="193">
        <v>722988314.21000004</v>
      </c>
      <c r="N68" s="299">
        <f t="shared" si="2"/>
        <v>1261031182.3099999</v>
      </c>
    </row>
    <row r="69" spans="1:14" s="185" customFormat="1" ht="17.149999999999999" customHeight="1">
      <c r="A69" s="185" t="s">
        <v>374</v>
      </c>
      <c r="B69" s="1056" t="s">
        <v>1096</v>
      </c>
      <c r="C69" s="193">
        <v>707341.5</v>
      </c>
      <c r="D69" s="193">
        <v>2464162.9900000002</v>
      </c>
      <c r="E69" s="193">
        <v>4300320.2300000004</v>
      </c>
      <c r="F69" s="193">
        <v>5677028.2800000003</v>
      </c>
      <c r="G69" s="193">
        <v>6985085.7800000003</v>
      </c>
      <c r="H69" s="193">
        <v>7566303.46</v>
      </c>
      <c r="I69" s="193">
        <v>21864682.939999998</v>
      </c>
      <c r="J69" s="193">
        <v>20645296.740000002</v>
      </c>
      <c r="K69" s="193">
        <v>40015795.270000003</v>
      </c>
      <c r="L69" s="193">
        <v>30799320.699999999</v>
      </c>
      <c r="M69" s="193">
        <v>150263920.34</v>
      </c>
      <c r="N69" s="299">
        <f t="shared" si="2"/>
        <v>291289258.23000002</v>
      </c>
    </row>
    <row r="70" spans="1:14" s="185" customFormat="1" ht="34" customHeight="1">
      <c r="A70" s="185" t="s">
        <v>378</v>
      </c>
      <c r="B70" s="1056" t="s">
        <v>1097</v>
      </c>
      <c r="C70" s="193">
        <v>889519.72</v>
      </c>
      <c r="D70" s="193">
        <v>2669704.8600000003</v>
      </c>
      <c r="E70" s="193">
        <v>4693716.5200000005</v>
      </c>
      <c r="F70" s="193">
        <v>5607056.8200000003</v>
      </c>
      <c r="G70" s="193">
        <v>6945940.1600000001</v>
      </c>
      <c r="H70" s="193">
        <v>9322969.9600000009</v>
      </c>
      <c r="I70" s="193">
        <v>22266829.84</v>
      </c>
      <c r="J70" s="193">
        <v>23417848.98</v>
      </c>
      <c r="K70" s="193">
        <v>56431068.43</v>
      </c>
      <c r="L70" s="193">
        <v>44924426.479999997</v>
      </c>
      <c r="M70" s="193">
        <v>262044386.06999999</v>
      </c>
      <c r="N70" s="299">
        <f t="shared" si="2"/>
        <v>439213467.83999997</v>
      </c>
    </row>
    <row r="71" spans="1:14" s="185" customFormat="1" ht="17.149999999999999" customHeight="1">
      <c r="A71" s="185" t="s">
        <v>380</v>
      </c>
      <c r="B71" s="1056" t="s">
        <v>1098</v>
      </c>
      <c r="C71" s="193">
        <v>505635.7</v>
      </c>
      <c r="D71" s="193">
        <v>1590762.0699999998</v>
      </c>
      <c r="E71" s="193">
        <v>3124586.6100000003</v>
      </c>
      <c r="F71" s="193">
        <v>4632078.8499999996</v>
      </c>
      <c r="G71" s="193">
        <v>5275416</v>
      </c>
      <c r="H71" s="193">
        <v>5891457.0599999996</v>
      </c>
      <c r="I71" s="193">
        <v>15315039.26</v>
      </c>
      <c r="J71" s="193">
        <v>15586277</v>
      </c>
      <c r="K71" s="193">
        <v>35409102.880000003</v>
      </c>
      <c r="L71" s="193">
        <v>36329305</v>
      </c>
      <c r="M71" s="193">
        <v>201401887.78</v>
      </c>
      <c r="N71" s="299">
        <f t="shared" si="2"/>
        <v>325061548.21000004</v>
      </c>
    </row>
    <row r="72" spans="1:14" s="185" customFormat="1" ht="17.149999999999999" customHeight="1">
      <c r="A72" s="185" t="s">
        <v>383</v>
      </c>
      <c r="B72" s="1056" t="s">
        <v>1099</v>
      </c>
      <c r="C72" s="193">
        <v>2571301.66</v>
      </c>
      <c r="D72" s="193">
        <v>7600128.9500000002</v>
      </c>
      <c r="E72" s="193">
        <v>13241526.59</v>
      </c>
      <c r="F72" s="193">
        <v>18352355.07</v>
      </c>
      <c r="G72" s="193">
        <v>22113663.989999998</v>
      </c>
      <c r="H72" s="193">
        <v>27844605.309999999</v>
      </c>
      <c r="I72" s="193">
        <v>59648989.170000002</v>
      </c>
      <c r="J72" s="193">
        <v>57202667.290000007</v>
      </c>
      <c r="K72" s="193">
        <v>114738032.75</v>
      </c>
      <c r="L72" s="193">
        <v>88110284.409999996</v>
      </c>
      <c r="M72" s="193">
        <v>384423589.01999998</v>
      </c>
      <c r="N72" s="299">
        <f t="shared" si="2"/>
        <v>795847144.21000004</v>
      </c>
    </row>
    <row r="73" spans="1:14" s="185" customFormat="1" ht="17.149999999999999" customHeight="1">
      <c r="A73" s="185" t="s">
        <v>386</v>
      </c>
      <c r="B73" s="1056" t="s">
        <v>1100</v>
      </c>
      <c r="C73" s="193">
        <v>736070.63</v>
      </c>
      <c r="D73" s="193">
        <v>2407551.66</v>
      </c>
      <c r="E73" s="193">
        <v>3803705.7</v>
      </c>
      <c r="F73" s="193">
        <v>5940946.6799999997</v>
      </c>
      <c r="G73" s="193">
        <v>7077259.4100000001</v>
      </c>
      <c r="H73" s="193">
        <v>7907452.71</v>
      </c>
      <c r="I73" s="193">
        <v>18396316.149999999</v>
      </c>
      <c r="J73" s="193">
        <v>19084768.509999998</v>
      </c>
      <c r="K73" s="193">
        <v>44787443.049999997</v>
      </c>
      <c r="L73" s="193">
        <v>40083526.950000003</v>
      </c>
      <c r="M73" s="193">
        <v>217634408.77000001</v>
      </c>
      <c r="N73" s="299">
        <f t="shared" si="2"/>
        <v>367859450.22000003</v>
      </c>
    </row>
    <row r="74" spans="1:14" s="185" customFormat="1" ht="17.149999999999999" customHeight="1">
      <c r="A74" s="185" t="s">
        <v>389</v>
      </c>
      <c r="B74" s="1056" t="s">
        <v>1101</v>
      </c>
      <c r="C74" s="193">
        <v>7322320.3300000001</v>
      </c>
      <c r="D74" s="193">
        <v>20265927.810000002</v>
      </c>
      <c r="E74" s="193">
        <v>29096855.620000001</v>
      </c>
      <c r="F74" s="193">
        <v>37152088.240000002</v>
      </c>
      <c r="G74" s="193">
        <v>49769501.689999998</v>
      </c>
      <c r="H74" s="193">
        <v>68396023.900000006</v>
      </c>
      <c r="I74" s="193">
        <v>130803182.96000001</v>
      </c>
      <c r="J74" s="193">
        <v>130448015.78</v>
      </c>
      <c r="K74" s="193">
        <v>285056358.87</v>
      </c>
      <c r="L74" s="193">
        <v>269815869.57999998</v>
      </c>
      <c r="M74" s="193">
        <v>2026496792.73</v>
      </c>
      <c r="N74" s="299">
        <f t="shared" si="2"/>
        <v>3054622937.5100002</v>
      </c>
    </row>
    <row r="75" spans="1:14" s="185" customFormat="1" ht="34" customHeight="1">
      <c r="A75" s="185" t="s">
        <v>391</v>
      </c>
      <c r="B75" s="1056" t="s">
        <v>1102</v>
      </c>
      <c r="C75" s="163">
        <v>1043994.74</v>
      </c>
      <c r="D75" s="163">
        <v>3351723.2899999996</v>
      </c>
      <c r="E75" s="163">
        <v>5654276.3099999996</v>
      </c>
      <c r="F75" s="163">
        <v>7337873.8399999999</v>
      </c>
      <c r="G75" s="163">
        <v>8933039.8300000001</v>
      </c>
      <c r="H75" s="163">
        <v>12066469.939999999</v>
      </c>
      <c r="I75" s="163">
        <v>28725417.939999998</v>
      </c>
      <c r="J75" s="163">
        <v>29303527.789999999</v>
      </c>
      <c r="K75" s="163">
        <v>63510727.359999999</v>
      </c>
      <c r="L75" s="163">
        <v>53402726.579999998</v>
      </c>
      <c r="M75" s="163">
        <v>362802532.77999997</v>
      </c>
      <c r="N75" s="250">
        <f t="shared" si="2"/>
        <v>576132310.39999986</v>
      </c>
    </row>
    <row r="76" spans="1:14" s="185" customFormat="1" ht="17.149999999999999" customHeight="1">
      <c r="A76" s="185" t="s">
        <v>394</v>
      </c>
      <c r="B76" s="1056" t="s">
        <v>1103</v>
      </c>
      <c r="C76" s="193">
        <v>1443697.23</v>
      </c>
      <c r="D76" s="193">
        <v>3887670.9999999995</v>
      </c>
      <c r="E76" s="193">
        <v>5913740.4900000002</v>
      </c>
      <c r="F76" s="193">
        <v>8591529.0199999996</v>
      </c>
      <c r="G76" s="193">
        <v>11311558.800000001</v>
      </c>
      <c r="H76" s="193">
        <v>14428458.9</v>
      </c>
      <c r="I76" s="193">
        <v>36632414.219999999</v>
      </c>
      <c r="J76" s="193">
        <v>38727857.159999996</v>
      </c>
      <c r="K76" s="193">
        <v>105878322.56999999</v>
      </c>
      <c r="L76" s="193">
        <v>115560825.17</v>
      </c>
      <c r="M76" s="193">
        <v>659272080.70000005</v>
      </c>
      <c r="N76" s="299">
        <f t="shared" si="2"/>
        <v>1001648155.26</v>
      </c>
    </row>
    <row r="77" spans="1:14" s="185" customFormat="1" ht="17.149999999999999" customHeight="1">
      <c r="A77" s="185" t="s">
        <v>396</v>
      </c>
      <c r="B77" s="1056" t="s">
        <v>1104</v>
      </c>
      <c r="C77" s="193">
        <v>1041498.17</v>
      </c>
      <c r="D77" s="193">
        <v>3337731.71</v>
      </c>
      <c r="E77" s="193">
        <v>5567129.0999999996</v>
      </c>
      <c r="F77" s="193">
        <v>7465545.6399999997</v>
      </c>
      <c r="G77" s="193">
        <v>7669353.7599999998</v>
      </c>
      <c r="H77" s="193">
        <v>10370598.720000001</v>
      </c>
      <c r="I77" s="193">
        <v>23263195.420000002</v>
      </c>
      <c r="J77" s="193">
        <v>20714119.100000001</v>
      </c>
      <c r="K77" s="193">
        <v>40002039.18</v>
      </c>
      <c r="L77" s="193">
        <v>36006647.909999996</v>
      </c>
      <c r="M77" s="193">
        <v>226190425.77000001</v>
      </c>
      <c r="N77" s="299">
        <f t="shared" si="2"/>
        <v>381628284.48000002</v>
      </c>
    </row>
    <row r="78" spans="1:14" s="185" customFormat="1" ht="17.149999999999999" customHeight="1">
      <c r="A78" s="185" t="s">
        <v>399</v>
      </c>
      <c r="B78" s="1056" t="s">
        <v>1105</v>
      </c>
      <c r="C78" s="193">
        <v>853746.59</v>
      </c>
      <c r="D78" s="193">
        <v>2729843.55</v>
      </c>
      <c r="E78" s="193">
        <v>4552211.66</v>
      </c>
      <c r="F78" s="193">
        <v>6043277.3499999996</v>
      </c>
      <c r="G78" s="193">
        <v>7727529.0999999996</v>
      </c>
      <c r="H78" s="193">
        <v>9061703.75</v>
      </c>
      <c r="I78" s="193">
        <v>19705667.07</v>
      </c>
      <c r="J78" s="193">
        <v>22600437.130000003</v>
      </c>
      <c r="K78" s="193">
        <v>50202468.700000003</v>
      </c>
      <c r="L78" s="193">
        <v>43917134.520000003</v>
      </c>
      <c r="M78" s="193">
        <v>303549912.26999998</v>
      </c>
      <c r="N78" s="299">
        <f t="shared" si="2"/>
        <v>470943931.69</v>
      </c>
    </row>
    <row r="79" spans="1:14" s="185" customFormat="1" ht="17.149999999999999" customHeight="1">
      <c r="A79" s="185" t="s">
        <v>402</v>
      </c>
      <c r="B79" s="1056" t="s">
        <v>1106</v>
      </c>
      <c r="C79" s="193">
        <v>986284.32000000007</v>
      </c>
      <c r="D79" s="193">
        <v>3428345.22</v>
      </c>
      <c r="E79" s="193">
        <v>5504930.5499999998</v>
      </c>
      <c r="F79" s="193">
        <v>7867210.0999999996</v>
      </c>
      <c r="G79" s="193">
        <v>8332412.5</v>
      </c>
      <c r="H79" s="193">
        <v>10885142.5</v>
      </c>
      <c r="I79" s="193">
        <v>24885221.109999999</v>
      </c>
      <c r="J79" s="193">
        <v>27172729.189999998</v>
      </c>
      <c r="K79" s="193">
        <v>48111041.960000001</v>
      </c>
      <c r="L79" s="193">
        <v>39397149.990000002</v>
      </c>
      <c r="M79" s="193">
        <v>108492605.31999999</v>
      </c>
      <c r="N79" s="299">
        <f t="shared" si="2"/>
        <v>285063072.75999999</v>
      </c>
    </row>
    <row r="80" spans="1:14" s="185" customFormat="1" ht="34" customHeight="1">
      <c r="A80" s="185" t="s">
        <v>405</v>
      </c>
      <c r="B80" s="1056" t="s">
        <v>1107</v>
      </c>
      <c r="C80" s="193">
        <v>2170040.1800000002</v>
      </c>
      <c r="D80" s="193">
        <v>6880612.4399999995</v>
      </c>
      <c r="E80" s="193">
        <v>12322027.18</v>
      </c>
      <c r="F80" s="193">
        <v>16315952.42</v>
      </c>
      <c r="G80" s="193">
        <v>22085815.52</v>
      </c>
      <c r="H80" s="193">
        <v>27446949.039999999</v>
      </c>
      <c r="I80" s="193">
        <v>67599304.25</v>
      </c>
      <c r="J80" s="193">
        <v>72727421.439999998</v>
      </c>
      <c r="K80" s="193">
        <v>172933863.08000001</v>
      </c>
      <c r="L80" s="193">
        <v>163249253.69999999</v>
      </c>
      <c r="M80" s="193">
        <v>810215070.91999996</v>
      </c>
      <c r="N80" s="299">
        <f t="shared" si="2"/>
        <v>1373946310.1700001</v>
      </c>
    </row>
    <row r="81" spans="1:14" s="185" customFormat="1" ht="17.149999999999999" customHeight="1">
      <c r="A81" s="185" t="s">
        <v>408</v>
      </c>
      <c r="B81" s="1056" t="s">
        <v>1108</v>
      </c>
      <c r="C81" s="193">
        <v>1691322</v>
      </c>
      <c r="D81" s="193">
        <v>5482290.6699999999</v>
      </c>
      <c r="E81" s="193">
        <v>8656210.1899999995</v>
      </c>
      <c r="F81" s="193">
        <v>11911761.939999999</v>
      </c>
      <c r="G81" s="193">
        <v>15031721.109999999</v>
      </c>
      <c r="H81" s="193">
        <v>18595874.010000002</v>
      </c>
      <c r="I81" s="193">
        <v>43206958.480000004</v>
      </c>
      <c r="J81" s="193">
        <v>46619283.329999998</v>
      </c>
      <c r="K81" s="193">
        <v>97475137.480000004</v>
      </c>
      <c r="L81" s="193">
        <v>81705477.260000005</v>
      </c>
      <c r="M81" s="193">
        <v>251274613.81999999</v>
      </c>
      <c r="N81" s="299">
        <f t="shared" si="2"/>
        <v>581650650.28999996</v>
      </c>
    </row>
    <row r="82" spans="1:14" s="185" customFormat="1" ht="17.149999999999999" customHeight="1">
      <c r="A82" s="185" t="s">
        <v>411</v>
      </c>
      <c r="B82" s="1056" t="s">
        <v>1109</v>
      </c>
      <c r="C82" s="193">
        <v>1316282.7</v>
      </c>
      <c r="D82" s="193">
        <v>3727066.8600000003</v>
      </c>
      <c r="E82" s="193">
        <v>6234238.1999999993</v>
      </c>
      <c r="F82" s="193">
        <v>8804762.9000000004</v>
      </c>
      <c r="G82" s="193">
        <v>12678254.75</v>
      </c>
      <c r="H82" s="193">
        <v>14183925.68</v>
      </c>
      <c r="I82" s="193">
        <v>32378810.420000002</v>
      </c>
      <c r="J82" s="193">
        <v>29522330.84</v>
      </c>
      <c r="K82" s="193">
        <v>57509850.909999996</v>
      </c>
      <c r="L82" s="193">
        <v>46757016.240000002</v>
      </c>
      <c r="M82" s="193">
        <v>147103254.53</v>
      </c>
      <c r="N82" s="299">
        <f t="shared" si="2"/>
        <v>360215794.02999997</v>
      </c>
    </row>
    <row r="83" spans="1:14" s="185" customFormat="1" ht="17.149999999999999" customHeight="1">
      <c r="A83" s="185" t="s">
        <v>414</v>
      </c>
      <c r="B83" s="1056" t="s">
        <v>1110</v>
      </c>
      <c r="C83" s="193">
        <v>4174372.54</v>
      </c>
      <c r="D83" s="193">
        <v>13072653.48</v>
      </c>
      <c r="E83" s="193">
        <v>23949968.159999996</v>
      </c>
      <c r="F83" s="193">
        <v>33701170.939999998</v>
      </c>
      <c r="G83" s="193">
        <v>39793953.600000001</v>
      </c>
      <c r="H83" s="193">
        <v>46978912.810000002</v>
      </c>
      <c r="I83" s="193">
        <v>114179439.00999999</v>
      </c>
      <c r="J83" s="193">
        <v>115891127.25999999</v>
      </c>
      <c r="K83" s="193">
        <v>236953334.84</v>
      </c>
      <c r="L83" s="193">
        <v>199090842.34</v>
      </c>
      <c r="M83" s="193">
        <v>629773288.80999994</v>
      </c>
      <c r="N83" s="299">
        <f t="shared" si="2"/>
        <v>1457559063.79</v>
      </c>
    </row>
    <row r="84" spans="1:14" s="185" customFormat="1" ht="17.149999999999999" customHeight="1">
      <c r="A84" s="185" t="s">
        <v>417</v>
      </c>
      <c r="B84" s="1056" t="s">
        <v>1111</v>
      </c>
      <c r="C84" s="193">
        <v>1819049.17</v>
      </c>
      <c r="D84" s="193">
        <v>5253488.33</v>
      </c>
      <c r="E84" s="193">
        <v>7787038.1800000006</v>
      </c>
      <c r="F84" s="193">
        <v>10983653.5</v>
      </c>
      <c r="G84" s="193">
        <v>13272834.18</v>
      </c>
      <c r="H84" s="193">
        <v>17374249.350000001</v>
      </c>
      <c r="I84" s="193">
        <v>40695634.450000003</v>
      </c>
      <c r="J84" s="193">
        <v>44061650.159999996</v>
      </c>
      <c r="K84" s="193">
        <v>124482574.77</v>
      </c>
      <c r="L84" s="193">
        <v>127193147.26000001</v>
      </c>
      <c r="M84" s="193">
        <v>1043124125</v>
      </c>
      <c r="N84" s="299">
        <f t="shared" si="2"/>
        <v>1436047444.3499999</v>
      </c>
    </row>
    <row r="85" spans="1:14" ht="18" customHeight="1">
      <c r="A85" s="187" t="s">
        <v>596</v>
      </c>
      <c r="B85" s="1088"/>
      <c r="C85" s="189"/>
      <c r="D85" s="189"/>
      <c r="E85" s="189"/>
      <c r="F85" s="189"/>
      <c r="G85" s="189"/>
      <c r="H85" s="189"/>
      <c r="I85" s="189"/>
      <c r="J85" s="189"/>
      <c r="K85" s="189"/>
      <c r="L85" s="189"/>
      <c r="M85" s="189"/>
      <c r="N85" s="539"/>
    </row>
    <row r="86" spans="1:14" ht="17.149999999999999" customHeight="1">
      <c r="A86" s="190" t="s">
        <v>594</v>
      </c>
      <c r="B86" s="1089"/>
      <c r="C86" s="189"/>
      <c r="D86" s="189"/>
      <c r="E86" s="189"/>
      <c r="F86" s="189"/>
      <c r="G86" s="189"/>
      <c r="H86" s="189"/>
      <c r="I86" s="189"/>
      <c r="J86" s="189"/>
      <c r="K86" s="189"/>
      <c r="L86" s="189"/>
      <c r="M86" s="189"/>
      <c r="N86" s="539"/>
    </row>
    <row r="87" spans="1:14" ht="17.149999999999999" customHeight="1">
      <c r="A87" s="191" t="str">
        <f>A3</f>
        <v>Taxable Year 2021</v>
      </c>
      <c r="B87" s="1090"/>
      <c r="C87" s="189"/>
      <c r="D87" s="189"/>
      <c r="E87" s="189"/>
      <c r="F87" s="189"/>
      <c r="G87" s="189"/>
      <c r="H87" s="189"/>
      <c r="I87" s="189"/>
      <c r="J87" s="189"/>
      <c r="K87" s="189"/>
      <c r="L87" s="189"/>
      <c r="M87" s="189"/>
      <c r="N87" s="539"/>
    </row>
    <row r="88" spans="1:14" ht="2" customHeight="1">
      <c r="C88" s="194">
        <f t="shared" ref="C88:N88" si="3">SUM(C38:C74)</f>
        <v>293156687.37000006</v>
      </c>
      <c r="D88" s="194">
        <f t="shared" si="3"/>
        <v>821767994.73999977</v>
      </c>
      <c r="E88" s="194">
        <f t="shared" si="3"/>
        <v>1274777581.0499997</v>
      </c>
      <c r="F88" s="194">
        <f t="shared" si="3"/>
        <v>1638432389.4200003</v>
      </c>
      <c r="G88" s="194">
        <f t="shared" si="3"/>
        <v>2007098933.46</v>
      </c>
      <c r="H88" s="194">
        <f t="shared" si="3"/>
        <v>2442527204.9000001</v>
      </c>
      <c r="I88" s="194">
        <f t="shared" si="3"/>
        <v>5811734191.1400003</v>
      </c>
      <c r="J88" s="194">
        <f t="shared" si="3"/>
        <v>6285659683.6100006</v>
      </c>
      <c r="K88" s="194">
        <f t="shared" si="3"/>
        <v>16147081351.949997</v>
      </c>
      <c r="L88" s="194">
        <f t="shared" si="3"/>
        <v>15925346892.820002</v>
      </c>
      <c r="M88" s="194">
        <f t="shared" si="3"/>
        <v>175775571309.56998</v>
      </c>
      <c r="N88" s="540">
        <f t="shared" si="3"/>
        <v>228423154220.03003</v>
      </c>
    </row>
    <row r="89" spans="1:14" ht="2" customHeight="1">
      <c r="A89" s="191"/>
      <c r="B89" s="1090"/>
      <c r="D89" s="192"/>
      <c r="E89" s="192"/>
      <c r="F89" s="192"/>
      <c r="G89" s="192"/>
      <c r="H89" s="192"/>
      <c r="I89" s="192"/>
      <c r="J89" s="192"/>
      <c r="K89" s="192"/>
      <c r="L89" s="192"/>
      <c r="M89" s="192"/>
      <c r="N89" s="1081"/>
    </row>
    <row r="90" spans="1:14" ht="2" customHeight="1" thickBot="1">
      <c r="A90" s="190"/>
      <c r="B90" s="1089"/>
      <c r="D90" s="1082"/>
      <c r="E90" s="1082"/>
      <c r="F90" s="1082"/>
      <c r="G90" s="1082"/>
      <c r="H90" s="1082"/>
      <c r="I90" s="1082"/>
      <c r="J90" s="1082"/>
      <c r="K90" s="1082"/>
      <c r="L90" s="1082"/>
      <c r="M90" s="1082"/>
      <c r="N90" s="1083"/>
    </row>
    <row r="91" spans="1:14" ht="26">
      <c r="A91" s="1085" t="s">
        <v>21</v>
      </c>
      <c r="B91" s="1087" t="s">
        <v>938</v>
      </c>
      <c r="C91" s="1086" t="s">
        <v>595</v>
      </c>
      <c r="D91" s="1084" t="s">
        <v>1179</v>
      </c>
      <c r="E91" s="1084" t="s">
        <v>1180</v>
      </c>
      <c r="F91" s="1084" t="s">
        <v>1181</v>
      </c>
      <c r="G91" s="1084" t="s">
        <v>1182</v>
      </c>
      <c r="H91" s="1084" t="s">
        <v>1183</v>
      </c>
      <c r="I91" s="1084" t="s">
        <v>1184</v>
      </c>
      <c r="J91" s="1084" t="s">
        <v>1185</v>
      </c>
      <c r="K91" s="1084" t="s">
        <v>1186</v>
      </c>
      <c r="L91" s="1084" t="s">
        <v>1187</v>
      </c>
      <c r="M91" s="1084" t="s">
        <v>1188</v>
      </c>
      <c r="N91" s="1084" t="s">
        <v>1189</v>
      </c>
    </row>
    <row r="92" spans="1:14" s="185" customFormat="1" ht="34" customHeight="1">
      <c r="A92" s="185" t="s">
        <v>420</v>
      </c>
      <c r="B92" s="1056" t="s">
        <v>1112</v>
      </c>
      <c r="C92" s="159">
        <v>1442794.37</v>
      </c>
      <c r="D92" s="193">
        <v>4274624.32</v>
      </c>
      <c r="E92" s="193">
        <v>7200251.3300000001</v>
      </c>
      <c r="F92" s="159">
        <v>10507385.9</v>
      </c>
      <c r="G92" s="159">
        <v>12956022.09</v>
      </c>
      <c r="H92" s="193">
        <v>14039277.18</v>
      </c>
      <c r="I92" s="193">
        <v>34079058.82</v>
      </c>
      <c r="J92" s="193">
        <v>33841566.640000001</v>
      </c>
      <c r="K92" s="193">
        <v>64283747.600000001</v>
      </c>
      <c r="L92" s="193">
        <v>47631672.789999999</v>
      </c>
      <c r="M92" s="193">
        <v>194201498.31</v>
      </c>
      <c r="N92" s="299">
        <f t="shared" ref="N92:N116" si="4">SUM(C92:M92)</f>
        <v>424457899.35000002</v>
      </c>
    </row>
    <row r="93" spans="1:14" s="185" customFormat="1" ht="17.149999999999999" customHeight="1">
      <c r="A93" s="185" t="s">
        <v>422</v>
      </c>
      <c r="B93" s="1056" t="s">
        <v>1113</v>
      </c>
      <c r="C93" s="193">
        <v>2282639.09</v>
      </c>
      <c r="D93" s="193">
        <v>6722366.709999999</v>
      </c>
      <c r="E93" s="193">
        <v>11181638.200000001</v>
      </c>
      <c r="F93" s="193">
        <v>15060330.609999999</v>
      </c>
      <c r="G93" s="193">
        <v>18503706.989999998</v>
      </c>
      <c r="H93" s="193">
        <v>21839101.25</v>
      </c>
      <c r="I93" s="193">
        <v>54023563.560000002</v>
      </c>
      <c r="J93" s="193">
        <v>55475895.25</v>
      </c>
      <c r="K93" s="193">
        <v>132624626.25</v>
      </c>
      <c r="L93" s="193">
        <v>120620802.55</v>
      </c>
      <c r="M93" s="193">
        <v>473518784.43000001</v>
      </c>
      <c r="N93" s="299">
        <f t="shared" si="4"/>
        <v>911853454.88999999</v>
      </c>
    </row>
    <row r="94" spans="1:14" s="185" customFormat="1" ht="17.149999999999999" customHeight="1">
      <c r="A94" s="185" t="s">
        <v>425</v>
      </c>
      <c r="B94" s="1056" t="s">
        <v>1114</v>
      </c>
      <c r="C94" s="193">
        <v>32519321.93</v>
      </c>
      <c r="D94" s="193">
        <v>92769220.400000006</v>
      </c>
      <c r="E94" s="193">
        <v>149297049.47</v>
      </c>
      <c r="F94" s="193">
        <v>184590858.09999999</v>
      </c>
      <c r="G94" s="193">
        <v>219630199.61000001</v>
      </c>
      <c r="H94" s="193">
        <v>263493336.08000001</v>
      </c>
      <c r="I94" s="193">
        <v>609726788.20000005</v>
      </c>
      <c r="J94" s="193">
        <v>700364862.69000006</v>
      </c>
      <c r="K94" s="193">
        <v>1889003036.3</v>
      </c>
      <c r="L94" s="193">
        <v>1837247930.9000001</v>
      </c>
      <c r="M94" s="193">
        <v>13655239880.790001</v>
      </c>
      <c r="N94" s="299">
        <f t="shared" si="4"/>
        <v>19633882484.470001</v>
      </c>
    </row>
    <row r="95" spans="1:14" s="185" customFormat="1" ht="17.149999999999999" customHeight="1">
      <c r="A95" s="185" t="s">
        <v>427</v>
      </c>
      <c r="B95" s="1056" t="s">
        <v>1115</v>
      </c>
      <c r="C95" s="193">
        <v>1843804.5</v>
      </c>
      <c r="D95" s="193">
        <v>6489941.8500000006</v>
      </c>
      <c r="E95" s="193">
        <v>11289520.869999999</v>
      </c>
      <c r="F95" s="193">
        <v>16145253.609999999</v>
      </c>
      <c r="G95" s="193">
        <v>21531344.379999999</v>
      </c>
      <c r="H95" s="193">
        <v>25652497.789999999</v>
      </c>
      <c r="I95" s="193">
        <v>61423351.490000002</v>
      </c>
      <c r="J95" s="193">
        <v>59275682.68</v>
      </c>
      <c r="K95" s="193">
        <v>134459162.5</v>
      </c>
      <c r="L95" s="193">
        <v>111304350.17</v>
      </c>
      <c r="M95" s="193">
        <v>344521603.38</v>
      </c>
      <c r="N95" s="299">
        <f t="shared" si="4"/>
        <v>793936513.22000003</v>
      </c>
    </row>
    <row r="96" spans="1:14" s="185" customFormat="1" ht="17.149999999999999" customHeight="1">
      <c r="A96" s="185" t="s">
        <v>430</v>
      </c>
      <c r="B96" s="1056" t="s">
        <v>1116</v>
      </c>
      <c r="C96" s="193">
        <v>454101.52999999997</v>
      </c>
      <c r="D96" s="193">
        <v>1516096.3</v>
      </c>
      <c r="E96" s="193">
        <v>2657527.41</v>
      </c>
      <c r="F96" s="193">
        <v>3386077.19</v>
      </c>
      <c r="G96" s="193">
        <v>4101078.67</v>
      </c>
      <c r="H96" s="193">
        <v>4800071.62</v>
      </c>
      <c r="I96" s="193">
        <v>11228477.140000001</v>
      </c>
      <c r="J96" s="193">
        <v>12227736.859999999</v>
      </c>
      <c r="K96" s="193">
        <v>28344001.120000001</v>
      </c>
      <c r="L96" s="193">
        <v>30065790.73</v>
      </c>
      <c r="M96" s="193">
        <v>441884283.87</v>
      </c>
      <c r="N96" s="299">
        <f t="shared" si="4"/>
        <v>540665242.44000006</v>
      </c>
    </row>
    <row r="97" spans="1:15" s="185" customFormat="1" ht="34" customHeight="1">
      <c r="A97" s="185" t="s">
        <v>360</v>
      </c>
      <c r="B97" s="1056" t="s">
        <v>1117</v>
      </c>
      <c r="C97" s="193">
        <v>1911975.0899999999</v>
      </c>
      <c r="D97" s="193">
        <v>4335295.0600000005</v>
      </c>
      <c r="E97" s="193">
        <v>5720728.21</v>
      </c>
      <c r="F97" s="193">
        <v>6260464.2699999996</v>
      </c>
      <c r="G97" s="193">
        <v>8300625.7300000004</v>
      </c>
      <c r="H97" s="193">
        <v>8568667.9000000004</v>
      </c>
      <c r="I97" s="193">
        <v>18830319.890000001</v>
      </c>
      <c r="J97" s="193">
        <v>20855788.920000002</v>
      </c>
      <c r="K97" s="193">
        <v>40995528.030000001</v>
      </c>
      <c r="L97" s="193">
        <v>32147937.23</v>
      </c>
      <c r="M97" s="193">
        <v>195362065.05000001</v>
      </c>
      <c r="N97" s="299">
        <f t="shared" si="4"/>
        <v>343289395.38</v>
      </c>
    </row>
    <row r="98" spans="1:15" s="185" customFormat="1" ht="17.149999999999999" customHeight="1">
      <c r="A98" s="185" t="s">
        <v>364</v>
      </c>
      <c r="B98" s="1056" t="s">
        <v>1118</v>
      </c>
      <c r="C98" s="193">
        <v>6982621.6600000001</v>
      </c>
      <c r="D98" s="193">
        <v>19094482.800000001</v>
      </c>
      <c r="E98" s="193">
        <v>32215296.970000003</v>
      </c>
      <c r="F98" s="193">
        <v>42663007.689999998</v>
      </c>
      <c r="G98" s="193">
        <v>56513224.479999997</v>
      </c>
      <c r="H98" s="193">
        <v>68073236.989999995</v>
      </c>
      <c r="I98" s="193">
        <v>167966796.53999999</v>
      </c>
      <c r="J98" s="193">
        <v>175749383.49000001</v>
      </c>
      <c r="K98" s="193">
        <v>423529224.67000002</v>
      </c>
      <c r="L98" s="193">
        <v>393152547.5</v>
      </c>
      <c r="M98" s="193">
        <v>2305903424.5900002</v>
      </c>
      <c r="N98" s="299">
        <f t="shared" si="4"/>
        <v>3691843247.3800001</v>
      </c>
    </row>
    <row r="99" spans="1:15" s="185" customFormat="1" ht="17.149999999999999" customHeight="1">
      <c r="A99" s="185" t="s">
        <v>437</v>
      </c>
      <c r="B99" s="1056" t="s">
        <v>1119</v>
      </c>
      <c r="C99" s="193">
        <v>1710135.27</v>
      </c>
      <c r="D99" s="193">
        <v>4392321.8199999994</v>
      </c>
      <c r="E99" s="193">
        <v>7288055.2299999995</v>
      </c>
      <c r="F99" s="193">
        <v>10235906.529999999</v>
      </c>
      <c r="G99" s="193">
        <v>13979957.59</v>
      </c>
      <c r="H99" s="193">
        <v>16884754.73</v>
      </c>
      <c r="I99" s="193">
        <v>37229414.75</v>
      </c>
      <c r="J99" s="193">
        <v>39151574.870000005</v>
      </c>
      <c r="K99" s="193">
        <v>83990992.180000007</v>
      </c>
      <c r="L99" s="193">
        <v>76857688.930000007</v>
      </c>
      <c r="M99" s="193">
        <v>360782516.43000001</v>
      </c>
      <c r="N99" s="299">
        <f t="shared" si="4"/>
        <v>652503318.33000004</v>
      </c>
    </row>
    <row r="100" spans="1:15" s="185" customFormat="1" ht="17.149999999999999" customHeight="1">
      <c r="A100" s="185" t="s">
        <v>440</v>
      </c>
      <c r="B100" s="1056" t="s">
        <v>1120</v>
      </c>
      <c r="C100" s="193">
        <v>5467158.54</v>
      </c>
      <c r="D100" s="193">
        <v>16722222.690000001</v>
      </c>
      <c r="E100" s="193">
        <v>28708214.720000003</v>
      </c>
      <c r="F100" s="193">
        <v>35606420.530000001</v>
      </c>
      <c r="G100" s="193">
        <v>45910801.030000001</v>
      </c>
      <c r="H100" s="193">
        <v>57692192.740000002</v>
      </c>
      <c r="I100" s="193">
        <v>154036932.16</v>
      </c>
      <c r="J100" s="193">
        <v>163360296.29000002</v>
      </c>
      <c r="K100" s="193">
        <v>365100623.13999999</v>
      </c>
      <c r="L100" s="193">
        <v>333423500.30000001</v>
      </c>
      <c r="M100" s="193">
        <v>1537963184.3</v>
      </c>
      <c r="N100" s="299">
        <f t="shared" si="4"/>
        <v>2743991546.4399996</v>
      </c>
    </row>
    <row r="101" spans="1:15" s="185" customFormat="1" ht="17.149999999999999" customHeight="1">
      <c r="A101" s="185" t="s">
        <v>443</v>
      </c>
      <c r="B101" s="1056" t="s">
        <v>1121</v>
      </c>
      <c r="C101" s="193">
        <v>1671800.2</v>
      </c>
      <c r="D101" s="193">
        <v>5453406.4900000002</v>
      </c>
      <c r="E101" s="193">
        <v>9114004.2800000012</v>
      </c>
      <c r="F101" s="193">
        <v>12461949.369999999</v>
      </c>
      <c r="G101" s="193">
        <v>14200650.939999999</v>
      </c>
      <c r="H101" s="193">
        <v>16841524.460000001</v>
      </c>
      <c r="I101" s="193">
        <v>35460829.090000004</v>
      </c>
      <c r="J101" s="193">
        <v>39729135.210000001</v>
      </c>
      <c r="K101" s="193">
        <v>84527049.879999995</v>
      </c>
      <c r="L101" s="193">
        <v>68600982.019999996</v>
      </c>
      <c r="M101" s="193">
        <v>177472103.47999999</v>
      </c>
      <c r="N101" s="299">
        <f t="shared" si="4"/>
        <v>465533435.41999996</v>
      </c>
    </row>
    <row r="102" spans="1:15" s="185" customFormat="1" ht="34" customHeight="1">
      <c r="A102" s="185" t="s">
        <v>319</v>
      </c>
      <c r="B102" s="1056" t="s">
        <v>1122</v>
      </c>
      <c r="C102" s="193">
        <v>1453689.77</v>
      </c>
      <c r="D102" s="193">
        <v>5122551.09</v>
      </c>
      <c r="E102" s="159">
        <v>8562760.3900000006</v>
      </c>
      <c r="F102" s="193">
        <v>10361600.699999999</v>
      </c>
      <c r="G102" s="193">
        <v>13432899.67</v>
      </c>
      <c r="H102" s="159">
        <v>15947755.699999999</v>
      </c>
      <c r="I102" s="159">
        <v>35898262.019999996</v>
      </c>
      <c r="J102" s="193">
        <v>34358115.579999998</v>
      </c>
      <c r="K102" s="193">
        <v>72114671.840000004</v>
      </c>
      <c r="L102" s="193">
        <v>56849517.030000001</v>
      </c>
      <c r="M102" s="193">
        <v>141258142.44999999</v>
      </c>
      <c r="N102" s="299">
        <f t="shared" si="4"/>
        <v>395359966.24000001</v>
      </c>
    </row>
    <row r="103" spans="1:15" s="185" customFormat="1" ht="17.149999999999999" customHeight="1">
      <c r="A103" s="185" t="s">
        <v>323</v>
      </c>
      <c r="B103" s="1056" t="s">
        <v>1123</v>
      </c>
      <c r="C103" s="159">
        <v>2998612.89</v>
      </c>
      <c r="D103" s="193">
        <v>8914989.5299999993</v>
      </c>
      <c r="E103" s="193">
        <v>14743947.719999999</v>
      </c>
      <c r="F103" s="193">
        <v>20625810.27</v>
      </c>
      <c r="G103" s="193">
        <v>26652722.84</v>
      </c>
      <c r="H103" s="193">
        <v>32003801.050000001</v>
      </c>
      <c r="I103" s="193">
        <v>85152115.039999992</v>
      </c>
      <c r="J103" s="193">
        <v>89989970.25999999</v>
      </c>
      <c r="K103" s="193">
        <v>205536003.34</v>
      </c>
      <c r="L103" s="193">
        <v>175062647.83000001</v>
      </c>
      <c r="M103" s="193">
        <v>906191963.20000005</v>
      </c>
      <c r="N103" s="299">
        <f t="shared" si="4"/>
        <v>1567872583.97</v>
      </c>
    </row>
    <row r="104" spans="1:15" s="185" customFormat="1" ht="17.149999999999999" customHeight="1">
      <c r="A104" s="185" t="s">
        <v>327</v>
      </c>
      <c r="B104" s="1056" t="s">
        <v>1124</v>
      </c>
      <c r="C104" s="193">
        <v>2143916.96</v>
      </c>
      <c r="D104" s="193">
        <v>7281203.9100000001</v>
      </c>
      <c r="E104" s="193">
        <v>11566060.370000001</v>
      </c>
      <c r="F104" s="193">
        <v>15897125.619999999</v>
      </c>
      <c r="G104" s="193">
        <v>19778818.879999999</v>
      </c>
      <c r="H104" s="193">
        <v>21258258.539999999</v>
      </c>
      <c r="I104" s="193">
        <v>53521032.780000001</v>
      </c>
      <c r="J104" s="193">
        <v>57274606.119999997</v>
      </c>
      <c r="K104" s="193">
        <v>103105321.51000001</v>
      </c>
      <c r="L104" s="193">
        <v>80491059.859999999</v>
      </c>
      <c r="M104" s="193">
        <v>219083623.47</v>
      </c>
      <c r="N104" s="299">
        <f t="shared" si="4"/>
        <v>591401028.01999998</v>
      </c>
    </row>
    <row r="105" spans="1:15" s="185" customFormat="1" ht="17.149999999999999" customHeight="1">
      <c r="A105" s="185" t="s">
        <v>331</v>
      </c>
      <c r="B105" s="1056" t="s">
        <v>1125</v>
      </c>
      <c r="C105" s="193">
        <v>1178057.3900000001</v>
      </c>
      <c r="D105" s="193">
        <v>3636491.96</v>
      </c>
      <c r="E105" s="193">
        <v>6532360.5699999994</v>
      </c>
      <c r="F105" s="193">
        <v>8521905.5999999996</v>
      </c>
      <c r="G105" s="193">
        <v>10305553.380000001</v>
      </c>
      <c r="H105" s="193">
        <v>13271665.859999999</v>
      </c>
      <c r="I105" s="193">
        <v>30341302.66</v>
      </c>
      <c r="J105" s="193">
        <v>34343418.689999998</v>
      </c>
      <c r="K105" s="193">
        <v>77435816.319999993</v>
      </c>
      <c r="L105" s="193">
        <v>63717284.079999998</v>
      </c>
      <c r="M105" s="193">
        <v>208514993.72</v>
      </c>
      <c r="N105" s="299">
        <f t="shared" si="4"/>
        <v>457798850.23000002</v>
      </c>
    </row>
    <row r="106" spans="1:15" s="185" customFormat="1" ht="17.149999999999999" customHeight="1">
      <c r="A106" s="185" t="s">
        <v>335</v>
      </c>
      <c r="B106" s="1056" t="s">
        <v>1126</v>
      </c>
      <c r="C106" s="193">
        <v>9263684.0199999996</v>
      </c>
      <c r="D106" s="193">
        <v>27685365.009999998</v>
      </c>
      <c r="E106" s="193">
        <v>43944971.059999995</v>
      </c>
      <c r="F106" s="193">
        <v>59357379.890000001</v>
      </c>
      <c r="G106" s="193">
        <v>72276313.969999999</v>
      </c>
      <c r="H106" s="193">
        <v>88835986.019999996</v>
      </c>
      <c r="I106" s="193">
        <v>197345938.25</v>
      </c>
      <c r="J106" s="193">
        <v>224260442.63</v>
      </c>
      <c r="K106" s="193">
        <v>571379796.11000001</v>
      </c>
      <c r="L106" s="193">
        <v>575133482.29999995</v>
      </c>
      <c r="M106" s="193">
        <v>3492852553.27</v>
      </c>
      <c r="N106" s="299">
        <f t="shared" si="4"/>
        <v>5362335912.5299997</v>
      </c>
    </row>
    <row r="107" spans="1:15" s="185" customFormat="1" ht="34" customHeight="1">
      <c r="A107" s="185" t="s">
        <v>339</v>
      </c>
      <c r="B107" s="1056" t="s">
        <v>1127</v>
      </c>
      <c r="C107" s="193">
        <v>9687936.9699999988</v>
      </c>
      <c r="D107" s="193">
        <v>27715436.689999998</v>
      </c>
      <c r="E107" s="193">
        <v>42848565.350000009</v>
      </c>
      <c r="F107" s="193">
        <v>57117322.009999998</v>
      </c>
      <c r="G107" s="193">
        <v>65878421.43</v>
      </c>
      <c r="H107" s="193">
        <v>79409799.189999998</v>
      </c>
      <c r="I107" s="193">
        <v>175091596</v>
      </c>
      <c r="J107" s="193">
        <v>200346855.59</v>
      </c>
      <c r="K107" s="193">
        <v>534545150.83999997</v>
      </c>
      <c r="L107" s="193">
        <v>572127476.87</v>
      </c>
      <c r="M107" s="193">
        <v>4444142450.0500002</v>
      </c>
      <c r="N107" s="299">
        <f t="shared" si="4"/>
        <v>6208911010.9899998</v>
      </c>
    </row>
    <row r="108" spans="1:15" s="185" customFormat="1" ht="17.149999999999999" customHeight="1">
      <c r="A108" s="185" t="s">
        <v>343</v>
      </c>
      <c r="B108" s="1056" t="s">
        <v>1128</v>
      </c>
      <c r="C108" s="193">
        <v>507680.07</v>
      </c>
      <c r="D108" s="193">
        <v>1683720.75</v>
      </c>
      <c r="E108" s="193">
        <v>2666375.2700000005</v>
      </c>
      <c r="F108" s="193">
        <v>4083155.29</v>
      </c>
      <c r="G108" s="193">
        <v>4001652.18</v>
      </c>
      <c r="H108" s="193">
        <v>5296268.54</v>
      </c>
      <c r="I108" s="193">
        <v>13406412.220000001</v>
      </c>
      <c r="J108" s="193">
        <v>13200612.869999999</v>
      </c>
      <c r="K108" s="193">
        <v>30112643.440000001</v>
      </c>
      <c r="L108" s="193">
        <v>25137589.82</v>
      </c>
      <c r="M108" s="193">
        <v>83336782.519999996</v>
      </c>
      <c r="N108" s="299">
        <f t="shared" si="4"/>
        <v>183432892.96999997</v>
      </c>
    </row>
    <row r="109" spans="1:15" s="185" customFormat="1" ht="17.149999999999999" customHeight="1">
      <c r="A109" s="185" t="s">
        <v>347</v>
      </c>
      <c r="B109" s="1056" t="s">
        <v>1129</v>
      </c>
      <c r="C109" s="193">
        <v>709337.19000000006</v>
      </c>
      <c r="D109" s="193">
        <v>2055037.5699999998</v>
      </c>
      <c r="E109" s="193">
        <v>3341775.6799999997</v>
      </c>
      <c r="F109" s="193">
        <v>4996927.26</v>
      </c>
      <c r="G109" s="193">
        <v>6088433.6799999997</v>
      </c>
      <c r="H109" s="193">
        <v>7244647.8499999996</v>
      </c>
      <c r="I109" s="193">
        <v>16246233.140000001</v>
      </c>
      <c r="J109" s="193">
        <v>14909511.73</v>
      </c>
      <c r="K109" s="193">
        <v>34500354.109999999</v>
      </c>
      <c r="L109" s="193">
        <v>22572196.800000001</v>
      </c>
      <c r="M109" s="193">
        <v>75630726.829999998</v>
      </c>
      <c r="N109" s="299">
        <f t="shared" si="4"/>
        <v>188295181.83999997</v>
      </c>
    </row>
    <row r="110" spans="1:15" s="185" customFormat="1" ht="17.149999999999999" customHeight="1">
      <c r="A110" s="185" t="s">
        <v>351</v>
      </c>
      <c r="B110" s="1056" t="s">
        <v>1130</v>
      </c>
      <c r="C110" s="193">
        <v>2806269.93</v>
      </c>
      <c r="D110" s="193">
        <v>8732273.8899999987</v>
      </c>
      <c r="E110" s="193">
        <v>14753283.879999999</v>
      </c>
      <c r="F110" s="193">
        <v>19697904.199999999</v>
      </c>
      <c r="G110" s="193">
        <v>24617458.52</v>
      </c>
      <c r="H110" s="193">
        <v>27571532.829999998</v>
      </c>
      <c r="I110" s="193">
        <v>63025801.619999997</v>
      </c>
      <c r="J110" s="193">
        <v>58976724.230000004</v>
      </c>
      <c r="K110" s="193">
        <v>127526515.79000001</v>
      </c>
      <c r="L110" s="193">
        <v>107070369.54000001</v>
      </c>
      <c r="M110" s="193">
        <v>349078371.63</v>
      </c>
      <c r="N110" s="299">
        <f t="shared" si="4"/>
        <v>803856506.05999994</v>
      </c>
    </row>
    <row r="111" spans="1:15" s="185" customFormat="1" ht="17.149999999999999" customHeight="1">
      <c r="A111" s="185" t="s">
        <v>355</v>
      </c>
      <c r="B111" s="1056" t="s">
        <v>1131</v>
      </c>
      <c r="C111" s="193">
        <v>2785475.3</v>
      </c>
      <c r="D111" s="193">
        <v>8104093.8300000001</v>
      </c>
      <c r="E111" s="193">
        <v>13479382.02</v>
      </c>
      <c r="F111" s="193">
        <v>18335913.77</v>
      </c>
      <c r="G111" s="193">
        <v>22223080.32</v>
      </c>
      <c r="H111" s="193">
        <v>28563838.5</v>
      </c>
      <c r="I111" s="193">
        <v>69315618.75999999</v>
      </c>
      <c r="J111" s="193">
        <v>69665595.859999999</v>
      </c>
      <c r="K111" s="193">
        <v>176924756.30000001</v>
      </c>
      <c r="L111" s="193">
        <v>163963886.13999999</v>
      </c>
      <c r="M111" s="193">
        <v>777410466.59000003</v>
      </c>
      <c r="N111" s="299">
        <f t="shared" si="4"/>
        <v>1350772107.3899999</v>
      </c>
    </row>
    <row r="112" spans="1:15" s="196" customFormat="1" ht="34" customHeight="1">
      <c r="A112" s="164" t="s">
        <v>359</v>
      </c>
      <c r="B112" s="1074" t="s">
        <v>1132</v>
      </c>
      <c r="C112" s="163">
        <v>4973761.9799999995</v>
      </c>
      <c r="D112" s="163">
        <v>14045167.399999999</v>
      </c>
      <c r="E112" s="163">
        <v>22340357.140000001</v>
      </c>
      <c r="F112" s="163">
        <v>29222347.059999999</v>
      </c>
      <c r="G112" s="163">
        <v>36739279.93</v>
      </c>
      <c r="H112" s="163">
        <v>45162222.399999999</v>
      </c>
      <c r="I112" s="163">
        <v>99271325.590000004</v>
      </c>
      <c r="J112" s="163">
        <v>102243485.91999999</v>
      </c>
      <c r="K112" s="163">
        <v>212107774.90000001</v>
      </c>
      <c r="L112" s="163">
        <v>177700823.25</v>
      </c>
      <c r="M112" s="163">
        <v>788505673.58000004</v>
      </c>
      <c r="N112" s="250">
        <f t="shared" si="4"/>
        <v>1532312219.1500001</v>
      </c>
      <c r="O112" s="185"/>
    </row>
    <row r="113" spans="1:14" ht="17.149999999999999" customHeight="1">
      <c r="A113" s="185" t="s">
        <v>363</v>
      </c>
      <c r="B113" s="1056" t="s">
        <v>1133</v>
      </c>
      <c r="C113" s="193">
        <v>1254141.1900000002</v>
      </c>
      <c r="D113" s="193">
        <v>4098647.31</v>
      </c>
      <c r="E113" s="193">
        <v>6826025.54</v>
      </c>
      <c r="F113" s="193">
        <v>10171794.960000001</v>
      </c>
      <c r="G113" s="193">
        <v>12453863.199999999</v>
      </c>
      <c r="H113" s="193">
        <v>13480778.91</v>
      </c>
      <c r="I113" s="193">
        <v>33025424.969999999</v>
      </c>
      <c r="J113" s="193">
        <v>35406489.280000001</v>
      </c>
      <c r="K113" s="193">
        <v>76163242.219999999</v>
      </c>
      <c r="L113" s="193">
        <v>67656781.269999996</v>
      </c>
      <c r="M113" s="193">
        <v>288501707.20999998</v>
      </c>
      <c r="N113" s="299">
        <f t="shared" si="4"/>
        <v>549038896.05999994</v>
      </c>
    </row>
    <row r="114" spans="1:14" ht="17.149999999999999" customHeight="1">
      <c r="A114" s="185" t="s">
        <v>367</v>
      </c>
      <c r="B114" s="1056" t="s">
        <v>1134</v>
      </c>
      <c r="C114" s="193">
        <v>2488523.56</v>
      </c>
      <c r="D114" s="193">
        <v>7867276.9799999986</v>
      </c>
      <c r="E114" s="193">
        <v>13387506.6</v>
      </c>
      <c r="F114" s="193">
        <v>16477371.279999999</v>
      </c>
      <c r="G114" s="193">
        <v>21695133.91</v>
      </c>
      <c r="H114" s="193">
        <v>24805405.550000001</v>
      </c>
      <c r="I114" s="193">
        <v>55039980.900000006</v>
      </c>
      <c r="J114" s="193">
        <v>48240428.040000007</v>
      </c>
      <c r="K114" s="193">
        <v>106949288.36</v>
      </c>
      <c r="L114" s="193">
        <v>87742861.730000004</v>
      </c>
      <c r="M114" s="193">
        <v>233964276.38</v>
      </c>
      <c r="N114" s="299">
        <f t="shared" si="4"/>
        <v>618658053.28999996</v>
      </c>
    </row>
    <row r="115" spans="1:14" ht="17.149999999999999" customHeight="1">
      <c r="A115" s="185" t="s">
        <v>371</v>
      </c>
      <c r="B115" s="1056" t="s">
        <v>1135</v>
      </c>
      <c r="C115" s="193">
        <v>1909914.21</v>
      </c>
      <c r="D115" s="193">
        <v>6475884.3199999994</v>
      </c>
      <c r="E115" s="193">
        <v>9841564.129999999</v>
      </c>
      <c r="F115" s="193">
        <v>15304620.210000001</v>
      </c>
      <c r="G115" s="193">
        <v>18667125.920000002</v>
      </c>
      <c r="H115" s="193">
        <v>21780589.140000001</v>
      </c>
      <c r="I115" s="193">
        <v>52301668.289999999</v>
      </c>
      <c r="J115" s="193">
        <v>53528467.039999999</v>
      </c>
      <c r="K115" s="193">
        <v>107540912.2</v>
      </c>
      <c r="L115" s="193">
        <v>94011369.780000001</v>
      </c>
      <c r="M115" s="193">
        <v>242713839.38999999</v>
      </c>
      <c r="N115" s="299">
        <f t="shared" si="4"/>
        <v>624075954.63</v>
      </c>
    </row>
    <row r="116" spans="1:14" ht="17.149999999999999" customHeight="1">
      <c r="A116" s="185" t="s">
        <v>375</v>
      </c>
      <c r="B116" s="1056" t="s">
        <v>1136</v>
      </c>
      <c r="C116" s="193">
        <v>4279461.66</v>
      </c>
      <c r="D116" s="193">
        <v>12158891.630000001</v>
      </c>
      <c r="E116" s="193">
        <v>19361935.82</v>
      </c>
      <c r="F116" s="193">
        <v>22888761.870000001</v>
      </c>
      <c r="G116" s="193">
        <v>31629710.260000002</v>
      </c>
      <c r="H116" s="193">
        <v>34924127.530000001</v>
      </c>
      <c r="I116" s="193">
        <v>81472704.109999999</v>
      </c>
      <c r="J116" s="193">
        <v>91804498.829999998</v>
      </c>
      <c r="K116" s="193">
        <v>247799382.22</v>
      </c>
      <c r="L116" s="193">
        <v>259066030.12</v>
      </c>
      <c r="M116" s="193">
        <v>1941918551.49</v>
      </c>
      <c r="N116" s="299">
        <f t="shared" si="4"/>
        <v>2747304055.54</v>
      </c>
    </row>
    <row r="117" spans="1:14" ht="17.149999999999999" customHeight="1">
      <c r="A117" s="185"/>
      <c r="B117" s="1056"/>
      <c r="C117" s="193"/>
      <c r="D117" s="193"/>
      <c r="E117" s="193"/>
      <c r="F117" s="193"/>
      <c r="G117" s="193"/>
      <c r="H117" s="193"/>
      <c r="I117" s="193"/>
      <c r="J117" s="193"/>
      <c r="K117" s="193"/>
      <c r="L117" s="193"/>
      <c r="M117" s="193"/>
      <c r="N117" s="224"/>
    </row>
    <row r="118" spans="1:14" s="199" customFormat="1" ht="17.149999999999999" customHeight="1">
      <c r="A118" s="197" t="s">
        <v>22</v>
      </c>
      <c r="B118" s="1075"/>
      <c r="C118" s="198">
        <f>SUM(C8:C42)+SUM(C50:C84)+SUM(C92:C116)</f>
        <v>414423790.28000003</v>
      </c>
      <c r="D118" s="198">
        <f t="shared" ref="D118:N118" si="5">SUM(D8:D42)+SUM(D50:D84)+SUM(D92:D116)</f>
        <v>1180266431.6000001</v>
      </c>
      <c r="E118" s="198">
        <f t="shared" si="5"/>
        <v>1859788509.3</v>
      </c>
      <c r="F118" s="198">
        <f t="shared" si="5"/>
        <v>2407432720.8599997</v>
      </c>
      <c r="G118" s="198">
        <f t="shared" si="5"/>
        <v>2956003486.2099996</v>
      </c>
      <c r="H118" s="198">
        <f t="shared" si="5"/>
        <v>3581360827.9499993</v>
      </c>
      <c r="I118" s="198">
        <f t="shared" si="5"/>
        <v>8487467201.5</v>
      </c>
      <c r="J118" s="198">
        <f t="shared" si="5"/>
        <v>9161581312.5799999</v>
      </c>
      <c r="K118" s="198">
        <f t="shared" si="5"/>
        <v>23074740333.969997</v>
      </c>
      <c r="L118" s="198">
        <f t="shared" si="5"/>
        <v>22410983693.329998</v>
      </c>
      <c r="M118" s="198">
        <f t="shared" si="5"/>
        <v>214197322685.89999</v>
      </c>
      <c r="N118" s="198">
        <f t="shared" si="5"/>
        <v>289731370993.47992</v>
      </c>
    </row>
    <row r="119" spans="1:14" s="195" customFormat="1" ht="17.149999999999999" customHeight="1">
      <c r="A119" s="199"/>
      <c r="B119" s="1071"/>
      <c r="C119" s="200"/>
      <c r="D119" s="200"/>
      <c r="E119" s="200"/>
      <c r="F119" s="200"/>
      <c r="G119" s="200"/>
      <c r="H119" s="200"/>
      <c r="I119" s="200"/>
      <c r="J119" s="200"/>
      <c r="K119" s="200"/>
      <c r="L119" s="200"/>
      <c r="M119" s="200"/>
      <c r="N119" s="226"/>
    </row>
    <row r="120" spans="1:14" s="195" customFormat="1" ht="17.149999999999999" customHeight="1">
      <c r="A120" s="188"/>
      <c r="B120" s="1054"/>
      <c r="C120" s="188"/>
      <c r="D120" s="188"/>
      <c r="E120" s="188"/>
      <c r="F120" s="188"/>
      <c r="G120" s="188"/>
      <c r="H120" s="188"/>
      <c r="I120" s="188"/>
      <c r="J120" s="188"/>
      <c r="K120" s="188"/>
      <c r="L120" s="188"/>
      <c r="M120" s="188"/>
      <c r="N120" s="225"/>
    </row>
    <row r="121" spans="1:14" s="202" customFormat="1" ht="18">
      <c r="A121" s="187" t="s">
        <v>596</v>
      </c>
      <c r="B121" s="1088"/>
      <c r="C121" s="201"/>
      <c r="D121" s="201"/>
      <c r="E121" s="201"/>
      <c r="F121" s="201"/>
      <c r="G121" s="201"/>
      <c r="H121" s="201"/>
      <c r="I121" s="201"/>
      <c r="J121" s="201"/>
      <c r="K121" s="201"/>
      <c r="L121" s="201"/>
      <c r="M121" s="201"/>
      <c r="N121" s="227"/>
    </row>
    <row r="122" spans="1:14" ht="17.149999999999999" customHeight="1">
      <c r="A122" s="190" t="s">
        <v>594</v>
      </c>
      <c r="B122" s="1089"/>
      <c r="C122" s="203"/>
      <c r="D122" s="203"/>
      <c r="E122" s="203"/>
      <c r="F122" s="203"/>
      <c r="G122" s="203"/>
      <c r="H122" s="203"/>
      <c r="I122" s="203"/>
      <c r="J122" s="203"/>
      <c r="K122" s="203"/>
      <c r="L122" s="203"/>
      <c r="M122" s="203"/>
      <c r="N122" s="228"/>
    </row>
    <row r="123" spans="1:14" ht="17.149999999999999" customHeight="1">
      <c r="A123" s="191" t="str">
        <f>A3</f>
        <v>Taxable Year 2021</v>
      </c>
      <c r="B123" s="1090"/>
      <c r="C123" s="203"/>
      <c r="D123" s="203"/>
      <c r="E123" s="203"/>
      <c r="F123" s="203"/>
      <c r="G123" s="203"/>
      <c r="H123" s="203"/>
      <c r="I123" s="203"/>
      <c r="J123" s="203"/>
      <c r="K123" s="203"/>
      <c r="L123" s="203"/>
      <c r="M123" s="203"/>
      <c r="N123" s="228"/>
    </row>
    <row r="124" spans="1:14" ht="2" customHeight="1">
      <c r="C124" s="194">
        <f t="shared" ref="C124:N124" si="6">SUM(C128:C147)</f>
        <v>77274739.539999992</v>
      </c>
      <c r="D124" s="194">
        <f t="shared" si="6"/>
        <v>216352850.26000005</v>
      </c>
      <c r="E124" s="194">
        <f t="shared" si="6"/>
        <v>357589350.40999997</v>
      </c>
      <c r="F124" s="194">
        <f t="shared" si="6"/>
        <v>461741752.86000001</v>
      </c>
      <c r="G124" s="194">
        <f t="shared" si="6"/>
        <v>560180433.06999981</v>
      </c>
      <c r="H124" s="194">
        <f t="shared" si="6"/>
        <v>675503319.70000017</v>
      </c>
      <c r="I124" s="194">
        <f t="shared" si="6"/>
        <v>1560148617.6400003</v>
      </c>
      <c r="J124" s="194">
        <f t="shared" si="6"/>
        <v>1618428698.2700005</v>
      </c>
      <c r="K124" s="194">
        <f t="shared" si="6"/>
        <v>3791624825.3200011</v>
      </c>
      <c r="L124" s="194">
        <f t="shared" si="6"/>
        <v>3342083698.0800004</v>
      </c>
      <c r="M124" s="194">
        <f t="shared" si="6"/>
        <v>24788062273.459995</v>
      </c>
      <c r="N124" s="194">
        <f t="shared" si="6"/>
        <v>37448990558.610001</v>
      </c>
    </row>
    <row r="125" spans="1:14" ht="2" customHeight="1">
      <c r="A125" s="191"/>
      <c r="B125" s="1090"/>
      <c r="D125" s="192"/>
      <c r="E125" s="192"/>
      <c r="F125" s="192"/>
      <c r="G125" s="192"/>
      <c r="H125" s="192"/>
      <c r="I125" s="192"/>
      <c r="J125" s="192"/>
      <c r="K125" s="192"/>
      <c r="L125" s="192"/>
      <c r="M125" s="192"/>
      <c r="N125" s="1081"/>
    </row>
    <row r="126" spans="1:14" ht="2" customHeight="1" thickBot="1">
      <c r="A126" s="190"/>
      <c r="B126" s="1089"/>
      <c r="D126" s="1082"/>
      <c r="E126" s="1082"/>
      <c r="F126" s="1082"/>
      <c r="G126" s="1082"/>
      <c r="H126" s="1082"/>
      <c r="I126" s="1082"/>
      <c r="J126" s="1082"/>
      <c r="K126" s="1082"/>
      <c r="L126" s="1082"/>
      <c r="M126" s="1082"/>
      <c r="N126" s="1083"/>
    </row>
    <row r="127" spans="1:14" ht="26">
      <c r="A127" s="1085" t="s">
        <v>23</v>
      </c>
      <c r="B127" s="1087" t="s">
        <v>938</v>
      </c>
      <c r="C127" s="1086" t="s">
        <v>595</v>
      </c>
      <c r="D127" s="1084" t="s">
        <v>1179</v>
      </c>
      <c r="E127" s="1084" t="s">
        <v>1180</v>
      </c>
      <c r="F127" s="1084" t="s">
        <v>1181</v>
      </c>
      <c r="G127" s="1084" t="s">
        <v>1182</v>
      </c>
      <c r="H127" s="1084" t="s">
        <v>1183</v>
      </c>
      <c r="I127" s="1084" t="s">
        <v>1184</v>
      </c>
      <c r="J127" s="1084" t="s">
        <v>1185</v>
      </c>
      <c r="K127" s="1084" t="s">
        <v>1186</v>
      </c>
      <c r="L127" s="1084" t="s">
        <v>1187</v>
      </c>
      <c r="M127" s="1084" t="s">
        <v>1188</v>
      </c>
      <c r="N127" s="1084" t="s">
        <v>1189</v>
      </c>
    </row>
    <row r="128" spans="1:14" s="185" customFormat="1" ht="21" customHeight="1">
      <c r="A128" s="185" t="s">
        <v>392</v>
      </c>
      <c r="B128" s="1056" t="s">
        <v>1137</v>
      </c>
      <c r="C128" s="163">
        <v>12268242.65</v>
      </c>
      <c r="D128" s="163">
        <v>30852057.120000001</v>
      </c>
      <c r="E128" s="163">
        <v>50140101.060000002</v>
      </c>
      <c r="F128" s="163">
        <v>62212392.109999999</v>
      </c>
      <c r="G128" s="163">
        <v>73698383.989999995</v>
      </c>
      <c r="H128" s="163">
        <v>86391643.650000006</v>
      </c>
      <c r="I128" s="163">
        <v>192796826.56</v>
      </c>
      <c r="J128" s="163">
        <v>230027942.25</v>
      </c>
      <c r="K128" s="163">
        <v>717427242.25999999</v>
      </c>
      <c r="L128" s="163">
        <v>783553370.69000006</v>
      </c>
      <c r="M128" s="163">
        <v>9420153886.9300003</v>
      </c>
      <c r="N128" s="250">
        <f t="shared" ref="N128:N156" si="7">SUM(C128:M128)</f>
        <v>11659522089.27</v>
      </c>
    </row>
    <row r="129" spans="1:14" s="185" customFormat="1" ht="14.15" customHeight="1">
      <c r="A129" s="185" t="s">
        <v>397</v>
      </c>
      <c r="B129" s="1056" t="s">
        <v>1138</v>
      </c>
      <c r="C129" s="193">
        <v>3156448.2300000004</v>
      </c>
      <c r="D129" s="193">
        <v>7535194.7400000002</v>
      </c>
      <c r="E129" s="193">
        <v>12005484.960000001</v>
      </c>
      <c r="F129" s="193">
        <v>14899211.6</v>
      </c>
      <c r="G129" s="193">
        <v>18506546.050000001</v>
      </c>
      <c r="H129" s="193">
        <v>20320208.829999998</v>
      </c>
      <c r="I129" s="193">
        <v>46262323.159999996</v>
      </c>
      <c r="J129" s="193">
        <v>41133570.5</v>
      </c>
      <c r="K129" s="193">
        <v>68532428.329999998</v>
      </c>
      <c r="L129" s="193">
        <v>52743077.799999997</v>
      </c>
      <c r="M129" s="193">
        <v>131325109.14</v>
      </c>
      <c r="N129" s="299">
        <f t="shared" si="7"/>
        <v>416419603.33999997</v>
      </c>
    </row>
    <row r="130" spans="1:14" s="185" customFormat="1" ht="14.15" customHeight="1">
      <c r="A130" s="185" t="s">
        <v>400</v>
      </c>
      <c r="B130" s="1056" t="s">
        <v>1139</v>
      </c>
      <c r="C130" s="193">
        <v>579591.9</v>
      </c>
      <c r="D130" s="193">
        <v>1888156.6500000001</v>
      </c>
      <c r="E130" s="193">
        <v>2445100.3600000003</v>
      </c>
      <c r="F130" s="193">
        <v>3590640.88</v>
      </c>
      <c r="G130" s="193">
        <v>4274523.8099999996</v>
      </c>
      <c r="H130" s="193">
        <v>6117576.3099999996</v>
      </c>
      <c r="I130" s="193">
        <v>11984194.300000001</v>
      </c>
      <c r="J130" s="193">
        <v>11292520.33</v>
      </c>
      <c r="K130" s="193">
        <v>23387957.82</v>
      </c>
      <c r="L130" s="193">
        <v>18788429.149999999</v>
      </c>
      <c r="M130" s="193">
        <v>28095537</v>
      </c>
      <c r="N130" s="299">
        <f t="shared" si="7"/>
        <v>112444228.50999999</v>
      </c>
    </row>
    <row r="131" spans="1:14" s="185" customFormat="1" ht="14.15" customHeight="1">
      <c r="A131" s="185" t="s">
        <v>403</v>
      </c>
      <c r="B131" s="1056" t="s">
        <v>1140</v>
      </c>
      <c r="C131" s="193">
        <v>3958514.8099999996</v>
      </c>
      <c r="D131" s="193">
        <v>10509844.310000001</v>
      </c>
      <c r="E131" s="193">
        <v>16071369.820000002</v>
      </c>
      <c r="F131" s="193">
        <v>20701091.890000001</v>
      </c>
      <c r="G131" s="193">
        <v>24949093.399999999</v>
      </c>
      <c r="H131" s="193">
        <v>33785815.369999997</v>
      </c>
      <c r="I131" s="193">
        <v>76017549.760000005</v>
      </c>
      <c r="J131" s="193">
        <v>68929012.930000007</v>
      </c>
      <c r="K131" s="193">
        <v>164058769.97999999</v>
      </c>
      <c r="L131" s="193">
        <v>132474909.04000001</v>
      </c>
      <c r="M131" s="193">
        <v>2080452174.25</v>
      </c>
      <c r="N131" s="299">
        <f t="shared" si="7"/>
        <v>2631908145.5599999</v>
      </c>
    </row>
    <row r="132" spans="1:14" s="185" customFormat="1" ht="14.15" customHeight="1">
      <c r="A132" s="185" t="s">
        <v>406</v>
      </c>
      <c r="B132" s="1056" t="s">
        <v>1141</v>
      </c>
      <c r="C132" s="193">
        <v>16374631.24</v>
      </c>
      <c r="D132" s="193">
        <v>48429102.090000004</v>
      </c>
      <c r="E132" s="193">
        <v>79398138.280000001</v>
      </c>
      <c r="F132" s="193">
        <v>103939068.31</v>
      </c>
      <c r="G132" s="193">
        <v>129225216.5</v>
      </c>
      <c r="H132" s="193">
        <v>156725261.75999999</v>
      </c>
      <c r="I132" s="193">
        <v>368002898.69</v>
      </c>
      <c r="J132" s="193">
        <v>398817281.12</v>
      </c>
      <c r="K132" s="193">
        <v>974313293.19000006</v>
      </c>
      <c r="L132" s="193">
        <v>894198276.63999999</v>
      </c>
      <c r="M132" s="193">
        <v>4872833948.6999998</v>
      </c>
      <c r="N132" s="299">
        <f t="shared" si="7"/>
        <v>8042257116.5200005</v>
      </c>
    </row>
    <row r="133" spans="1:14" s="185" customFormat="1" ht="21" customHeight="1">
      <c r="A133" s="185" t="s">
        <v>409</v>
      </c>
      <c r="B133" s="1056" t="s">
        <v>1142</v>
      </c>
      <c r="C133" s="193">
        <v>1174438.74</v>
      </c>
      <c r="D133" s="193">
        <v>3827877.39</v>
      </c>
      <c r="E133" s="193">
        <v>6966846.9800000004</v>
      </c>
      <c r="F133" s="193">
        <v>8946729.3000000007</v>
      </c>
      <c r="G133" s="193">
        <v>11631367.869999999</v>
      </c>
      <c r="H133" s="193">
        <v>15195934.130000001</v>
      </c>
      <c r="I133" s="193">
        <v>37645551.729999997</v>
      </c>
      <c r="J133" s="193">
        <v>40552587.880000003</v>
      </c>
      <c r="K133" s="193">
        <v>80397007.25</v>
      </c>
      <c r="L133" s="193">
        <v>66839849.43</v>
      </c>
      <c r="M133" s="193">
        <v>184056126.97</v>
      </c>
      <c r="N133" s="299">
        <f t="shared" si="7"/>
        <v>457234317.66999996</v>
      </c>
    </row>
    <row r="134" spans="1:14" s="185" customFormat="1" ht="14.15" customHeight="1">
      <c r="A134" s="185" t="s">
        <v>412</v>
      </c>
      <c r="B134" s="1056" t="s">
        <v>1143</v>
      </c>
      <c r="C134" s="193">
        <v>593581.64</v>
      </c>
      <c r="D134" s="193">
        <v>1689528.87</v>
      </c>
      <c r="E134" s="193">
        <v>2791887.58</v>
      </c>
      <c r="F134" s="193">
        <v>3422051.93</v>
      </c>
      <c r="G134" s="193">
        <v>5270903.58</v>
      </c>
      <c r="H134" s="193">
        <v>5462781.6699999999</v>
      </c>
      <c r="I134" s="193">
        <v>12834857.189999999</v>
      </c>
      <c r="J134" s="193">
        <v>11159609.49</v>
      </c>
      <c r="K134" s="193">
        <v>21236404</v>
      </c>
      <c r="L134" s="193">
        <v>16011499.35</v>
      </c>
      <c r="M134" s="193">
        <v>33018011.57</v>
      </c>
      <c r="N134" s="299">
        <f t="shared" si="7"/>
        <v>113491116.87</v>
      </c>
    </row>
    <row r="135" spans="1:14" s="185" customFormat="1" ht="14.15" customHeight="1">
      <c r="A135" s="185" t="s">
        <v>415</v>
      </c>
      <c r="B135" s="1056" t="s">
        <v>1144</v>
      </c>
      <c r="C135" s="193">
        <v>4421399.32</v>
      </c>
      <c r="D135" s="193">
        <v>13129222.290000001</v>
      </c>
      <c r="E135" s="193">
        <v>23638789.620000001</v>
      </c>
      <c r="F135" s="193">
        <v>30075023.809999999</v>
      </c>
      <c r="G135" s="193">
        <v>35105798.850000001</v>
      </c>
      <c r="H135" s="193">
        <v>37984997.609999999</v>
      </c>
      <c r="I135" s="193">
        <v>81313851.090000004</v>
      </c>
      <c r="J135" s="193">
        <v>72805774.710000008</v>
      </c>
      <c r="K135" s="193">
        <v>139018433.34999999</v>
      </c>
      <c r="L135" s="193">
        <v>90237637.719999999</v>
      </c>
      <c r="M135" s="193">
        <v>407799885.00999999</v>
      </c>
      <c r="N135" s="299">
        <f t="shared" si="7"/>
        <v>935530813.38</v>
      </c>
    </row>
    <row r="136" spans="1:14" s="185" customFormat="1" ht="14.15" customHeight="1">
      <c r="A136" s="185" t="s">
        <v>418</v>
      </c>
      <c r="B136" s="1056" t="s">
        <v>1145</v>
      </c>
      <c r="C136" s="193">
        <v>670242.80000000005</v>
      </c>
      <c r="D136" s="193">
        <v>1904158.0900000003</v>
      </c>
      <c r="E136" s="159">
        <v>3325405.17</v>
      </c>
      <c r="F136" s="159">
        <v>4659444.34</v>
      </c>
      <c r="G136" s="193">
        <v>4051175.34</v>
      </c>
      <c r="H136" s="193">
        <v>4785838.2300000004</v>
      </c>
      <c r="I136" s="193">
        <v>9302497.1999999993</v>
      </c>
      <c r="J136" s="193">
        <v>10080007.689999999</v>
      </c>
      <c r="K136" s="193">
        <v>15224343.4</v>
      </c>
      <c r="L136" s="193">
        <v>8137462.6100000003</v>
      </c>
      <c r="M136" s="193">
        <v>22476710.190000001</v>
      </c>
      <c r="N136" s="299">
        <f t="shared" si="7"/>
        <v>84617285.060000002</v>
      </c>
    </row>
    <row r="137" spans="1:14" s="185" customFormat="1" ht="14.15" customHeight="1">
      <c r="A137" s="185" t="s">
        <v>413</v>
      </c>
      <c r="B137" s="1056" t="s">
        <v>1146</v>
      </c>
      <c r="C137" s="193">
        <v>2940280.39</v>
      </c>
      <c r="D137" s="193">
        <v>6722052.6800000006</v>
      </c>
      <c r="E137" s="193">
        <v>9846460.0700000003</v>
      </c>
      <c r="F137" s="193">
        <v>11482398.77</v>
      </c>
      <c r="G137" s="193">
        <v>13357416.880000001</v>
      </c>
      <c r="H137" s="193">
        <v>16512682.050000001</v>
      </c>
      <c r="I137" s="193">
        <v>34979070.939999998</v>
      </c>
      <c r="J137" s="193">
        <v>39661467.350000001</v>
      </c>
      <c r="K137" s="193">
        <v>107843795.25</v>
      </c>
      <c r="L137" s="193">
        <v>113113861.25</v>
      </c>
      <c r="M137" s="193">
        <v>1354416464.24</v>
      </c>
      <c r="N137" s="299">
        <f t="shared" si="7"/>
        <v>1710875949.8699999</v>
      </c>
    </row>
    <row r="138" spans="1:14" s="185" customFormat="1" ht="21" customHeight="1">
      <c r="A138" s="185" t="s">
        <v>423</v>
      </c>
      <c r="B138" s="1056" t="s">
        <v>1147</v>
      </c>
      <c r="C138" s="193">
        <v>1260562.72</v>
      </c>
      <c r="D138" s="193">
        <v>2633946.84</v>
      </c>
      <c r="E138" s="193">
        <v>3629640.41</v>
      </c>
      <c r="F138" s="193">
        <v>4502231.46</v>
      </c>
      <c r="G138" s="193">
        <v>5317168.5</v>
      </c>
      <c r="H138" s="193">
        <v>6685488.4100000001</v>
      </c>
      <c r="I138" s="193">
        <v>14455965.760000002</v>
      </c>
      <c r="J138" s="193">
        <v>17359210.440000001</v>
      </c>
      <c r="K138" s="193">
        <v>53036251.210000001</v>
      </c>
      <c r="L138" s="193">
        <v>64692390.25</v>
      </c>
      <c r="M138" s="193">
        <v>1335733541.98</v>
      </c>
      <c r="N138" s="299">
        <f t="shared" si="7"/>
        <v>1509306397.98</v>
      </c>
    </row>
    <row r="139" spans="1:14" s="185" customFormat="1" ht="14.15" customHeight="1">
      <c r="A139" s="185" t="s">
        <v>24</v>
      </c>
      <c r="B139" s="1056" t="s">
        <v>1148</v>
      </c>
      <c r="C139" s="159">
        <v>846437.55999999994</v>
      </c>
      <c r="D139" s="159">
        <v>2402991.4000000004</v>
      </c>
      <c r="E139" s="159">
        <v>3739767.37</v>
      </c>
      <c r="F139" s="159">
        <v>5033271.9400000004</v>
      </c>
      <c r="G139" s="159">
        <v>5406639.7800000003</v>
      </c>
      <c r="H139" s="159">
        <v>7224676.6799999997</v>
      </c>
      <c r="I139" s="159">
        <v>15880725.649999999</v>
      </c>
      <c r="J139" s="159">
        <v>14450115.98</v>
      </c>
      <c r="K139" s="159">
        <v>26139828.530000001</v>
      </c>
      <c r="L139" s="159">
        <v>19685599.629999999</v>
      </c>
      <c r="M139" s="159">
        <v>70113541.799999997</v>
      </c>
      <c r="N139" s="299">
        <f t="shared" si="7"/>
        <v>170923596.31999999</v>
      </c>
    </row>
    <row r="140" spans="1:14" s="185" customFormat="1" ht="14.15" customHeight="1">
      <c r="A140" s="185" t="s">
        <v>428</v>
      </c>
      <c r="B140" s="1056" t="s">
        <v>1149</v>
      </c>
      <c r="C140" s="159">
        <v>2347943.21</v>
      </c>
      <c r="D140" s="159">
        <v>6788565.29</v>
      </c>
      <c r="E140" s="159">
        <v>10982334.77</v>
      </c>
      <c r="F140" s="159">
        <v>14376468.970000001</v>
      </c>
      <c r="G140" s="159">
        <v>17857728.75</v>
      </c>
      <c r="H140" s="159">
        <v>21793370.27</v>
      </c>
      <c r="I140" s="159">
        <v>49456611.530000001</v>
      </c>
      <c r="J140" s="159">
        <v>51210833.509999998</v>
      </c>
      <c r="K140" s="159">
        <v>111244253.01000001</v>
      </c>
      <c r="L140" s="159">
        <v>96781010.280000001</v>
      </c>
      <c r="M140" s="159">
        <v>981684674.99000001</v>
      </c>
      <c r="N140" s="299">
        <f t="shared" si="7"/>
        <v>1364523794.5799999</v>
      </c>
    </row>
    <row r="141" spans="1:14" s="185" customFormat="1" ht="14.15" customHeight="1">
      <c r="A141" s="185" t="s">
        <v>431</v>
      </c>
      <c r="B141" s="1056" t="s">
        <v>1150</v>
      </c>
      <c r="C141" s="159">
        <v>657993.86</v>
      </c>
      <c r="D141" s="159">
        <v>2265143.33</v>
      </c>
      <c r="E141" s="159">
        <v>3492275.3899999997</v>
      </c>
      <c r="F141" s="159">
        <v>4702606.3899999997</v>
      </c>
      <c r="G141" s="159">
        <v>6000911.9500000002</v>
      </c>
      <c r="H141" s="159">
        <v>6605111.3600000003</v>
      </c>
      <c r="I141" s="159">
        <v>14445556.49</v>
      </c>
      <c r="J141" s="159">
        <v>12966223.690000001</v>
      </c>
      <c r="K141" s="159">
        <v>23182523.57</v>
      </c>
      <c r="L141" s="159">
        <v>17736589.760000002</v>
      </c>
      <c r="M141" s="159">
        <v>51070782.030000001</v>
      </c>
      <c r="N141" s="299">
        <f t="shared" si="7"/>
        <v>143125717.81999999</v>
      </c>
    </row>
    <row r="142" spans="1:14" s="185" customFormat="1" ht="14.15" customHeight="1">
      <c r="A142" s="185" t="s">
        <v>433</v>
      </c>
      <c r="B142" s="1056" t="s">
        <v>1151</v>
      </c>
      <c r="C142" s="159">
        <v>9342936.0899999999</v>
      </c>
      <c r="D142" s="159">
        <v>28843625.379999999</v>
      </c>
      <c r="E142" s="159">
        <v>52085208.420000002</v>
      </c>
      <c r="F142" s="159">
        <v>68715121.620000005</v>
      </c>
      <c r="G142" s="159">
        <v>84343834.590000004</v>
      </c>
      <c r="H142" s="159">
        <v>101505634.26000001</v>
      </c>
      <c r="I142" s="159">
        <v>238431283.18000001</v>
      </c>
      <c r="J142" s="159">
        <v>250330833.73000002</v>
      </c>
      <c r="K142" s="159">
        <v>546699875.70000005</v>
      </c>
      <c r="L142" s="159">
        <v>408498452.56999999</v>
      </c>
      <c r="M142" s="159">
        <v>1285008012.01</v>
      </c>
      <c r="N142" s="299">
        <f t="shared" si="7"/>
        <v>3073804817.5500002</v>
      </c>
    </row>
    <row r="143" spans="1:14" s="185" customFormat="1" ht="21" customHeight="1">
      <c r="A143" s="185" t="s">
        <v>435</v>
      </c>
      <c r="B143" s="1056" t="s">
        <v>1152</v>
      </c>
      <c r="C143" s="159">
        <v>3693639.7800000003</v>
      </c>
      <c r="D143" s="159">
        <v>10432768.649999999</v>
      </c>
      <c r="E143" s="159">
        <v>16677312.719999999</v>
      </c>
      <c r="F143" s="159">
        <v>21670155.84</v>
      </c>
      <c r="G143" s="159">
        <v>26263891.460000001</v>
      </c>
      <c r="H143" s="159">
        <v>32446736.719999999</v>
      </c>
      <c r="I143" s="159">
        <v>85016339.129999995</v>
      </c>
      <c r="J143" s="159">
        <v>82977444.479999989</v>
      </c>
      <c r="K143" s="159">
        <v>157859648.61000001</v>
      </c>
      <c r="L143" s="159">
        <v>111806120.70999999</v>
      </c>
      <c r="M143" s="159">
        <v>476349525.95999998</v>
      </c>
      <c r="N143" s="299">
        <f t="shared" si="7"/>
        <v>1025193584.0599999</v>
      </c>
    </row>
    <row r="144" spans="1:14" s="185" customFormat="1" ht="14.15" customHeight="1">
      <c r="A144" s="159" t="s">
        <v>438</v>
      </c>
      <c r="B144" s="1050" t="s">
        <v>1153</v>
      </c>
      <c r="C144" s="159">
        <v>1905359.69</v>
      </c>
      <c r="D144" s="159">
        <v>5978769.5200000005</v>
      </c>
      <c r="E144" s="159">
        <v>10391521.83</v>
      </c>
      <c r="F144" s="159">
        <v>14162475.789999999</v>
      </c>
      <c r="G144" s="159">
        <v>17994052.760000002</v>
      </c>
      <c r="H144" s="159">
        <v>20913407.719999999</v>
      </c>
      <c r="I144" s="159">
        <v>49529647.219999999</v>
      </c>
      <c r="J144" s="159">
        <v>42786307.719999999</v>
      </c>
      <c r="K144" s="159">
        <v>84114696.849999994</v>
      </c>
      <c r="L144" s="159">
        <v>51781773.100000001</v>
      </c>
      <c r="M144" s="159">
        <v>95982347.700000003</v>
      </c>
      <c r="N144" s="299">
        <f t="shared" si="7"/>
        <v>395540359.89999998</v>
      </c>
    </row>
    <row r="145" spans="1:14" s="185" customFormat="1" ht="14.15" customHeight="1">
      <c r="A145" s="185" t="s">
        <v>441</v>
      </c>
      <c r="B145" s="1056" t="s">
        <v>1154</v>
      </c>
      <c r="C145" s="159">
        <v>616948.52</v>
      </c>
      <c r="D145" s="159">
        <v>1262901.94</v>
      </c>
      <c r="E145" s="159">
        <v>1937033.03</v>
      </c>
      <c r="F145" s="159">
        <v>2274998.52</v>
      </c>
      <c r="G145" s="159">
        <v>3446492.59</v>
      </c>
      <c r="H145" s="159">
        <v>3430487.69</v>
      </c>
      <c r="I145" s="159">
        <v>8521572.6799999997</v>
      </c>
      <c r="J145" s="159">
        <v>8206975.6099999994</v>
      </c>
      <c r="K145" s="159">
        <v>18691367.370000001</v>
      </c>
      <c r="L145" s="159">
        <v>18135227</v>
      </c>
      <c r="M145" s="159">
        <v>143842402.69</v>
      </c>
      <c r="N145" s="299">
        <f t="shared" si="7"/>
        <v>210366407.63999999</v>
      </c>
    </row>
    <row r="146" spans="1:14" s="185" customFormat="1" ht="14.15" customHeight="1">
      <c r="A146" s="185" t="s">
        <v>444</v>
      </c>
      <c r="B146" s="1056" t="s">
        <v>1155</v>
      </c>
      <c r="C146" s="159">
        <v>7175905.4800000004</v>
      </c>
      <c r="D146" s="159">
        <v>19564216.869999997</v>
      </c>
      <c r="E146" s="159">
        <v>31269364.77</v>
      </c>
      <c r="F146" s="159">
        <v>41342724.259999998</v>
      </c>
      <c r="G146" s="159">
        <v>47291172.43</v>
      </c>
      <c r="H146" s="159">
        <v>59278811.609999999</v>
      </c>
      <c r="I146" s="159">
        <v>141503259.91</v>
      </c>
      <c r="J146" s="159">
        <v>127656712.18000001</v>
      </c>
      <c r="K146" s="159">
        <v>250179064.34999999</v>
      </c>
      <c r="L146" s="159">
        <v>196049540.58000001</v>
      </c>
      <c r="M146" s="159">
        <v>1055596101.34</v>
      </c>
      <c r="N146" s="299">
        <f t="shared" si="7"/>
        <v>1976906873.7800002</v>
      </c>
    </row>
    <row r="147" spans="1:14" s="185" customFormat="1" ht="14.15" customHeight="1">
      <c r="A147" s="185" t="s">
        <v>320</v>
      </c>
      <c r="B147" s="1056" t="s">
        <v>1156</v>
      </c>
      <c r="C147" s="159">
        <v>3289640.91</v>
      </c>
      <c r="D147" s="159">
        <v>9692726.8100000005</v>
      </c>
      <c r="E147" s="159">
        <v>16755307.800000001</v>
      </c>
      <c r="F147" s="159">
        <v>21033645.129999999</v>
      </c>
      <c r="G147" s="159">
        <v>26188113.989999998</v>
      </c>
      <c r="H147" s="159">
        <v>32336855.370000001</v>
      </c>
      <c r="I147" s="159">
        <v>71768035.469999999</v>
      </c>
      <c r="J147" s="159">
        <v>86024266.680000007</v>
      </c>
      <c r="K147" s="159">
        <v>209037641.28999999</v>
      </c>
      <c r="L147" s="159">
        <v>180818620.52000001</v>
      </c>
      <c r="M147" s="159">
        <v>758053488.96000004</v>
      </c>
      <c r="N147" s="299">
        <f t="shared" si="7"/>
        <v>1414998342.9300001</v>
      </c>
    </row>
    <row r="148" spans="1:14" s="185" customFormat="1" ht="21" customHeight="1">
      <c r="A148" s="185" t="s">
        <v>324</v>
      </c>
      <c r="B148" s="1056" t="s">
        <v>1157</v>
      </c>
      <c r="C148" s="164">
        <v>1314831.31</v>
      </c>
      <c r="D148" s="164">
        <v>4095215.29</v>
      </c>
      <c r="E148" s="164">
        <v>7731686.46</v>
      </c>
      <c r="F148" s="164">
        <v>8759552.0700000003</v>
      </c>
      <c r="G148" s="164">
        <v>11412975.390000001</v>
      </c>
      <c r="H148" s="164">
        <v>14710098.67</v>
      </c>
      <c r="I148" s="164">
        <v>31368799.399999999</v>
      </c>
      <c r="J148" s="164">
        <v>35972954.859999999</v>
      </c>
      <c r="K148" s="164">
        <v>85337688.560000002</v>
      </c>
      <c r="L148" s="164">
        <v>76538340.5</v>
      </c>
      <c r="M148" s="164">
        <v>259759630.52000001</v>
      </c>
      <c r="N148" s="250">
        <f t="shared" si="7"/>
        <v>537001773.02999997</v>
      </c>
    </row>
    <row r="149" spans="1:14" s="185" customFormat="1" ht="14.15" customHeight="1">
      <c r="A149" s="185" t="s">
        <v>328</v>
      </c>
      <c r="B149" s="1056" t="s">
        <v>1158</v>
      </c>
      <c r="C149" s="159">
        <v>1629990.67</v>
      </c>
      <c r="D149" s="159">
        <v>4226908.2299999995</v>
      </c>
      <c r="E149" s="159">
        <v>6573638.1200000001</v>
      </c>
      <c r="F149" s="159">
        <v>8626284.8100000005</v>
      </c>
      <c r="G149" s="159">
        <v>10042247.210000001</v>
      </c>
      <c r="H149" s="159">
        <v>14813377.560000001</v>
      </c>
      <c r="I149" s="159">
        <v>28496645.75</v>
      </c>
      <c r="J149" s="159">
        <v>23626571.649999999</v>
      </c>
      <c r="K149" s="159">
        <v>39700765.329999998</v>
      </c>
      <c r="L149" s="159">
        <v>26582465.079999998</v>
      </c>
      <c r="M149" s="159">
        <v>117879915.55</v>
      </c>
      <c r="N149" s="299">
        <f t="shared" si="7"/>
        <v>282198809.95999998</v>
      </c>
    </row>
    <row r="150" spans="1:14" s="185" customFormat="1" ht="14.15" customHeight="1">
      <c r="A150" s="185" t="s">
        <v>332</v>
      </c>
      <c r="B150" s="1056" t="s">
        <v>1159</v>
      </c>
      <c r="C150" s="159">
        <v>12669707.780000001</v>
      </c>
      <c r="D150" s="159">
        <v>40960063.240000002</v>
      </c>
      <c r="E150" s="159">
        <v>70329946.609999999</v>
      </c>
      <c r="F150" s="159">
        <v>93157712.790000007</v>
      </c>
      <c r="G150" s="159">
        <v>116785751.65000001</v>
      </c>
      <c r="H150" s="159">
        <v>142065495.16</v>
      </c>
      <c r="I150" s="159">
        <v>324158766.68000001</v>
      </c>
      <c r="J150" s="159">
        <v>320745591.02999997</v>
      </c>
      <c r="K150" s="159">
        <v>715819560.44000006</v>
      </c>
      <c r="L150" s="159">
        <v>535744221.32999998</v>
      </c>
      <c r="M150" s="159">
        <v>1870807348.45</v>
      </c>
      <c r="N150" s="299">
        <f t="shared" si="7"/>
        <v>4243244165.1599998</v>
      </c>
    </row>
    <row r="151" spans="1:14" s="185" customFormat="1" ht="14.15" customHeight="1">
      <c r="A151" s="185" t="s">
        <v>336</v>
      </c>
      <c r="B151" s="1056" t="s">
        <v>1160</v>
      </c>
      <c r="C151" s="159">
        <v>16467999.59</v>
      </c>
      <c r="D151" s="159">
        <v>51226545.230000004</v>
      </c>
      <c r="E151" s="159">
        <v>89432030.040000007</v>
      </c>
      <c r="F151" s="159">
        <v>117708535.20999999</v>
      </c>
      <c r="G151" s="159">
        <v>139770970.62</v>
      </c>
      <c r="H151" s="159">
        <v>164005489.12</v>
      </c>
      <c r="I151" s="159">
        <v>362124610.32999998</v>
      </c>
      <c r="J151" s="159">
        <v>344463722.04000002</v>
      </c>
      <c r="K151" s="159">
        <v>740185008</v>
      </c>
      <c r="L151" s="159">
        <v>542429745.95000005</v>
      </c>
      <c r="M151" s="159">
        <v>2889745692.8499999</v>
      </c>
      <c r="N151" s="299">
        <f t="shared" si="7"/>
        <v>5457560348.9799995</v>
      </c>
    </row>
    <row r="152" spans="1:14" s="185" customFormat="1" ht="14.15" customHeight="1">
      <c r="A152" s="185" t="s">
        <v>340</v>
      </c>
      <c r="B152" s="1056" t="s">
        <v>1161</v>
      </c>
      <c r="C152" s="159">
        <v>373814.42</v>
      </c>
      <c r="D152" s="159">
        <v>1005124.76</v>
      </c>
      <c r="E152" s="159">
        <v>1801968.6300000004</v>
      </c>
      <c r="F152" s="159">
        <v>2140459.71</v>
      </c>
      <c r="G152" s="159">
        <v>2826475.09</v>
      </c>
      <c r="H152" s="159">
        <v>3065961.6</v>
      </c>
      <c r="I152" s="159">
        <v>6788031.5299999993</v>
      </c>
      <c r="J152" s="159">
        <v>6319022.7000000002</v>
      </c>
      <c r="K152" s="159">
        <v>13612673.810000001</v>
      </c>
      <c r="L152" s="159">
        <v>9475108.7599999998</v>
      </c>
      <c r="M152" s="159">
        <v>22872229.170000002</v>
      </c>
      <c r="N152" s="299">
        <f t="shared" si="7"/>
        <v>70280870.180000007</v>
      </c>
    </row>
    <row r="153" spans="1:14" s="185" customFormat="1" ht="21" customHeight="1">
      <c r="A153" s="185" t="s">
        <v>344</v>
      </c>
      <c r="B153" s="1056" t="s">
        <v>1162</v>
      </c>
      <c r="C153" s="159">
        <v>2861401.6799999997</v>
      </c>
      <c r="D153" s="159">
        <v>9827154.9299999997</v>
      </c>
      <c r="E153" s="159">
        <v>17133827.07</v>
      </c>
      <c r="F153" s="159">
        <v>22451431.73</v>
      </c>
      <c r="G153" s="159">
        <v>25795722.09</v>
      </c>
      <c r="H153" s="159">
        <v>31293114.82</v>
      </c>
      <c r="I153" s="159">
        <v>68817010.50999999</v>
      </c>
      <c r="J153" s="159">
        <v>59543534.18</v>
      </c>
      <c r="K153" s="159">
        <v>99300270.930000007</v>
      </c>
      <c r="L153" s="159">
        <v>53137162.899999999</v>
      </c>
      <c r="M153" s="159">
        <v>102082867.37</v>
      </c>
      <c r="N153" s="299">
        <f t="shared" si="7"/>
        <v>492243498.20999998</v>
      </c>
    </row>
    <row r="154" spans="1:14" s="185" customFormat="1" ht="14.15" customHeight="1">
      <c r="A154" s="185" t="s">
        <v>348</v>
      </c>
      <c r="B154" s="1056" t="s">
        <v>1163</v>
      </c>
      <c r="C154" s="159">
        <v>830787.94</v>
      </c>
      <c r="D154" s="159">
        <v>2138681.79</v>
      </c>
      <c r="E154" s="159">
        <v>2864311.1</v>
      </c>
      <c r="F154" s="159">
        <v>3971825.2</v>
      </c>
      <c r="G154" s="159">
        <v>4610175.8499999996</v>
      </c>
      <c r="H154" s="159">
        <v>5480261.1699999999</v>
      </c>
      <c r="I154" s="159">
        <v>14584685.09</v>
      </c>
      <c r="J154" s="159">
        <v>17295556.280000001</v>
      </c>
      <c r="K154" s="159">
        <v>48606181.530000001</v>
      </c>
      <c r="L154" s="159">
        <v>47855535.759999998</v>
      </c>
      <c r="M154" s="159">
        <v>407992031.50999999</v>
      </c>
      <c r="N154" s="299">
        <f t="shared" si="7"/>
        <v>556230033.22000003</v>
      </c>
    </row>
    <row r="155" spans="1:14" s="185" customFormat="1" ht="14.15" customHeight="1">
      <c r="A155" s="185" t="s">
        <v>352</v>
      </c>
      <c r="B155" s="1056" t="s">
        <v>1164</v>
      </c>
      <c r="C155" s="159">
        <v>6233049.7400000002</v>
      </c>
      <c r="D155" s="159">
        <v>20987068.190000001</v>
      </c>
      <c r="E155" s="159">
        <v>38762399.460000001</v>
      </c>
      <c r="F155" s="159">
        <v>52079813.990000002</v>
      </c>
      <c r="G155" s="159">
        <v>63054548.5</v>
      </c>
      <c r="H155" s="159">
        <v>73473955.269999996</v>
      </c>
      <c r="I155" s="159">
        <v>169244113.91</v>
      </c>
      <c r="J155" s="159">
        <v>172795104.43000001</v>
      </c>
      <c r="K155" s="159">
        <v>390303190.43000001</v>
      </c>
      <c r="L155" s="159">
        <v>269392380.66000003</v>
      </c>
      <c r="M155" s="159">
        <v>664197514.88</v>
      </c>
      <c r="N155" s="299">
        <f t="shared" si="7"/>
        <v>1920523139.46</v>
      </c>
    </row>
    <row r="156" spans="1:14" s="185" customFormat="1" ht="14.15" customHeight="1">
      <c r="A156" s="185" t="s">
        <v>356</v>
      </c>
      <c r="B156" s="1056" t="s">
        <v>1165</v>
      </c>
      <c r="C156" s="159">
        <v>1177338.6599999999</v>
      </c>
      <c r="D156" s="159">
        <v>3572116.27</v>
      </c>
      <c r="E156" s="159">
        <v>6056173.3200000003</v>
      </c>
      <c r="F156" s="159">
        <v>7647478.6600000001</v>
      </c>
      <c r="G156" s="159">
        <v>9017816.3499999996</v>
      </c>
      <c r="H156" s="159">
        <v>10655686.029999999</v>
      </c>
      <c r="I156" s="159">
        <v>22695826.810000002</v>
      </c>
      <c r="J156" s="159">
        <v>21299003.57</v>
      </c>
      <c r="K156" s="159">
        <v>45801163.979999997</v>
      </c>
      <c r="L156" s="159">
        <v>36927933.600000001</v>
      </c>
      <c r="M156" s="159">
        <v>139221598.22999999</v>
      </c>
      <c r="N156" s="299">
        <f t="shared" si="7"/>
        <v>304072135.48000002</v>
      </c>
    </row>
    <row r="157" spans="1:14" s="185" customFormat="1" ht="14.15" customHeight="1">
      <c r="A157" s="185" t="s">
        <v>360</v>
      </c>
      <c r="B157" s="1056" t="s">
        <v>1166</v>
      </c>
      <c r="C157" s="159">
        <v>18795150.810000002</v>
      </c>
      <c r="D157" s="159">
        <v>56311462.579999998</v>
      </c>
      <c r="E157" s="159">
        <v>97586563.030000001</v>
      </c>
      <c r="F157" s="159">
        <v>124066413.68000001</v>
      </c>
      <c r="G157" s="159">
        <v>143073985.78999999</v>
      </c>
      <c r="H157" s="159">
        <v>180069908.08000001</v>
      </c>
      <c r="I157" s="159">
        <v>410674854.03999996</v>
      </c>
      <c r="J157" s="159">
        <v>421036013.87</v>
      </c>
      <c r="K157" s="159">
        <v>903366432.46000004</v>
      </c>
      <c r="L157" s="159">
        <v>590544003.53999996</v>
      </c>
      <c r="M157" s="159">
        <v>7395950439.5299997</v>
      </c>
      <c r="N157" s="299">
        <f t="shared" ref="N157:N165" si="8">SUM(C157:M157)</f>
        <v>10341475227.41</v>
      </c>
    </row>
    <row r="158" spans="1:14" s="185" customFormat="1" ht="21" customHeight="1">
      <c r="A158" s="185" t="s">
        <v>25</v>
      </c>
      <c r="B158" s="1056" t="s">
        <v>1167</v>
      </c>
      <c r="C158" s="159">
        <v>8153739.2400000002</v>
      </c>
      <c r="D158" s="159">
        <v>25421073.530000001</v>
      </c>
      <c r="E158" s="159">
        <v>44827384.669999994</v>
      </c>
      <c r="F158" s="159">
        <v>56604732.859999999</v>
      </c>
      <c r="G158" s="159">
        <v>71217026.989999995</v>
      </c>
      <c r="H158" s="159">
        <v>94699046.379999995</v>
      </c>
      <c r="I158" s="159">
        <v>207824124.90000001</v>
      </c>
      <c r="J158" s="159">
        <v>194632838.16</v>
      </c>
      <c r="K158" s="159">
        <v>358392294.31999999</v>
      </c>
      <c r="L158" s="159">
        <v>229745256.55000001</v>
      </c>
      <c r="M158" s="159">
        <v>1470831684.49</v>
      </c>
      <c r="N158" s="299">
        <f t="shared" si="8"/>
        <v>2762349202.0900002</v>
      </c>
    </row>
    <row r="159" spans="1:14" s="185" customFormat="1" ht="14.15" customHeight="1">
      <c r="A159" s="185" t="s">
        <v>368</v>
      </c>
      <c r="B159" s="1056" t="s">
        <v>1168</v>
      </c>
      <c r="C159" s="159">
        <v>1815077.6800000002</v>
      </c>
      <c r="D159" s="159">
        <v>5556979.8100000005</v>
      </c>
      <c r="E159" s="159">
        <v>9406369.370000001</v>
      </c>
      <c r="F159" s="159">
        <v>12694126.439999999</v>
      </c>
      <c r="G159" s="159">
        <v>16495607.92</v>
      </c>
      <c r="H159" s="159">
        <v>20151829.800000001</v>
      </c>
      <c r="I159" s="159">
        <v>49642749.950000003</v>
      </c>
      <c r="J159" s="159">
        <v>50614821.140000001</v>
      </c>
      <c r="K159" s="159">
        <v>104115721.51000001</v>
      </c>
      <c r="L159" s="159">
        <v>94340483.620000005</v>
      </c>
      <c r="M159" s="159">
        <v>507843578.26999998</v>
      </c>
      <c r="N159" s="299">
        <f t="shared" si="8"/>
        <v>872677345.50999999</v>
      </c>
    </row>
    <row r="160" spans="1:14" s="185" customFormat="1" ht="14.15" customHeight="1">
      <c r="A160" s="185" t="s">
        <v>372</v>
      </c>
      <c r="B160" s="1056" t="s">
        <v>1169</v>
      </c>
      <c r="C160" s="159">
        <v>1895008.4</v>
      </c>
      <c r="D160" s="159">
        <v>5537579.3700000001</v>
      </c>
      <c r="E160" s="159">
        <v>9633473.8200000003</v>
      </c>
      <c r="F160" s="159">
        <v>13566970.09</v>
      </c>
      <c r="G160" s="159">
        <v>17412125.460000001</v>
      </c>
      <c r="H160" s="159">
        <v>20463741.109999999</v>
      </c>
      <c r="I160" s="159">
        <v>53142722.969999999</v>
      </c>
      <c r="J160" s="159">
        <v>54797860.659999996</v>
      </c>
      <c r="K160" s="159">
        <v>118058134.56999999</v>
      </c>
      <c r="L160" s="159">
        <v>89728367.349999994</v>
      </c>
      <c r="M160" s="159">
        <v>335988333.20999998</v>
      </c>
      <c r="N160" s="299">
        <f t="shared" si="8"/>
        <v>720224317.00999999</v>
      </c>
    </row>
    <row r="161" spans="1:14" s="185" customFormat="1" ht="14.15" customHeight="1">
      <c r="A161" s="185" t="s">
        <v>376</v>
      </c>
      <c r="B161" s="1056" t="s">
        <v>1170</v>
      </c>
      <c r="C161" s="159">
        <v>5740492.6100000003</v>
      </c>
      <c r="D161" s="159">
        <v>18209209.550000001</v>
      </c>
      <c r="E161" s="159">
        <v>31351645.200000003</v>
      </c>
      <c r="F161" s="159">
        <v>42278470.609999999</v>
      </c>
      <c r="G161" s="159">
        <v>53720304.039999999</v>
      </c>
      <c r="H161" s="159">
        <v>60411931.670000002</v>
      </c>
      <c r="I161" s="159">
        <v>138127169.15000001</v>
      </c>
      <c r="J161" s="159">
        <v>148106649.62</v>
      </c>
      <c r="K161" s="159">
        <v>369008052.75</v>
      </c>
      <c r="L161" s="159">
        <v>347139994.89999998</v>
      </c>
      <c r="M161" s="159">
        <v>1890855273.98</v>
      </c>
      <c r="N161" s="299">
        <f t="shared" si="8"/>
        <v>3104949194.0799999</v>
      </c>
    </row>
    <row r="162" spans="1:14" s="185" customFormat="1" ht="21" customHeight="1">
      <c r="A162" s="185" t="s">
        <v>26</v>
      </c>
      <c r="B162" s="1056" t="s">
        <v>1171</v>
      </c>
      <c r="C162" s="159">
        <v>29944824.41</v>
      </c>
      <c r="D162" s="159">
        <v>88489568.560000002</v>
      </c>
      <c r="E162" s="159">
        <v>147749255.62</v>
      </c>
      <c r="F162" s="159">
        <v>194937474.77000001</v>
      </c>
      <c r="G162" s="159">
        <v>242043523.19999999</v>
      </c>
      <c r="H162" s="159">
        <v>296409885.11000001</v>
      </c>
      <c r="I162" s="159">
        <v>697581275.63999999</v>
      </c>
      <c r="J162" s="159">
        <v>761142654.5</v>
      </c>
      <c r="K162" s="159">
        <v>1860614811.78</v>
      </c>
      <c r="L162" s="159">
        <v>1614571652.04</v>
      </c>
      <c r="M162" s="159">
        <v>12586642718.48</v>
      </c>
      <c r="N162" s="299">
        <f>SUM(C162:M162)</f>
        <v>18520127644.110001</v>
      </c>
    </row>
    <row r="163" spans="1:14" s="185" customFormat="1" ht="14.15" customHeight="1">
      <c r="A163" s="185" t="s">
        <v>381</v>
      </c>
      <c r="B163" s="1056" t="s">
        <v>1172</v>
      </c>
      <c r="C163" s="159">
        <v>1714425.42</v>
      </c>
      <c r="D163" s="159">
        <v>4956488.2200000007</v>
      </c>
      <c r="E163" s="159">
        <v>9567394.0499999989</v>
      </c>
      <c r="F163" s="159">
        <v>11537251.26</v>
      </c>
      <c r="G163" s="159">
        <v>14537633.09</v>
      </c>
      <c r="H163" s="159">
        <v>18062311.18</v>
      </c>
      <c r="I163" s="159">
        <v>46794787.210000001</v>
      </c>
      <c r="J163" s="159">
        <v>49195893.07</v>
      </c>
      <c r="K163" s="159">
        <v>104544122.59</v>
      </c>
      <c r="L163" s="159">
        <v>75295005.920000002</v>
      </c>
      <c r="M163" s="159">
        <v>233696851.68000001</v>
      </c>
      <c r="N163" s="299">
        <f t="shared" si="8"/>
        <v>569902163.69000006</v>
      </c>
    </row>
    <row r="164" spans="1:14" s="185" customFormat="1" ht="14.15" customHeight="1">
      <c r="A164" s="185" t="s">
        <v>384</v>
      </c>
      <c r="B164" s="1056" t="s">
        <v>1173</v>
      </c>
      <c r="C164" s="159">
        <v>1734418.7999999998</v>
      </c>
      <c r="D164" s="159">
        <v>4062111.5500000007</v>
      </c>
      <c r="E164" s="159">
        <v>5950421.6699999999</v>
      </c>
      <c r="F164" s="159">
        <v>6631248.6699999999</v>
      </c>
      <c r="G164" s="159">
        <v>8955049.8499999996</v>
      </c>
      <c r="H164" s="159">
        <v>9811883.3399999999</v>
      </c>
      <c r="I164" s="159">
        <v>22355360.170000002</v>
      </c>
      <c r="J164" s="159">
        <v>22619926.280000001</v>
      </c>
      <c r="K164" s="159">
        <v>49319660.729999997</v>
      </c>
      <c r="L164" s="159">
        <v>42391742.979999997</v>
      </c>
      <c r="M164" s="159">
        <v>436021715.25</v>
      </c>
      <c r="N164" s="299">
        <f t="shared" si="8"/>
        <v>609853539.28999996</v>
      </c>
    </row>
    <row r="165" spans="1:14" s="185" customFormat="1" ht="14.15" customHeight="1">
      <c r="A165" s="185" t="s">
        <v>387</v>
      </c>
      <c r="B165" s="1056" t="s">
        <v>1174</v>
      </c>
      <c r="C165" s="159">
        <v>2681696.2999999998</v>
      </c>
      <c r="D165" s="159">
        <v>7255297.9800000004</v>
      </c>
      <c r="E165" s="159">
        <v>12151310.02</v>
      </c>
      <c r="F165" s="159">
        <v>15317311.310000001</v>
      </c>
      <c r="G165" s="159">
        <v>18240028.719999999</v>
      </c>
      <c r="H165" s="159">
        <v>21865918.100000001</v>
      </c>
      <c r="I165" s="159">
        <v>57586258.560000002</v>
      </c>
      <c r="J165" s="159">
        <v>58340910.289999999</v>
      </c>
      <c r="K165" s="159">
        <v>119303912.06</v>
      </c>
      <c r="L165" s="159">
        <v>87564058.590000004</v>
      </c>
      <c r="M165" s="159">
        <v>502738140.52999997</v>
      </c>
      <c r="N165" s="299">
        <f t="shared" si="8"/>
        <v>903044842.46000004</v>
      </c>
    </row>
    <row r="166" spans="1:14" ht="9" customHeight="1">
      <c r="A166" s="185"/>
      <c r="B166" s="1056"/>
      <c r="C166" s="204"/>
      <c r="D166" s="204"/>
      <c r="E166" s="204"/>
      <c r="F166" s="204"/>
      <c r="G166" s="204"/>
      <c r="H166" s="204"/>
      <c r="I166" s="204"/>
      <c r="J166" s="185"/>
      <c r="K166" s="185"/>
      <c r="L166" s="185"/>
      <c r="M166" s="185"/>
      <c r="N166" s="226"/>
    </row>
    <row r="167" spans="1:14" s="199" customFormat="1" ht="18" customHeight="1">
      <c r="A167" s="197" t="s">
        <v>27</v>
      </c>
      <c r="B167" s="1075"/>
      <c r="C167" s="198">
        <f>SUM(C128:C165)</f>
        <v>193308495.00000003</v>
      </c>
      <c r="D167" s="198">
        <f t="shared" ref="D167:N167" si="9">SUM(D128:D165)</f>
        <v>570191499.34000015</v>
      </c>
      <c r="E167" s="198">
        <f t="shared" si="9"/>
        <v>966499148.67000008</v>
      </c>
      <c r="F167" s="198">
        <f t="shared" si="9"/>
        <v>1255918846.7200003</v>
      </c>
      <c r="G167" s="198">
        <f t="shared" si="9"/>
        <v>1529192400.8799999</v>
      </c>
      <c r="H167" s="198">
        <f t="shared" si="9"/>
        <v>1857013213.8699999</v>
      </c>
      <c r="I167" s="198">
        <f t="shared" si="9"/>
        <v>4272156410.2400007</v>
      </c>
      <c r="J167" s="198">
        <f t="shared" si="9"/>
        <v>4380977326.5999994</v>
      </c>
      <c r="K167" s="198">
        <f t="shared" si="9"/>
        <v>9957014471.1000004</v>
      </c>
      <c r="L167" s="198">
        <f t="shared" si="9"/>
        <v>8111487158.1100006</v>
      </c>
      <c r="M167" s="198">
        <f t="shared" si="9"/>
        <v>56623189837.409981</v>
      </c>
      <c r="N167" s="198">
        <f t="shared" si="9"/>
        <v>89716948807.940002</v>
      </c>
    </row>
    <row r="168" spans="1:14" s="199" customFormat="1" ht="18" customHeight="1">
      <c r="A168" s="197" t="s">
        <v>22</v>
      </c>
      <c r="B168" s="1075"/>
      <c r="C168" s="286">
        <f t="shared" ref="C168:N168" si="10">C118</f>
        <v>414423790.28000003</v>
      </c>
      <c r="D168" s="286">
        <f t="shared" si="10"/>
        <v>1180266431.6000001</v>
      </c>
      <c r="E168" s="286">
        <f t="shared" si="10"/>
        <v>1859788509.3</v>
      </c>
      <c r="F168" s="286">
        <f t="shared" si="10"/>
        <v>2407432720.8599997</v>
      </c>
      <c r="G168" s="286">
        <f t="shared" si="10"/>
        <v>2956003486.2099996</v>
      </c>
      <c r="H168" s="286">
        <f t="shared" si="10"/>
        <v>3581360827.9499993</v>
      </c>
      <c r="I168" s="286">
        <f t="shared" si="10"/>
        <v>8487467201.5</v>
      </c>
      <c r="J168" s="286">
        <f t="shared" si="10"/>
        <v>9161581312.5799999</v>
      </c>
      <c r="K168" s="286">
        <f t="shared" si="10"/>
        <v>23074740333.969997</v>
      </c>
      <c r="L168" s="286">
        <f t="shared" si="10"/>
        <v>22410983693.329998</v>
      </c>
      <c r="M168" s="286">
        <f t="shared" si="10"/>
        <v>214197322685.89999</v>
      </c>
      <c r="N168" s="290">
        <f t="shared" si="10"/>
        <v>289731370993.47992</v>
      </c>
    </row>
    <row r="169" spans="1:14" s="185" customFormat="1" ht="18" customHeight="1">
      <c r="A169" s="197" t="s">
        <v>597</v>
      </c>
      <c r="B169" s="1071" t="s">
        <v>1175</v>
      </c>
      <c r="C169" s="159">
        <v>60884361.950000003</v>
      </c>
      <c r="D169" s="159">
        <v>117360973.30000001</v>
      </c>
      <c r="E169" s="159">
        <v>145223878.93000001</v>
      </c>
      <c r="F169" s="159">
        <v>165555586.91999999</v>
      </c>
      <c r="G169" s="159">
        <v>175822460.75999999</v>
      </c>
      <c r="H169" s="159">
        <v>191215503.49000001</v>
      </c>
      <c r="I169" s="159">
        <v>400808633.89999998</v>
      </c>
      <c r="J169" s="159">
        <v>378676818.72000003</v>
      </c>
      <c r="K169" s="159">
        <v>886190716.37</v>
      </c>
      <c r="L169" s="159">
        <v>740386679.33000004</v>
      </c>
      <c r="M169" s="159">
        <v>11284002651.629999</v>
      </c>
      <c r="N169" s="299">
        <f t="shared" ref="N169" si="11">SUM(C169:M169)</f>
        <v>14546128265.299999</v>
      </c>
    </row>
    <row r="170" spans="1:14" s="199" customFormat="1" ht="6" customHeight="1">
      <c r="A170" s="197"/>
      <c r="B170" s="1075"/>
      <c r="C170" s="286"/>
      <c r="D170" s="286"/>
      <c r="E170" s="286"/>
      <c r="F170" s="286"/>
      <c r="G170" s="286"/>
      <c r="H170" s="286"/>
      <c r="I170" s="286"/>
      <c r="J170" s="286"/>
      <c r="K170" s="286"/>
      <c r="L170" s="286"/>
      <c r="M170" s="286"/>
      <c r="N170" s="290"/>
    </row>
    <row r="171" spans="1:14" s="199" customFormat="1" ht="18" customHeight="1">
      <c r="A171" s="197" t="s">
        <v>28</v>
      </c>
      <c r="B171" s="1091"/>
      <c r="C171" s="885">
        <f>SUM(C167:C169)</f>
        <v>668616647.23000014</v>
      </c>
      <c r="D171" s="885">
        <f t="shared" ref="D171:L171" si="12">SUM(D167:D169)</f>
        <v>1867818904.2400002</v>
      </c>
      <c r="E171" s="885">
        <f t="shared" si="12"/>
        <v>2971511536.9000001</v>
      </c>
      <c r="F171" s="885">
        <f t="shared" si="12"/>
        <v>3828907154.5</v>
      </c>
      <c r="G171" s="885">
        <f t="shared" si="12"/>
        <v>4661018347.8499994</v>
      </c>
      <c r="H171" s="885">
        <f t="shared" si="12"/>
        <v>5629589545.3099995</v>
      </c>
      <c r="I171" s="885">
        <f t="shared" si="12"/>
        <v>13160432245.640001</v>
      </c>
      <c r="J171" s="885">
        <f t="shared" si="12"/>
        <v>13921235457.9</v>
      </c>
      <c r="K171" s="885">
        <f t="shared" si="12"/>
        <v>33917945521.439999</v>
      </c>
      <c r="L171" s="885">
        <f t="shared" si="12"/>
        <v>31262857530.77</v>
      </c>
      <c r="M171" s="885">
        <f>SUM(M167:M169)</f>
        <v>282104515174.93994</v>
      </c>
      <c r="N171" s="886">
        <f>SUM(N167:N169)</f>
        <v>393994448066.71991</v>
      </c>
    </row>
    <row r="172" spans="1:14" ht="9" customHeight="1"/>
    <row r="173" spans="1:14" s="1170" customFormat="1" ht="10" customHeight="1">
      <c r="A173" s="1169" t="s">
        <v>18</v>
      </c>
      <c r="B173" s="1054"/>
      <c r="N173" s="1177"/>
    </row>
    <row r="174" spans="1:14" s="1170" customFormat="1" ht="10" customHeight="1">
      <c r="A174" s="1169" t="s">
        <v>598</v>
      </c>
      <c r="B174" s="1054"/>
      <c r="N174" s="1176"/>
    </row>
    <row r="175" spans="1:14" s="705" customFormat="1" ht="12.75" customHeight="1">
      <c r="A175" s="788" t="s">
        <v>959</v>
      </c>
      <c r="B175" s="1077"/>
      <c r="C175" s="706"/>
      <c r="D175" s="706"/>
      <c r="E175" s="706"/>
      <c r="F175" s="707"/>
    </row>
    <row r="181" spans="2:2" s="1385" customFormat="1" ht="11.5">
      <c r="B181" s="1054"/>
    </row>
    <row r="182" spans="2:2" s="1385" customFormat="1" ht="10" customHeight="1">
      <c r="B182" s="1054"/>
    </row>
  </sheetData>
  <customSheetViews>
    <customSheetView guid="{E6BBE5A7-0B25-4EE8-BA45-5EA5DBAF3AD4}" showPageBreaks="1" outlineSymbols="0" printArea="1">
      <selection activeCell="A4" sqref="A4"/>
      <rowBreaks count="4" manualBreakCount="4">
        <brk id="43" max="16383" man="1"/>
        <brk id="86" max="12" man="1"/>
        <brk id="129" max="12" man="1"/>
        <brk id="173" max="12" man="1"/>
      </rowBreaks>
      <pageMargins left="0.25" right="0.25" top="0.5" bottom="1" header="0.5" footer="0.5"/>
      <printOptions horizontalCentered="1"/>
      <pageSetup scale="61" firstPageNumber="7" fitToHeight="5" orientation="landscape" useFirstPageNumber="1" r:id="rId1"/>
      <headerFooter alignWithMargins="0"/>
    </customSheetView>
  </customSheetViews>
  <hyperlinks>
    <hyperlink ref="O1" location="TOC!A1" display="Back" xr:uid="{00000000-0004-0000-0800-000000000000}"/>
  </hyperlinks>
  <pageMargins left="0.5" right="0.25" top="0.4" bottom="0.25" header="0.25" footer="0.25"/>
  <pageSetup scale="67" firstPageNumber="7" fitToHeight="4" orientation="landscape" r:id="rId2"/>
  <headerFooter scaleWithDoc="0">
    <oddHeader>&amp;R&amp;P</oddHeader>
  </headerFooter>
  <rowBreaks count="3" manualBreakCount="3">
    <brk id="42" max="12" man="1"/>
    <brk id="84" max="12" man="1"/>
    <brk id="12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38</vt:i4>
      </vt:variant>
    </vt:vector>
  </HeadingPairs>
  <TitlesOfParts>
    <vt:vector size="76" baseType="lpstr">
      <vt:lpstr>TitlePage</vt:lpstr>
      <vt:lpstr>TOC</vt:lpstr>
      <vt:lpstr>RevExp</vt:lpstr>
      <vt:lpstr>ByAcct</vt:lpstr>
      <vt:lpstr>1.1</vt:lpstr>
      <vt:lpstr>1.2</vt:lpstr>
      <vt:lpstr>1.3</vt:lpstr>
      <vt:lpstr>1.4</vt:lpstr>
      <vt:lpstr>1.5</vt:lpstr>
      <vt:lpstr>1.6</vt:lpstr>
      <vt:lpstr>1.6p</vt:lpstr>
      <vt:lpstr>1.7</vt:lpstr>
      <vt:lpstr>1.8-1.9</vt:lpstr>
      <vt:lpstr>1.10</vt:lpstr>
      <vt:lpstr>2.1</vt:lpstr>
      <vt:lpstr>2.2</vt:lpstr>
      <vt:lpstr>3.1</vt:lpstr>
      <vt:lpstr>4.1</vt:lpstr>
      <vt:lpstr>4.1_v1</vt:lpstr>
      <vt:lpstr>4.1k</vt:lpstr>
      <vt:lpstr>4.2</vt:lpstr>
      <vt:lpstr>4.3</vt:lpstr>
      <vt:lpstr>5.1</vt:lpstr>
      <vt:lpstr>5.2</vt:lpstr>
      <vt:lpstr>5.3-5.4</vt:lpstr>
      <vt:lpstr>5.5</vt:lpstr>
      <vt:lpstr>5.6</vt:lpstr>
      <vt:lpstr>5.7</vt:lpstr>
      <vt:lpstr>6.1</vt:lpstr>
      <vt:lpstr>6.1p</vt:lpstr>
      <vt:lpstr>6.2</vt:lpstr>
      <vt:lpstr>6.2p</vt:lpstr>
      <vt:lpstr>6.3</vt:lpstr>
      <vt:lpstr>6.3p</vt:lpstr>
      <vt:lpstr>6.4</vt:lpstr>
      <vt:lpstr>6.4p</vt:lpstr>
      <vt:lpstr>7.1</vt:lpstr>
      <vt:lpstr>Directory</vt:lpstr>
      <vt:lpstr>'3.1'!OLE_LINK1</vt:lpstr>
      <vt:lpstr>'1.1'!Print_Area</vt:lpstr>
      <vt:lpstr>'1.10'!Print_Area</vt:lpstr>
      <vt:lpstr>'1.2'!Print_Area</vt:lpstr>
      <vt:lpstr>'1.3'!Print_Area</vt:lpstr>
      <vt:lpstr>'1.4'!Print_Area</vt:lpstr>
      <vt:lpstr>'1.5'!Print_Area</vt:lpstr>
      <vt:lpstr>'1.6'!Print_Area</vt:lpstr>
      <vt:lpstr>'1.6p'!Print_Area</vt:lpstr>
      <vt:lpstr>'1.7'!Print_Area</vt:lpstr>
      <vt:lpstr>'1.8-1.9'!Print_Area</vt:lpstr>
      <vt:lpstr>'2.1'!Print_Area</vt:lpstr>
      <vt:lpstr>'2.2'!Print_Area</vt:lpstr>
      <vt:lpstr>'3.1'!Print_Area</vt:lpstr>
      <vt:lpstr>'4.1'!Print_Area</vt:lpstr>
      <vt:lpstr>'4.1_v1'!Print_Area</vt:lpstr>
      <vt:lpstr>'4.1k'!Print_Area</vt:lpstr>
      <vt:lpstr>'4.2'!Print_Area</vt:lpstr>
      <vt:lpstr>'4.3'!Print_Area</vt:lpstr>
      <vt:lpstr>'5.1'!Print_Area</vt:lpstr>
      <vt:lpstr>'5.2'!Print_Area</vt:lpstr>
      <vt:lpstr>'5.3-5.4'!Print_Area</vt:lpstr>
      <vt:lpstr>'5.5'!Print_Area</vt:lpstr>
      <vt:lpstr>'5.6'!Print_Area</vt:lpstr>
      <vt:lpstr>'5.7'!Print_Area</vt:lpstr>
      <vt:lpstr>'6.1'!Print_Area</vt:lpstr>
      <vt:lpstr>'6.1p'!Print_Area</vt:lpstr>
      <vt:lpstr>'6.2'!Print_Area</vt:lpstr>
      <vt:lpstr>'6.2p'!Print_Area</vt:lpstr>
      <vt:lpstr>'6.3'!Print_Area</vt:lpstr>
      <vt:lpstr>'6.4'!Print_Area</vt:lpstr>
      <vt:lpstr>'7.1'!Print_Area</vt:lpstr>
      <vt:lpstr>ByAcct!Print_Area</vt:lpstr>
      <vt:lpstr>Directory!Print_Area</vt:lpstr>
      <vt:lpstr>RevExp!Print_Area</vt:lpstr>
      <vt:lpstr>TitlePage!Print_Area</vt:lpstr>
      <vt:lpstr>TOC!Print_Area</vt:lpstr>
      <vt:lpstr>'3.1'!Print_Titles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Report for Fiscal Year 2020</dc:title>
  <dc:subject>Department of Taxation's Annual Report for Fiscal Year 2020</dc:subject>
  <dc:creator>Virginia Tax</dc:creator>
  <cp:lastModifiedBy>Badillo, Frank (TAX)</cp:lastModifiedBy>
  <cp:lastPrinted>2024-03-28T21:59:40Z</cp:lastPrinted>
  <dcterms:created xsi:type="dcterms:W3CDTF">2008-10-20T18:07:18Z</dcterms:created>
  <dcterms:modified xsi:type="dcterms:W3CDTF">2024-03-29T11:18:51Z</dcterms:modified>
</cp:coreProperties>
</file>